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300" activeTab="0"/>
  </bookViews>
  <sheets>
    <sheet name="MŠ Karlov podloubí" sheetId="1" r:id="rId1"/>
  </sheets>
  <definedNames>
    <definedName name="OLE_LINK1" localSheetId="0">'MŠ Karlov podloubí'!$C$2</definedName>
    <definedName name="vorn_sum">#REF!</definedName>
  </definedNames>
  <calcPr fullCalcOnLoad="1"/>
</workbook>
</file>

<file path=xl/sharedStrings.xml><?xml version="1.0" encoding="utf-8"?>
<sst xmlns="http://schemas.openxmlformats.org/spreadsheetml/2006/main" count="581" uniqueCount="361">
  <si>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</si>
  <si>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</si>
  <si>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</si>
  <si>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</si>
  <si>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</si>
  <si>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</si>
  <si>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</si>
  <si>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</si>
  <si>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</si>
  <si>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</si>
  <si>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</si>
  <si>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</si>
  <si>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</si>
  <si>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</si>
  <si>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</si>
  <si>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</si>
  <si>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</si>
  <si>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</si>
  <si>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</si>
  <si>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</si>
  <si>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</si>
  <si>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</si>
  <si>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</si>
  <si>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</si>
  <si>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</si>
  <si>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</si>
  <si>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</si>
  <si>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</si>
  <si>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</si>
  <si>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</si>
  <si>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</si>
  <si>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</si>
  <si>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</si>
  <si>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</si>
  <si>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</si>
  <si>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</si>
  <si>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</si>
  <si>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</si>
  <si>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</si>
  <si>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</si>
  <si>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</si>
  <si>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</si>
  <si>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</si>
  <si>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</si>
  <si>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</si>
  <si>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</si>
  <si>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</si>
  <si>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</si>
  <si>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</si>
  <si>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</si>
  <si>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</si>
  <si>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</si>
  <si>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</si>
  <si>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</si>
  <si>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</si>
  <si>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</si>
  <si>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</si>
  <si>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</si>
  <si>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</si>
  <si>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</si>
  <si>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</si>
  <si>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</si>
  <si>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</si>
  <si>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</si>
  <si>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</si>
  <si>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</si>
  <si>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</si>
  <si>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</si>
  <si>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</si>
  <si>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</si>
  <si>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</si>
  <si>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</si>
  <si>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</si>
  <si>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</si>
  <si>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</si>
  <si>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</si>
  <si>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</si>
  <si>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</si>
  <si>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</si>
  <si>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</si>
  <si>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</si>
  <si>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</si>
  <si>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</si>
  <si>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</si>
  <si>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</si>
  <si>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</si>
  <si>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</si>
  <si>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</si>
  <si>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</si>
  <si>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</si>
  <si>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</si>
  <si>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</si>
  <si>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</si>
  <si>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</si>
  <si>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</si>
  <si>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</si>
  <si>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Kód</t>
  </si>
  <si>
    <t>113108310R00</t>
  </si>
  <si>
    <t>120901122RT1</t>
  </si>
  <si>
    <t>139601103R00</t>
  </si>
  <si>
    <t>139711101RT4</t>
  </si>
  <si>
    <t>162701104RT3</t>
  </si>
  <si>
    <t>275321611R00</t>
  </si>
  <si>
    <t>275351215RT1</t>
  </si>
  <si>
    <t>275351216R00</t>
  </si>
  <si>
    <t>275361211R00</t>
  </si>
  <si>
    <t>279311115R00</t>
  </si>
  <si>
    <t>274272140RT4</t>
  </si>
  <si>
    <t>274272120RT3</t>
  </si>
  <si>
    <t>311271921R00</t>
  </si>
  <si>
    <t>311281118R00</t>
  </si>
  <si>
    <t>311271805R00</t>
  </si>
  <si>
    <t>327357110R00</t>
  </si>
  <si>
    <t>342256355R00</t>
  </si>
  <si>
    <t>340239212RT2</t>
  </si>
  <si>
    <t>430321314R00</t>
  </si>
  <si>
    <t>430361921RT8</t>
  </si>
  <si>
    <t>431351121R00</t>
  </si>
  <si>
    <t>431351122R00</t>
  </si>
  <si>
    <t>434351141R00</t>
  </si>
  <si>
    <t>434351142R00</t>
  </si>
  <si>
    <t>465921215R00</t>
  </si>
  <si>
    <t>596811111RT4</t>
  </si>
  <si>
    <t>612473182R00</t>
  </si>
  <si>
    <t>612481211RT8</t>
  </si>
  <si>
    <t>612421431R00</t>
  </si>
  <si>
    <t>611421431RT2</t>
  </si>
  <si>
    <t>622325154R00</t>
  </si>
  <si>
    <t>622325525RV1</t>
  </si>
  <si>
    <t>622325015R00</t>
  </si>
  <si>
    <t>622325135RV1</t>
  </si>
  <si>
    <t>622432112R00</t>
  </si>
  <si>
    <t>622475111R00</t>
  </si>
  <si>
    <t>622434113RT1</t>
  </si>
  <si>
    <t>620411135R00</t>
  </si>
  <si>
    <t>631313611R00</t>
  </si>
  <si>
    <t>631361921RT8</t>
  </si>
  <si>
    <t>632411150RU1</t>
  </si>
  <si>
    <t>648991111RT4</t>
  </si>
  <si>
    <t>642942111RT4</t>
  </si>
  <si>
    <t>642944121RT4</t>
  </si>
  <si>
    <t>711</t>
  </si>
  <si>
    <t>711111006RZ4</t>
  </si>
  <si>
    <t>711112006RZ4</t>
  </si>
  <si>
    <t>711141559RY2</t>
  </si>
  <si>
    <t>711142559RY1</t>
  </si>
  <si>
    <t>711823121RT6</t>
  </si>
  <si>
    <t>713</t>
  </si>
  <si>
    <t>713121111R00</t>
  </si>
  <si>
    <t>713191100RT9</t>
  </si>
  <si>
    <t>725</t>
  </si>
  <si>
    <t>725012121R00</t>
  </si>
  <si>
    <t>735</t>
  </si>
  <si>
    <t>735000911R00</t>
  </si>
  <si>
    <t>764</t>
  </si>
  <si>
    <t>764430230R00</t>
  </si>
  <si>
    <t>764410250R00</t>
  </si>
  <si>
    <t>766</t>
  </si>
  <si>
    <t>766629302R00</t>
  </si>
  <si>
    <t>766695213R00</t>
  </si>
  <si>
    <t>766661512R00</t>
  </si>
  <si>
    <t>767</t>
  </si>
  <si>
    <t>767162150R00</t>
  </si>
  <si>
    <t>771</t>
  </si>
  <si>
    <t>771120111R00</t>
  </si>
  <si>
    <t>771120211R00</t>
  </si>
  <si>
    <t>771212113R00</t>
  </si>
  <si>
    <t>771475014RU1</t>
  </si>
  <si>
    <t>771569795R00</t>
  </si>
  <si>
    <t>776</t>
  </si>
  <si>
    <t>776572110RU1</t>
  </si>
  <si>
    <t>781</t>
  </si>
  <si>
    <t>781210131R00</t>
  </si>
  <si>
    <t>783</t>
  </si>
  <si>
    <t>783222100R00</t>
  </si>
  <si>
    <t>784</t>
  </si>
  <si>
    <t>784115222R00</t>
  </si>
  <si>
    <t>784111101R00</t>
  </si>
  <si>
    <t>871353121RT2</t>
  </si>
  <si>
    <t>877353121RT2</t>
  </si>
  <si>
    <t>877353123R00</t>
  </si>
  <si>
    <t>877353122R00</t>
  </si>
  <si>
    <t>919735113R00</t>
  </si>
  <si>
    <t>941955002R00</t>
  </si>
  <si>
    <t>95</t>
  </si>
  <si>
    <t>953946111R00</t>
  </si>
  <si>
    <t>96</t>
  </si>
  <si>
    <t>965081413R00</t>
  </si>
  <si>
    <t>969021121R00</t>
  </si>
  <si>
    <t>97</t>
  </si>
  <si>
    <t>978042110R00</t>
  </si>
  <si>
    <t>971033641R00</t>
  </si>
  <si>
    <t>H01</t>
  </si>
  <si>
    <t>998011001R00</t>
  </si>
  <si>
    <t>H771</t>
  </si>
  <si>
    <t>998771201R00</t>
  </si>
  <si>
    <t>M21</t>
  </si>
  <si>
    <t>210010001R00</t>
  </si>
  <si>
    <t>S</t>
  </si>
  <si>
    <t>979082318R00</t>
  </si>
  <si>
    <t>979990113R00</t>
  </si>
  <si>
    <t>979990104R00</t>
  </si>
  <si>
    <t>979990001R00</t>
  </si>
  <si>
    <t>28375856</t>
  </si>
  <si>
    <t>61160803</t>
  </si>
  <si>
    <t>61143842</t>
  </si>
  <si>
    <t>61187176.z</t>
  </si>
  <si>
    <t>61143791.A</t>
  </si>
  <si>
    <t>59764203</t>
  </si>
  <si>
    <t>61143790.A</t>
  </si>
  <si>
    <t>Zkrácený popis</t>
  </si>
  <si>
    <t>Přípravné a přidružené práce</t>
  </si>
  <si>
    <t>Odstranění podkladu , živice tl. 10 cm</t>
  </si>
  <si>
    <t>Odkopávky a prokopávky</t>
  </si>
  <si>
    <t>Bourání konstrukcí z betonu prokl.kam.-sanace patek</t>
  </si>
  <si>
    <t>Hloubené vykopávky</t>
  </si>
  <si>
    <t>Ruční výkop jam, rýh v hor. tř 4-patky,postup.podbet.,pasy</t>
  </si>
  <si>
    <t>Vykopávka v uzavřených prostorách v hor.1-4</t>
  </si>
  <si>
    <t>Přemístění výkopku</t>
  </si>
  <si>
    <t>Vodorovné přemístění výkopku z hor.1-4 do 9000 m</t>
  </si>
  <si>
    <t>Základy</t>
  </si>
  <si>
    <t>Železobeton základových patek-sanace</t>
  </si>
  <si>
    <t>Bednění stěn základových patek - zřízení</t>
  </si>
  <si>
    <t>Bednění stěn základových patek - odstranění</t>
  </si>
  <si>
    <t>Výztuž základových patek do 12mm z oceli 10216 (E)</t>
  </si>
  <si>
    <t>Postupné podbetonování zákl. zdiva  C 20/25</t>
  </si>
  <si>
    <t>Zdivo základové z bednicích tvárnic, tl. 25 cm</t>
  </si>
  <si>
    <t>Zdivo základové z bednicích tvárnic, tl. 20 cm-kanal.</t>
  </si>
  <si>
    <t>Zdi podpěrné a volné</t>
  </si>
  <si>
    <t>Zdivo z tvárnic pórob. P2,5-450 PD s kaps.tl.250</t>
  </si>
  <si>
    <t>Výztuž  š. 250 mm v ložné spáře zdiva</t>
  </si>
  <si>
    <t>Zdivo z tvárnic pórobet.PORFIX P2-440 PDK tl. 150</t>
  </si>
  <si>
    <t>Zdi přehradní a opěrné</t>
  </si>
  <si>
    <t>Bednění ztracené konstrukcí opěrných zdí</t>
  </si>
  <si>
    <t>Stěny a příčky</t>
  </si>
  <si>
    <t>Příčka z tvárnic porobet. tl.150 mm hlad. P2-500</t>
  </si>
  <si>
    <t>Zazdívka otvorů pl.4 m2,cihlami tl.zdi nad 10 cm</t>
  </si>
  <si>
    <t>Schodiště</t>
  </si>
  <si>
    <t>Schodišťové konstrukce, železobeton C 20/25</t>
  </si>
  <si>
    <t>Výztuž schodišťových konstrukcí svařovanou sítí</t>
  </si>
  <si>
    <t>Bednění podest přímočarých - zřízení</t>
  </si>
  <si>
    <t>Bednění podest přímočarých - odstranění</t>
  </si>
  <si>
    <t>Bednění stupňů přímočarých - zřízení</t>
  </si>
  <si>
    <t>Bednění stupňů přímočarých - odstranění</t>
  </si>
  <si>
    <t>Zpevněné plochy (kromě vozovek a železničního svršku)</t>
  </si>
  <si>
    <t>Kladení bet. desek do 60 kg tl. do 10cm, zalití MC</t>
  </si>
  <si>
    <t>Dlažby a předlažby pozemních komunikací a zpevněných ploch</t>
  </si>
  <si>
    <t>Kladení dlaždic kom.pro pěší, lože z kamen. těž.vč.dlažby</t>
  </si>
  <si>
    <t>Úprava povrchů vnitřní</t>
  </si>
  <si>
    <t>Omítka vnitř.zdiva ze such.směsi, štuková, strojně</t>
  </si>
  <si>
    <t>Montáž výztužné sítě (perlinky) do stěrky-stěny</t>
  </si>
  <si>
    <t>Oprava vápen.omítek stěn do 50 % pl. - štukových</t>
  </si>
  <si>
    <t>Oprava váp.omítek stropů do 50% plochy - štukových</t>
  </si>
  <si>
    <t>Úprava povrchů vnější</t>
  </si>
  <si>
    <t>Zateplovací systém Cemix, ostění, EPS F tl. 40 mm</t>
  </si>
  <si>
    <t>Zateplovací systém Cemix, sokl, XPS tl. 160 mm</t>
  </si>
  <si>
    <t>Soklová lišta hliník KZS Cemix tl. 160 mm</t>
  </si>
  <si>
    <t>Zateplovací systém Cemix,fasáda, EPS F tl. 160 mm</t>
  </si>
  <si>
    <t>Omítka stěn -pas marmolit střednězrnná</t>
  </si>
  <si>
    <t>Omítka vnější stěn akrylát</t>
  </si>
  <si>
    <t>Omítkový sanační systém Cemix, 3vrst.</t>
  </si>
  <si>
    <t>Sladění-nátěr vnější omítky akrylátový z lešení</t>
  </si>
  <si>
    <t>Podlahy a podlahové konstrukce</t>
  </si>
  <si>
    <t>Mazanina betonová tl. 8 - 12 cm C 16/20</t>
  </si>
  <si>
    <t>Výztuž mazanin svařovanou sítí</t>
  </si>
  <si>
    <t>Potěr ze SMS Cemix,  tl. 50 mm</t>
  </si>
  <si>
    <t>Výplně otvorů</t>
  </si>
  <si>
    <t>Osazení parapet.desek plast. a lamin. š. do 20cm</t>
  </si>
  <si>
    <t>Osazení zárubní dveřních ocelových, pl. do 2,5 m2</t>
  </si>
  <si>
    <t>Osazení plast. zárubní dodatečně do 2,5 m2</t>
  </si>
  <si>
    <t>Izolace proti vodě</t>
  </si>
  <si>
    <t>Izolace proti vlhkosti vodor.,nátěr penetr.emulzí</t>
  </si>
  <si>
    <t>Izolace proti vlhkosti svis.,nátěr penetr.emulzí</t>
  </si>
  <si>
    <t>Izolace proti vlhk. vodorov. pásy přitavením vč.mater./Glastek/</t>
  </si>
  <si>
    <t>Izolace proti vlhkosti svislá pásy přitavením vč.mater.2vrstvy</t>
  </si>
  <si>
    <t>Montáž nopové fólie svisle</t>
  </si>
  <si>
    <t>Izolace tepelné</t>
  </si>
  <si>
    <t>Izolace tepelná podlah na sucho, jednovrstvá</t>
  </si>
  <si>
    <t>Položení separační fólie</t>
  </si>
  <si>
    <t>Zařizovací předměty</t>
  </si>
  <si>
    <t>Umyvadlo.,odpad,baterie,potrubí plast.,výlevka</t>
  </si>
  <si>
    <t>Otopná tělesa</t>
  </si>
  <si>
    <t>Otpná tělesa Radik,rozvody Cu,hlavice,šroubení</t>
  </si>
  <si>
    <t>Konstrukce klempířské</t>
  </si>
  <si>
    <t>Oplechování zdí z Pz plechu, rš 400 mm</t>
  </si>
  <si>
    <t>Oplechování parapetů včetně rohů Pz, rš 330 mm</t>
  </si>
  <si>
    <t>Konstrukce truhlářské</t>
  </si>
  <si>
    <t>Montáž oken plastových plochy do 2,70 m2 vč.dveří</t>
  </si>
  <si>
    <t>Montáž prahů dveří jednokřídlových š. nad 10 cm</t>
  </si>
  <si>
    <t>Montáž dveří s polodrážkou, MD,1kř. do 80 cm</t>
  </si>
  <si>
    <t>Konstrukce doplňkové stavební (zámečnické)</t>
  </si>
  <si>
    <t>Montáž zábradlí rovného z profilů</t>
  </si>
  <si>
    <t>Podlahy z dlaždic</t>
  </si>
  <si>
    <t>Kladení dlaždic na stupnice do tmele, jedna řada</t>
  </si>
  <si>
    <t>Kladení dlaždic na podstupnice do tmele, 1 řada</t>
  </si>
  <si>
    <t>Kladení dlažby keramické do TM, vel. do 400x400 mm</t>
  </si>
  <si>
    <t>Obklad soklíků keram.rovných, tmel,výška 10 cm</t>
  </si>
  <si>
    <t>Příplatek za lepidlo</t>
  </si>
  <si>
    <t>Podlahy povlakové</t>
  </si>
  <si>
    <t>Položení volné podlah z pásů textilních-JEKOR</t>
  </si>
  <si>
    <t>Obklady (keramické)</t>
  </si>
  <si>
    <t>Obkládání stěn obkl. pórovin. do tmele do 300x300</t>
  </si>
  <si>
    <t>Nátěry</t>
  </si>
  <si>
    <t>Nátěr syntetický kovových konstrukcí dvojnásobný</t>
  </si>
  <si>
    <t>Malby</t>
  </si>
  <si>
    <t>Malba tekutá Remal standard, bar., bez penetr.,2 x</t>
  </si>
  <si>
    <t>Penetrace podkladu nátěrem V1307  1 x</t>
  </si>
  <si>
    <t>Potrubí z trub plastických, skleněných a čedičových</t>
  </si>
  <si>
    <t>Montáž trub z plastu, gumový kroužek, DN 160</t>
  </si>
  <si>
    <t>Montáž tvarovek odboč. plast. gum. kroužek DN 160</t>
  </si>
  <si>
    <t>Montáž tvarovek jednoos. plast. gum.kroužek DN 160</t>
  </si>
  <si>
    <t>Montáž přesuvek z plastu DN 160-napojení jiného materiálu</t>
  </si>
  <si>
    <t>Doplňující konstrukce a práce na pozemních komunikacích a zpevněných plochách</t>
  </si>
  <si>
    <t>Řezání stávajícího živičného krytu tl. 10 - 15 cm</t>
  </si>
  <si>
    <t>Lešení a stavební výtahy</t>
  </si>
  <si>
    <t>Lešení lehké pomocné, výška podlahy do 1,9 m</t>
  </si>
  <si>
    <t>Různé dokončovací konstrukce a práce na pozemních stavbách</t>
  </si>
  <si>
    <t>Osazení ventilačních mřížek</t>
  </si>
  <si>
    <t>Bourání konstrukcí</t>
  </si>
  <si>
    <t>Bourání živice nad 1 m2-patky,pasy</t>
  </si>
  <si>
    <t>Vybourání kanalizačního potrubí DN do 200 mm</t>
  </si>
  <si>
    <t>Prorážení otvorů a ostatní bourací práce</t>
  </si>
  <si>
    <t>Odstranění KZS minerál.izolace tl.100 mm s omítkou</t>
  </si>
  <si>
    <t>Vybourání otv. zeď cihel. pl.4 m2, tl.30 cm, MVC</t>
  </si>
  <si>
    <t>Budovy občanské výstavby</t>
  </si>
  <si>
    <t>Přesun hmot pro budovy zděné výšky do 6 m</t>
  </si>
  <si>
    <t>Přesun hmot pro podlahy z dlaždic, výšky do 6 m</t>
  </si>
  <si>
    <t>Elektromontáže</t>
  </si>
  <si>
    <t>Svítidla,vypínače.zásuvky,kabeláž,zesílení jističů</t>
  </si>
  <si>
    <t>Přesuny sutí</t>
  </si>
  <si>
    <t>Vodorovná doprava suti a hmot po suchu do 6000 m</t>
  </si>
  <si>
    <t>Poplatek za skládku suti - obalované kam. - asfalt</t>
  </si>
  <si>
    <t>Poplatek za skládku suti - beton</t>
  </si>
  <si>
    <t>Poplatek za skládku zeminy</t>
  </si>
  <si>
    <t>Ostatní materiál</t>
  </si>
  <si>
    <t>Deska polystyren. EXTRAPOR 150 S Stabil tl. 100 mm</t>
  </si>
  <si>
    <t>Dveře vnitřní hladké 3/4 sklo 1kř. 80x197 bílé vč.kování</t>
  </si>
  <si>
    <t>Okno plastové  200 x 100 cm O+OS bílé</t>
  </si>
  <si>
    <t>Prah dubový</t>
  </si>
  <si>
    <t>Dveře vchodové plast,bezp.folie, 1000x2200 otevíravé</t>
  </si>
  <si>
    <t>Dlažba Taurus Granit matná 300x300x9 mm</t>
  </si>
  <si>
    <t>Dveře vchodové plast  800x2200 otevíravé</t>
  </si>
  <si>
    <t>M.j.</t>
  </si>
  <si>
    <t>m2</t>
  </si>
  <si>
    <t>m3</t>
  </si>
  <si>
    <t>t</t>
  </si>
  <si>
    <t>m</t>
  </si>
  <si>
    <t>kus</t>
  </si>
  <si>
    <t>soubor</t>
  </si>
  <si>
    <t>kpt</t>
  </si>
  <si>
    <t>%</t>
  </si>
  <si>
    <t>Množství</t>
  </si>
  <si>
    <t>Celkem bez DPH</t>
  </si>
  <si>
    <t>Celkem včetně DPH</t>
  </si>
  <si>
    <t>Rezerva</t>
  </si>
  <si>
    <t>kpl</t>
  </si>
  <si>
    <t>DPH 21 %</t>
  </si>
  <si>
    <r>
      <t>„</t>
    </r>
    <r>
      <rPr>
        <b/>
        <sz val="14"/>
        <rFont val="Calibri"/>
        <family val="2"/>
      </rPr>
      <t>Stavební úpravy MŠ Na Karlově Benešov – dostavba učebny“</t>
    </r>
    <r>
      <rPr>
        <sz val="14"/>
        <rFont val="Calibri"/>
        <family val="2"/>
      </rPr>
      <t xml:space="preserve">  </t>
    </r>
  </si>
  <si>
    <t>j.c.</t>
  </si>
  <si>
    <t>celkem</t>
  </si>
  <si>
    <t>soupis prací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</si>
</sst>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\ &quot;Kč&quot;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25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9">
    <xf numFmtId="0" fontId="1" fillId="0" borderId="0" xfId="0" applyFont="1" applyAlignment="1">
      <alignment vertical="center"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2" fillId="33" borderId="11" xfId="0" applyNumberFormat="1" applyFont="1" applyFill="1" applyBorder="1" applyAlignment="1" applyProtection="1">
      <alignment horizontal="left" vertical="center"/>
      <protection/>
    </xf>
    <xf numFmtId="49" fontId="2" fillId="33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0" fontId="1" fillId="0" borderId="0" xfId="0" applyNumberFormat="1" applyFont="1" applyAlignment="1">
      <alignment horizontal="center" vertical="center"/>
    </xf>
    <xf numFmtId="170" fontId="2" fillId="0" borderId="10" xfId="0" applyNumberFormat="1" applyFont="1" applyFill="1" applyBorder="1" applyAlignment="1" applyProtection="1">
      <alignment horizontal="center" vertical="center"/>
      <protection/>
    </xf>
    <xf numFmtId="170" fontId="2" fillId="0" borderId="10" xfId="0" applyNumberFormat="1" applyFont="1" applyBorder="1" applyAlignment="1">
      <alignment horizontal="center" vertical="center"/>
    </xf>
    <xf numFmtId="170" fontId="2" fillId="33" borderId="11" xfId="0" applyNumberFormat="1" applyFont="1" applyFill="1" applyBorder="1" applyAlignment="1" applyProtection="1">
      <alignment horizontal="center" vertical="center"/>
      <protection/>
    </xf>
    <xf numFmtId="170" fontId="2" fillId="33" borderId="0" xfId="0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170" fontId="2" fillId="0" borderId="0" xfId="0" applyNumberFormat="1" applyFont="1" applyAlignment="1">
      <alignment horizontal="center" vertical="center"/>
    </xf>
    <xf numFmtId="170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X141"/>
  <sheetViews>
    <sheetView tabSelected="1" zoomScalePageLayoutView="0" workbookViewId="0" topLeftCell="C109">
      <selection activeCell="F6" sqref="F6:F137"/>
    </sheetView>
  </sheetViews>
  <sheetFormatPr defaultColWidth="11.57421875" defaultRowHeight="12.75"/>
  <cols>
    <col min="1" max="1" width="3.7109375" style="0" customWidth="1"/>
    <col min="2" max="2" width="15.00390625" style="0" customWidth="1"/>
    <col min="3" max="3" width="58.28125" style="0" customWidth="1"/>
    <col min="4" max="4" width="4.28125" style="0" customWidth="1"/>
    <col min="5" max="5" width="10.421875" style="10" customWidth="1"/>
    <col min="6" max="6" width="12.57421875" style="19" customWidth="1"/>
    <col min="7" max="7" width="17.140625" style="19" customWidth="1"/>
    <col min="8" max="22" width="11.57421875" style="0" customWidth="1"/>
    <col min="23" max="24" width="12.140625" style="0" hidden="1" customWidth="1"/>
  </cols>
  <sheetData>
    <row r="2" ht="18.75">
      <c r="C2" s="9" t="s">
        <v>357</v>
      </c>
    </row>
    <row r="3" ht="19.5" thickBot="1">
      <c r="C3" s="28" t="s">
        <v>360</v>
      </c>
    </row>
    <row r="4" spans="1:7" ht="13.5" thickBot="1">
      <c r="A4" s="3" t="s">
        <v>0</v>
      </c>
      <c r="B4" s="3" t="s">
        <v>96</v>
      </c>
      <c r="C4" s="3" t="s">
        <v>210</v>
      </c>
      <c r="D4" s="3" t="s">
        <v>342</v>
      </c>
      <c r="E4" s="11" t="s">
        <v>351</v>
      </c>
      <c r="F4" s="20" t="s">
        <v>358</v>
      </c>
      <c r="G4" s="21" t="s">
        <v>359</v>
      </c>
    </row>
    <row r="5" spans="1:7" ht="12.75">
      <c r="A5" s="4" t="s">
        <v>1</v>
      </c>
      <c r="B5" s="4" t="s">
        <v>12</v>
      </c>
      <c r="C5" s="4" t="s">
        <v>211</v>
      </c>
      <c r="D5" s="4" t="s">
        <v>1</v>
      </c>
      <c r="E5" s="12" t="s">
        <v>1</v>
      </c>
      <c r="F5" s="22" t="s">
        <v>1</v>
      </c>
      <c r="G5" s="23"/>
    </row>
    <row r="6" spans="1:24" ht="12.75">
      <c r="A6" s="1" t="s">
        <v>2</v>
      </c>
      <c r="B6" s="1" t="s">
        <v>97</v>
      </c>
      <c r="C6" s="1" t="s">
        <v>212</v>
      </c>
      <c r="D6" s="1" t="s">
        <v>343</v>
      </c>
      <c r="E6" s="13">
        <v>99</v>
      </c>
      <c r="F6" s="24"/>
      <c r="G6" s="19">
        <f>SUM(E6*F6)</f>
        <v>0</v>
      </c>
      <c r="W6" s="6">
        <f>F6*0</f>
        <v>0</v>
      </c>
      <c r="X6" s="6">
        <f>F6*(1-0)</f>
        <v>0</v>
      </c>
    </row>
    <row r="7" spans="1:7" ht="12.75">
      <c r="A7" s="5" t="s">
        <v>1</v>
      </c>
      <c r="B7" s="5" t="s">
        <v>13</v>
      </c>
      <c r="C7" s="5" t="s">
        <v>213</v>
      </c>
      <c r="D7" s="5" t="s">
        <v>1</v>
      </c>
      <c r="E7" s="14" t="s">
        <v>1</v>
      </c>
      <c r="F7" s="23"/>
      <c r="G7" s="23"/>
    </row>
    <row r="8" spans="1:24" ht="12.75">
      <c r="A8" s="1" t="s">
        <v>3</v>
      </c>
      <c r="B8" s="1" t="s">
        <v>98</v>
      </c>
      <c r="C8" s="1" t="s">
        <v>214</v>
      </c>
      <c r="D8" s="1" t="s">
        <v>344</v>
      </c>
      <c r="E8" s="13">
        <v>2.4</v>
      </c>
      <c r="F8" s="24"/>
      <c r="G8" s="19">
        <f>SUM(E8*F8)</f>
        <v>0</v>
      </c>
      <c r="W8" s="6">
        <f>F8*0</f>
        <v>0</v>
      </c>
      <c r="X8" s="6">
        <f>F8*(1-0)</f>
        <v>0</v>
      </c>
    </row>
    <row r="9" spans="1:7" ht="12.75">
      <c r="A9" s="5" t="s">
        <v>1</v>
      </c>
      <c r="B9" s="5" t="s">
        <v>14</v>
      </c>
      <c r="C9" s="5" t="s">
        <v>215</v>
      </c>
      <c r="D9" s="5" t="s">
        <v>1</v>
      </c>
      <c r="E9" s="14" t="s">
        <v>1</v>
      </c>
      <c r="F9" s="23"/>
      <c r="G9" s="23"/>
    </row>
    <row r="10" spans="1:24" ht="12.75">
      <c r="A10" s="1" t="s">
        <v>4</v>
      </c>
      <c r="B10" s="1" t="s">
        <v>99</v>
      </c>
      <c r="C10" s="1" t="s">
        <v>216</v>
      </c>
      <c r="D10" s="1" t="s">
        <v>344</v>
      </c>
      <c r="E10" s="13">
        <v>21.16</v>
      </c>
      <c r="F10" s="24"/>
      <c r="G10" s="19">
        <f>SUM(E10*F10)</f>
        <v>0</v>
      </c>
      <c r="W10" s="6">
        <f>F10*0</f>
        <v>0</v>
      </c>
      <c r="X10" s="6">
        <f>F10*(1-0)</f>
        <v>0</v>
      </c>
    </row>
    <row r="11" spans="1:24" ht="12.75">
      <c r="A11" s="1" t="s">
        <v>5</v>
      </c>
      <c r="B11" s="1" t="s">
        <v>100</v>
      </c>
      <c r="C11" s="1" t="s">
        <v>217</v>
      </c>
      <c r="D11" s="1" t="s">
        <v>344</v>
      </c>
      <c r="E11" s="13">
        <v>76</v>
      </c>
      <c r="F11" s="24"/>
      <c r="G11" s="19">
        <f>SUM(E11*F11)</f>
        <v>0</v>
      </c>
      <c r="W11" s="6">
        <f>F11*0</f>
        <v>0</v>
      </c>
      <c r="X11" s="6">
        <f>F11*(1-0)</f>
        <v>0</v>
      </c>
    </row>
    <row r="12" spans="1:7" ht="12.75">
      <c r="A12" s="5" t="s">
        <v>1</v>
      </c>
      <c r="B12" s="5" t="s">
        <v>17</v>
      </c>
      <c r="C12" s="5" t="s">
        <v>218</v>
      </c>
      <c r="D12" s="5" t="s">
        <v>1</v>
      </c>
      <c r="E12" s="14" t="s">
        <v>1</v>
      </c>
      <c r="F12" s="23"/>
      <c r="G12" s="23"/>
    </row>
    <row r="13" spans="1:24" ht="12.75">
      <c r="A13" s="1" t="s">
        <v>6</v>
      </c>
      <c r="B13" s="1" t="s">
        <v>101</v>
      </c>
      <c r="C13" s="1" t="s">
        <v>219</v>
      </c>
      <c r="D13" s="1" t="s">
        <v>344</v>
      </c>
      <c r="E13" s="13">
        <v>97.16</v>
      </c>
      <c r="F13" s="24"/>
      <c r="G13" s="19">
        <f>SUM(E13*F13)</f>
        <v>0</v>
      </c>
      <c r="W13" s="6">
        <f>F13*0</f>
        <v>0</v>
      </c>
      <c r="X13" s="6">
        <f>F13*(1-0)</f>
        <v>0</v>
      </c>
    </row>
    <row r="14" spans="1:7" ht="12.75">
      <c r="A14" s="5" t="s">
        <v>1</v>
      </c>
      <c r="B14" s="5" t="s">
        <v>28</v>
      </c>
      <c r="C14" s="5" t="s">
        <v>220</v>
      </c>
      <c r="D14" s="5" t="s">
        <v>1</v>
      </c>
      <c r="E14" s="14" t="s">
        <v>1</v>
      </c>
      <c r="F14" s="23"/>
      <c r="G14" s="23"/>
    </row>
    <row r="15" spans="1:24" ht="12.75">
      <c r="A15" s="1" t="s">
        <v>7</v>
      </c>
      <c r="B15" s="1" t="s">
        <v>102</v>
      </c>
      <c r="C15" s="1" t="s">
        <v>221</v>
      </c>
      <c r="D15" s="1" t="s">
        <v>344</v>
      </c>
      <c r="E15" s="13">
        <v>3.2</v>
      </c>
      <c r="F15" s="24"/>
      <c r="G15" s="19">
        <f aca="true" t="shared" si="0" ref="G15:G21">SUM(E15*F15)</f>
        <v>0</v>
      </c>
      <c r="W15" s="6">
        <f>F15*0.920834220815087</f>
        <v>0</v>
      </c>
      <c r="X15" s="6">
        <f>F15*(1-0.920834220815087)</f>
        <v>0</v>
      </c>
    </row>
    <row r="16" spans="1:24" ht="12.75">
      <c r="A16" s="1" t="s">
        <v>8</v>
      </c>
      <c r="B16" s="1" t="s">
        <v>103</v>
      </c>
      <c r="C16" s="1" t="s">
        <v>222</v>
      </c>
      <c r="D16" s="1" t="s">
        <v>343</v>
      </c>
      <c r="E16" s="13">
        <v>12.8</v>
      </c>
      <c r="F16" s="24"/>
      <c r="G16" s="19">
        <f t="shared" si="0"/>
        <v>0</v>
      </c>
      <c r="W16" s="6">
        <f>F16*0.720623742454728</f>
        <v>0</v>
      </c>
      <c r="X16" s="6">
        <f>F16*(1-0.720623742454728)</f>
        <v>0</v>
      </c>
    </row>
    <row r="17" spans="1:24" ht="12.75">
      <c r="A17" s="1" t="s">
        <v>9</v>
      </c>
      <c r="B17" s="1" t="s">
        <v>104</v>
      </c>
      <c r="C17" s="1" t="s">
        <v>223</v>
      </c>
      <c r="D17" s="1" t="s">
        <v>343</v>
      </c>
      <c r="E17" s="13">
        <v>12.8</v>
      </c>
      <c r="F17" s="24"/>
      <c r="G17" s="19">
        <f t="shared" si="0"/>
        <v>0</v>
      </c>
      <c r="W17" s="6">
        <f>F17*0</f>
        <v>0</v>
      </c>
      <c r="X17" s="6">
        <f>F17*(1-0)</f>
        <v>0</v>
      </c>
    </row>
    <row r="18" spans="1:24" ht="12.75">
      <c r="A18" s="1" t="s">
        <v>10</v>
      </c>
      <c r="B18" s="1" t="s">
        <v>105</v>
      </c>
      <c r="C18" s="1" t="s">
        <v>224</v>
      </c>
      <c r="D18" s="1" t="s">
        <v>345</v>
      </c>
      <c r="E18" s="13">
        <v>0.15</v>
      </c>
      <c r="F18" s="24"/>
      <c r="G18" s="19">
        <f t="shared" si="0"/>
        <v>0</v>
      </c>
      <c r="W18" s="6">
        <f>F18*0.56901580202743</f>
        <v>0</v>
      </c>
      <c r="X18" s="6">
        <f>F18*(1-0.56901580202743)</f>
        <v>0</v>
      </c>
    </row>
    <row r="19" spans="1:24" ht="12.75">
      <c r="A19" s="1" t="s">
        <v>11</v>
      </c>
      <c r="B19" s="1" t="s">
        <v>106</v>
      </c>
      <c r="C19" s="1" t="s">
        <v>225</v>
      </c>
      <c r="D19" s="1" t="s">
        <v>344</v>
      </c>
      <c r="E19" s="13">
        <v>12.5</v>
      </c>
      <c r="F19" s="24"/>
      <c r="G19" s="19">
        <f t="shared" si="0"/>
        <v>0</v>
      </c>
      <c r="W19" s="6">
        <f>F19*0.483234042553191</f>
        <v>0</v>
      </c>
      <c r="X19" s="6">
        <f>F19*(1-0.483234042553191)</f>
        <v>0</v>
      </c>
    </row>
    <row r="20" spans="1:24" ht="12.75">
      <c r="A20" s="1" t="s">
        <v>12</v>
      </c>
      <c r="B20" s="1" t="s">
        <v>107</v>
      </c>
      <c r="C20" s="1" t="s">
        <v>226</v>
      </c>
      <c r="D20" s="1" t="s">
        <v>343</v>
      </c>
      <c r="E20" s="13">
        <v>11.2</v>
      </c>
      <c r="F20" s="24"/>
      <c r="G20" s="19">
        <f t="shared" si="0"/>
        <v>0</v>
      </c>
      <c r="W20" s="6">
        <f>F20*0.704622819405556</f>
        <v>0</v>
      </c>
      <c r="X20" s="6">
        <f>F20*(1-0.704622819405556)</f>
        <v>0</v>
      </c>
    </row>
    <row r="21" spans="1:24" ht="12.75">
      <c r="A21" s="1" t="s">
        <v>13</v>
      </c>
      <c r="B21" s="1" t="s">
        <v>108</v>
      </c>
      <c r="C21" s="1" t="s">
        <v>227</v>
      </c>
      <c r="D21" s="1" t="s">
        <v>343</v>
      </c>
      <c r="E21" s="13">
        <v>14.6</v>
      </c>
      <c r="F21" s="24"/>
      <c r="G21" s="19">
        <f t="shared" si="0"/>
        <v>0</v>
      </c>
      <c r="W21" s="6">
        <f>F21*0.692214137214137</f>
        <v>0</v>
      </c>
      <c r="X21" s="6">
        <f>F21*(1-0.692214137214137)</f>
        <v>0</v>
      </c>
    </row>
    <row r="22" spans="1:7" ht="12.75">
      <c r="A22" s="5" t="s">
        <v>1</v>
      </c>
      <c r="B22" s="5" t="s">
        <v>32</v>
      </c>
      <c r="C22" s="5" t="s">
        <v>228</v>
      </c>
      <c r="D22" s="5" t="s">
        <v>1</v>
      </c>
      <c r="E22" s="14" t="s">
        <v>1</v>
      </c>
      <c r="F22" s="23"/>
      <c r="G22" s="23"/>
    </row>
    <row r="23" spans="1:24" ht="12.75">
      <c r="A23" s="1" t="s">
        <v>14</v>
      </c>
      <c r="B23" s="1" t="s">
        <v>109</v>
      </c>
      <c r="C23" s="1" t="s">
        <v>229</v>
      </c>
      <c r="D23" s="1" t="s">
        <v>343</v>
      </c>
      <c r="E23" s="13">
        <v>25.6</v>
      </c>
      <c r="F23" s="24"/>
      <c r="G23" s="19">
        <f>SUM(E23*F23)</f>
        <v>0</v>
      </c>
      <c r="W23" s="6">
        <f>F23*0.78178496868476</f>
        <v>0</v>
      </c>
      <c r="X23" s="6">
        <f>F23*(1-0.78178496868476)</f>
        <v>0</v>
      </c>
    </row>
    <row r="24" spans="1:24" ht="12.75">
      <c r="A24" s="1" t="s">
        <v>15</v>
      </c>
      <c r="B24" s="1" t="s">
        <v>110</v>
      </c>
      <c r="C24" s="1" t="s">
        <v>230</v>
      </c>
      <c r="D24" s="1" t="s">
        <v>346</v>
      </c>
      <c r="E24" s="13">
        <v>158</v>
      </c>
      <c r="F24" s="24"/>
      <c r="G24" s="19">
        <f>SUM(E24*F24)</f>
        <v>0</v>
      </c>
      <c r="W24" s="6">
        <f>F24*0.70889379642642</f>
        <v>0</v>
      </c>
      <c r="X24" s="6">
        <f>F24*(1-0.70889379642642)</f>
        <v>0</v>
      </c>
    </row>
    <row r="25" spans="1:24" ht="12.75">
      <c r="A25" s="1" t="s">
        <v>16</v>
      </c>
      <c r="B25" s="1" t="s">
        <v>111</v>
      </c>
      <c r="C25" s="1" t="s">
        <v>231</v>
      </c>
      <c r="D25" s="1" t="s">
        <v>343</v>
      </c>
      <c r="E25" s="13">
        <v>13</v>
      </c>
      <c r="F25" s="24"/>
      <c r="G25" s="19">
        <f>SUM(E25*F25)</f>
        <v>0</v>
      </c>
      <c r="W25" s="6">
        <f>F25*0.778372484884528</f>
        <v>0</v>
      </c>
      <c r="X25" s="6">
        <f>F25*(1-0.778372484884528)</f>
        <v>0</v>
      </c>
    </row>
    <row r="26" spans="1:7" ht="12.75">
      <c r="A26" s="5" t="s">
        <v>1</v>
      </c>
      <c r="B26" s="5" t="s">
        <v>33</v>
      </c>
      <c r="C26" s="5" t="s">
        <v>232</v>
      </c>
      <c r="D26" s="5" t="s">
        <v>1</v>
      </c>
      <c r="E26" s="14" t="s">
        <v>1</v>
      </c>
      <c r="F26" s="23"/>
      <c r="G26" s="23"/>
    </row>
    <row r="27" spans="1:24" ht="12.75">
      <c r="A27" s="1" t="s">
        <v>17</v>
      </c>
      <c r="B27" s="1" t="s">
        <v>112</v>
      </c>
      <c r="C27" s="1" t="s">
        <v>233</v>
      </c>
      <c r="D27" s="1" t="s">
        <v>343</v>
      </c>
      <c r="E27" s="13">
        <v>5</v>
      </c>
      <c r="F27" s="24"/>
      <c r="G27" s="19">
        <f>SUM(E27*F27)</f>
        <v>0</v>
      </c>
      <c r="W27" s="6">
        <f>F27*0.34875</f>
        <v>0</v>
      </c>
      <c r="X27" s="6">
        <f>F27*(1-0.34875)</f>
        <v>0</v>
      </c>
    </row>
    <row r="28" spans="1:7" ht="12.75">
      <c r="A28" s="5" t="s">
        <v>1</v>
      </c>
      <c r="B28" s="5" t="s">
        <v>35</v>
      </c>
      <c r="C28" s="5" t="s">
        <v>234</v>
      </c>
      <c r="D28" s="5" t="s">
        <v>1</v>
      </c>
      <c r="E28" s="14" t="s">
        <v>1</v>
      </c>
      <c r="F28" s="23"/>
      <c r="G28" s="23"/>
    </row>
    <row r="29" spans="1:24" ht="12.75">
      <c r="A29" s="1" t="s">
        <v>18</v>
      </c>
      <c r="B29" s="1" t="s">
        <v>113</v>
      </c>
      <c r="C29" s="1" t="s">
        <v>235</v>
      </c>
      <c r="D29" s="1" t="s">
        <v>343</v>
      </c>
      <c r="E29" s="13">
        <v>40.6</v>
      </c>
      <c r="F29" s="24"/>
      <c r="G29" s="19">
        <f>SUM(E29*F29)</f>
        <v>0</v>
      </c>
      <c r="W29" s="6">
        <f>F29*0.697270355150701</f>
        <v>0</v>
      </c>
      <c r="X29" s="6">
        <f>F29*(1-0.697270355150701)</f>
        <v>0</v>
      </c>
    </row>
    <row r="30" spans="1:24" ht="12.75">
      <c r="A30" s="1" t="s">
        <v>19</v>
      </c>
      <c r="B30" s="1" t="s">
        <v>114</v>
      </c>
      <c r="C30" s="1" t="s">
        <v>236</v>
      </c>
      <c r="D30" s="1" t="s">
        <v>343</v>
      </c>
      <c r="E30" s="13">
        <v>2.2</v>
      </c>
      <c r="F30" s="24"/>
      <c r="G30" s="19">
        <f>SUM(E30*F30)</f>
        <v>0</v>
      </c>
      <c r="W30" s="6">
        <f>F30*0.670626049919975</f>
        <v>0</v>
      </c>
      <c r="X30" s="6">
        <f>F30*(1-0.670626049919975)</f>
        <v>0</v>
      </c>
    </row>
    <row r="31" spans="1:7" ht="12.75">
      <c r="A31" s="5" t="s">
        <v>1</v>
      </c>
      <c r="B31" s="5" t="s">
        <v>44</v>
      </c>
      <c r="C31" s="5" t="s">
        <v>237</v>
      </c>
      <c r="D31" s="5" t="s">
        <v>1</v>
      </c>
      <c r="E31" s="14" t="s">
        <v>1</v>
      </c>
      <c r="F31" s="23"/>
      <c r="G31" s="23"/>
    </row>
    <row r="32" spans="1:24" ht="12.75">
      <c r="A32" s="1" t="s">
        <v>20</v>
      </c>
      <c r="B32" s="1" t="s">
        <v>115</v>
      </c>
      <c r="C32" s="1" t="s">
        <v>238</v>
      </c>
      <c r="D32" s="1" t="s">
        <v>344</v>
      </c>
      <c r="E32" s="13">
        <v>0.8</v>
      </c>
      <c r="F32" s="24"/>
      <c r="G32" s="19">
        <f aca="true" t="shared" si="1" ref="G32:G37">SUM(E32*F32)</f>
        <v>0</v>
      </c>
      <c r="W32" s="6">
        <f>F32*0.658047619047619</f>
        <v>0</v>
      </c>
      <c r="X32" s="6">
        <f>F32*(1-0.658047619047619)</f>
        <v>0</v>
      </c>
    </row>
    <row r="33" spans="1:24" ht="12.75">
      <c r="A33" s="1" t="s">
        <v>21</v>
      </c>
      <c r="B33" s="1" t="s">
        <v>116</v>
      </c>
      <c r="C33" s="1" t="s">
        <v>239</v>
      </c>
      <c r="D33" s="1" t="s">
        <v>345</v>
      </c>
      <c r="E33" s="13">
        <v>0.05</v>
      </c>
      <c r="F33" s="24"/>
      <c r="G33" s="19">
        <f t="shared" si="1"/>
        <v>0</v>
      </c>
      <c r="W33" s="6">
        <f>F33*0.741958362989324</f>
        <v>0</v>
      </c>
      <c r="X33" s="6">
        <f>F33*(1-0.741958362989324)</f>
        <v>0</v>
      </c>
    </row>
    <row r="34" spans="1:24" ht="12.75">
      <c r="A34" s="1" t="s">
        <v>22</v>
      </c>
      <c r="B34" s="1" t="s">
        <v>117</v>
      </c>
      <c r="C34" s="1" t="s">
        <v>240</v>
      </c>
      <c r="D34" s="1" t="s">
        <v>343</v>
      </c>
      <c r="E34" s="13">
        <v>1</v>
      </c>
      <c r="F34" s="24"/>
      <c r="G34" s="19">
        <f t="shared" si="1"/>
        <v>0</v>
      </c>
      <c r="W34" s="6">
        <f>F34*0.589406068431246</f>
        <v>0</v>
      </c>
      <c r="X34" s="6">
        <f>F34*(1-0.589406068431246)</f>
        <v>0</v>
      </c>
    </row>
    <row r="35" spans="1:24" ht="12.75">
      <c r="A35" s="1" t="s">
        <v>23</v>
      </c>
      <c r="B35" s="1" t="s">
        <v>118</v>
      </c>
      <c r="C35" s="1" t="s">
        <v>241</v>
      </c>
      <c r="D35" s="1" t="s">
        <v>343</v>
      </c>
      <c r="E35" s="13">
        <v>1</v>
      </c>
      <c r="F35" s="24"/>
      <c r="G35" s="19">
        <f t="shared" si="1"/>
        <v>0</v>
      </c>
      <c r="W35" s="6">
        <f>F35*0</f>
        <v>0</v>
      </c>
      <c r="X35" s="6">
        <f>F35*(1-0)</f>
        <v>0</v>
      </c>
    </row>
    <row r="36" spans="1:24" ht="12.75">
      <c r="A36" s="1" t="s">
        <v>24</v>
      </c>
      <c r="B36" s="1" t="s">
        <v>119</v>
      </c>
      <c r="C36" s="1" t="s">
        <v>242</v>
      </c>
      <c r="D36" s="1" t="s">
        <v>343</v>
      </c>
      <c r="E36" s="13">
        <v>2</v>
      </c>
      <c r="F36" s="24"/>
      <c r="G36" s="19">
        <f t="shared" si="1"/>
        <v>0</v>
      </c>
      <c r="W36" s="6">
        <f>F36*0.535368126747437</f>
        <v>0</v>
      </c>
      <c r="X36" s="6">
        <f>F36*(1-0.535368126747437)</f>
        <v>0</v>
      </c>
    </row>
    <row r="37" spans="1:24" ht="12.75">
      <c r="A37" s="1" t="s">
        <v>25</v>
      </c>
      <c r="B37" s="1" t="s">
        <v>120</v>
      </c>
      <c r="C37" s="1" t="s">
        <v>243</v>
      </c>
      <c r="D37" s="1" t="s">
        <v>343</v>
      </c>
      <c r="E37" s="13">
        <v>2</v>
      </c>
      <c r="F37" s="24"/>
      <c r="G37" s="19">
        <f t="shared" si="1"/>
        <v>0</v>
      </c>
      <c r="W37" s="6">
        <f>F37*0</f>
        <v>0</v>
      </c>
      <c r="X37" s="6">
        <f>F37*(1-0)</f>
        <v>0</v>
      </c>
    </row>
    <row r="38" spans="1:7" ht="12.75">
      <c r="A38" s="5" t="s">
        <v>1</v>
      </c>
      <c r="B38" s="5" t="s">
        <v>47</v>
      </c>
      <c r="C38" s="5" t="s">
        <v>244</v>
      </c>
      <c r="D38" s="5" t="s">
        <v>1</v>
      </c>
      <c r="E38" s="14" t="s">
        <v>1</v>
      </c>
      <c r="F38" s="23"/>
      <c r="G38" s="23"/>
    </row>
    <row r="39" spans="1:24" ht="12.75">
      <c r="A39" s="1" t="s">
        <v>26</v>
      </c>
      <c r="B39" s="1" t="s">
        <v>121</v>
      </c>
      <c r="C39" s="1" t="s">
        <v>245</v>
      </c>
      <c r="D39" s="1" t="s">
        <v>343</v>
      </c>
      <c r="E39" s="13">
        <v>8</v>
      </c>
      <c r="F39" s="24"/>
      <c r="G39" s="19">
        <f>SUM(E39*F39)</f>
        <v>0</v>
      </c>
      <c r="W39" s="6">
        <f>F39*0.0922502245969077</f>
        <v>0</v>
      </c>
      <c r="X39" s="6">
        <f>F39*(1-0.0922502245969077)</f>
        <v>0</v>
      </c>
    </row>
    <row r="40" spans="1:7" ht="12.75">
      <c r="A40" s="5" t="s">
        <v>1</v>
      </c>
      <c r="B40" s="5" t="s">
        <v>60</v>
      </c>
      <c r="C40" s="5" t="s">
        <v>246</v>
      </c>
      <c r="D40" s="5" t="s">
        <v>1</v>
      </c>
      <c r="E40" s="14" t="s">
        <v>1</v>
      </c>
      <c r="F40" s="23"/>
      <c r="G40" s="23"/>
    </row>
    <row r="41" spans="1:24" ht="12.75">
      <c r="A41" s="1" t="s">
        <v>27</v>
      </c>
      <c r="B41" s="1" t="s">
        <v>122</v>
      </c>
      <c r="C41" s="1" t="s">
        <v>247</v>
      </c>
      <c r="D41" s="1" t="s">
        <v>343</v>
      </c>
      <c r="E41" s="13">
        <v>15</v>
      </c>
      <c r="F41" s="24"/>
      <c r="G41" s="19">
        <f>SUM(E41*F41)</f>
        <v>0</v>
      </c>
      <c r="W41" s="6">
        <f>F41*0.744791901012373</f>
        <v>0</v>
      </c>
      <c r="X41" s="6">
        <f>F41*(1-0.744791901012373)</f>
        <v>0</v>
      </c>
    </row>
    <row r="42" spans="1:7" ht="12.75">
      <c r="A42" s="5" t="s">
        <v>1</v>
      </c>
      <c r="B42" s="5" t="s">
        <v>62</v>
      </c>
      <c r="C42" s="5" t="s">
        <v>248</v>
      </c>
      <c r="D42" s="5" t="s">
        <v>1</v>
      </c>
      <c r="E42" s="14" t="s">
        <v>1</v>
      </c>
      <c r="F42" s="23"/>
      <c r="G42" s="23"/>
    </row>
    <row r="43" spans="1:24" ht="12.75">
      <c r="A43" s="1" t="s">
        <v>28</v>
      </c>
      <c r="B43" s="1" t="s">
        <v>123</v>
      </c>
      <c r="C43" s="1" t="s">
        <v>249</v>
      </c>
      <c r="D43" s="1" t="s">
        <v>343</v>
      </c>
      <c r="E43" s="13">
        <v>86.9</v>
      </c>
      <c r="F43" s="24"/>
      <c r="G43" s="19">
        <f>SUM(E43*F43)</f>
        <v>0</v>
      </c>
      <c r="W43" s="6">
        <f>F43*0.303151515151515</f>
        <v>0</v>
      </c>
      <c r="X43" s="6">
        <f>F43*(1-0.303151515151515)</f>
        <v>0</v>
      </c>
    </row>
    <row r="44" spans="1:24" ht="12.75">
      <c r="A44" s="1" t="s">
        <v>29</v>
      </c>
      <c r="B44" s="1" t="s">
        <v>124</v>
      </c>
      <c r="C44" s="1" t="s">
        <v>250</v>
      </c>
      <c r="D44" s="1" t="s">
        <v>343</v>
      </c>
      <c r="E44" s="13">
        <v>86.9</v>
      </c>
      <c r="F44" s="24"/>
      <c r="G44" s="19">
        <f>SUM(E44*F44)</f>
        <v>0</v>
      </c>
      <c r="W44" s="6">
        <f>F44*0.33881664838895</f>
        <v>0</v>
      </c>
      <c r="X44" s="6">
        <f>F44*(1-0.33881664838895)</f>
        <v>0</v>
      </c>
    </row>
    <row r="45" spans="1:24" ht="12.75">
      <c r="A45" s="1" t="s">
        <v>30</v>
      </c>
      <c r="B45" s="1" t="s">
        <v>125</v>
      </c>
      <c r="C45" s="1" t="s">
        <v>251</v>
      </c>
      <c r="D45" s="1" t="s">
        <v>343</v>
      </c>
      <c r="E45" s="13">
        <v>39</v>
      </c>
      <c r="F45" s="24"/>
      <c r="G45" s="19">
        <f>SUM(E45*F45)</f>
        <v>0</v>
      </c>
      <c r="W45" s="6">
        <f>F45*0.161353065539112</f>
        <v>0</v>
      </c>
      <c r="X45" s="6">
        <f>F45*(1-0.161353065539112)</f>
        <v>0</v>
      </c>
    </row>
    <row r="46" spans="1:24" ht="12.75">
      <c r="A46" s="1" t="s">
        <v>31</v>
      </c>
      <c r="B46" s="1" t="s">
        <v>126</v>
      </c>
      <c r="C46" s="1" t="s">
        <v>252</v>
      </c>
      <c r="D46" s="1" t="s">
        <v>343</v>
      </c>
      <c r="E46" s="13">
        <v>54</v>
      </c>
      <c r="F46" s="24"/>
      <c r="G46" s="19">
        <f>SUM(E46*F46)</f>
        <v>0</v>
      </c>
      <c r="W46" s="6">
        <f>F46*0.271901408450704</f>
        <v>0</v>
      </c>
      <c r="X46" s="6">
        <f>F46*(1-0.271901408450704)</f>
        <v>0</v>
      </c>
    </row>
    <row r="47" spans="1:7" ht="12.75">
      <c r="A47" s="5" t="s">
        <v>1</v>
      </c>
      <c r="B47" s="5" t="s">
        <v>63</v>
      </c>
      <c r="C47" s="5" t="s">
        <v>253</v>
      </c>
      <c r="D47" s="5" t="s">
        <v>1</v>
      </c>
      <c r="E47" s="14" t="s">
        <v>1</v>
      </c>
      <c r="F47" s="23"/>
      <c r="G47" s="23"/>
    </row>
    <row r="48" spans="1:24" ht="12.75">
      <c r="A48" s="1" t="s">
        <v>32</v>
      </c>
      <c r="B48" s="1" t="s">
        <v>127</v>
      </c>
      <c r="C48" s="1" t="s">
        <v>254</v>
      </c>
      <c r="D48" s="1" t="s">
        <v>343</v>
      </c>
      <c r="E48" s="13">
        <v>1.5</v>
      </c>
      <c r="F48" s="24"/>
      <c r="G48" s="19">
        <f aca="true" t="shared" si="2" ref="G48:G55">SUM(E48*F48)</f>
        <v>0</v>
      </c>
      <c r="W48" s="6">
        <f>F48*0.380110552763819</f>
        <v>0</v>
      </c>
      <c r="X48" s="6">
        <f>F48*(1-0.380110552763819)</f>
        <v>0</v>
      </c>
    </row>
    <row r="49" spans="1:24" ht="12.75">
      <c r="A49" s="1" t="s">
        <v>33</v>
      </c>
      <c r="B49" s="1" t="s">
        <v>128</v>
      </c>
      <c r="C49" s="1" t="s">
        <v>255</v>
      </c>
      <c r="D49" s="1" t="s">
        <v>343</v>
      </c>
      <c r="E49" s="13">
        <v>21</v>
      </c>
      <c r="F49" s="24"/>
      <c r="G49" s="19">
        <f t="shared" si="2"/>
        <v>0</v>
      </c>
      <c r="W49" s="6">
        <f>F49*0.782642487046632</f>
        <v>0</v>
      </c>
      <c r="X49" s="6">
        <f>F49*(1-0.782642487046632)</f>
        <v>0</v>
      </c>
    </row>
    <row r="50" spans="1:24" ht="12.75">
      <c r="A50" s="1" t="s">
        <v>34</v>
      </c>
      <c r="B50" s="1" t="s">
        <v>129</v>
      </c>
      <c r="C50" s="1" t="s">
        <v>256</v>
      </c>
      <c r="D50" s="1" t="s">
        <v>346</v>
      </c>
      <c r="E50" s="13">
        <v>19.5</v>
      </c>
      <c r="F50" s="24"/>
      <c r="G50" s="19">
        <f t="shared" si="2"/>
        <v>0</v>
      </c>
      <c r="W50" s="6">
        <f>F50*0.607314285714286</f>
        <v>0</v>
      </c>
      <c r="X50" s="6">
        <f>F50*(1-0.607314285714286)</f>
        <v>0</v>
      </c>
    </row>
    <row r="51" spans="1:24" ht="12.75">
      <c r="A51" s="1" t="s">
        <v>35</v>
      </c>
      <c r="B51" s="1" t="s">
        <v>130</v>
      </c>
      <c r="C51" s="1" t="s">
        <v>257</v>
      </c>
      <c r="D51" s="1" t="s">
        <v>343</v>
      </c>
      <c r="E51" s="13">
        <v>28</v>
      </c>
      <c r="F51" s="24"/>
      <c r="G51" s="19">
        <f t="shared" si="2"/>
        <v>0</v>
      </c>
      <c r="W51" s="6">
        <f>F51*0.632768817204301</f>
        <v>0</v>
      </c>
      <c r="X51" s="6">
        <f>F51*(1-0.632768817204301)</f>
        <v>0</v>
      </c>
    </row>
    <row r="52" spans="1:24" ht="12.75">
      <c r="A52" s="1" t="s">
        <v>36</v>
      </c>
      <c r="B52" s="1" t="s">
        <v>131</v>
      </c>
      <c r="C52" s="1" t="s">
        <v>258</v>
      </c>
      <c r="D52" s="1" t="s">
        <v>343</v>
      </c>
      <c r="E52" s="13">
        <v>19</v>
      </c>
      <c r="F52" s="24"/>
      <c r="G52" s="19">
        <f t="shared" si="2"/>
        <v>0</v>
      </c>
      <c r="W52" s="6">
        <f>F52*0.693031358885018</f>
        <v>0</v>
      </c>
      <c r="X52" s="6">
        <f>F52*(1-0.693031358885018)</f>
        <v>0</v>
      </c>
    </row>
    <row r="53" spans="1:24" ht="12.75">
      <c r="A53" s="1" t="s">
        <v>37</v>
      </c>
      <c r="B53" s="1" t="s">
        <v>132</v>
      </c>
      <c r="C53" s="1" t="s">
        <v>259</v>
      </c>
      <c r="D53" s="1" t="s">
        <v>343</v>
      </c>
      <c r="E53" s="13">
        <v>28</v>
      </c>
      <c r="F53" s="24"/>
      <c r="G53" s="19">
        <f t="shared" si="2"/>
        <v>0</v>
      </c>
      <c r="W53" s="6">
        <f>F53*0.470135746606335</f>
        <v>0</v>
      </c>
      <c r="X53" s="6">
        <f>F53*(1-0.470135746606335)</f>
        <v>0</v>
      </c>
    </row>
    <row r="54" spans="1:24" ht="12.75">
      <c r="A54" s="1" t="s">
        <v>38</v>
      </c>
      <c r="B54" s="1" t="s">
        <v>133</v>
      </c>
      <c r="C54" s="1" t="s">
        <v>260</v>
      </c>
      <c r="D54" s="1" t="s">
        <v>343</v>
      </c>
      <c r="E54" s="13">
        <v>14</v>
      </c>
      <c r="F54" s="24"/>
      <c r="G54" s="19">
        <f t="shared" si="2"/>
        <v>0</v>
      </c>
      <c r="W54" s="6">
        <f>F54*0.532705513761635</f>
        <v>0</v>
      </c>
      <c r="X54" s="6">
        <f>F54*(1-0.532705513761635)</f>
        <v>0</v>
      </c>
    </row>
    <row r="55" spans="1:24" ht="12.75">
      <c r="A55" s="1" t="s">
        <v>39</v>
      </c>
      <c r="B55" s="1" t="s">
        <v>134</v>
      </c>
      <c r="C55" s="1" t="s">
        <v>261</v>
      </c>
      <c r="D55" s="1" t="s">
        <v>343</v>
      </c>
      <c r="E55" s="13">
        <v>100</v>
      </c>
      <c r="F55" s="24"/>
      <c r="G55" s="19">
        <f t="shared" si="2"/>
        <v>0</v>
      </c>
      <c r="W55" s="6">
        <f>F55*0.335409090909091</f>
        <v>0</v>
      </c>
      <c r="X55" s="6">
        <f>F55*(1-0.335409090909091)</f>
        <v>0</v>
      </c>
    </row>
    <row r="56" spans="1:7" ht="12.75">
      <c r="A56" s="5" t="s">
        <v>1</v>
      </c>
      <c r="B56" s="5" t="s">
        <v>64</v>
      </c>
      <c r="C56" s="5" t="s">
        <v>262</v>
      </c>
      <c r="D56" s="5" t="s">
        <v>1</v>
      </c>
      <c r="E56" s="14" t="s">
        <v>1</v>
      </c>
      <c r="F56" s="23"/>
      <c r="G56" s="23"/>
    </row>
    <row r="57" spans="1:24" ht="12.75">
      <c r="A57" s="1" t="s">
        <v>40</v>
      </c>
      <c r="B57" s="1" t="s">
        <v>135</v>
      </c>
      <c r="C57" s="1" t="s">
        <v>263</v>
      </c>
      <c r="D57" s="1" t="s">
        <v>344</v>
      </c>
      <c r="E57" s="13">
        <v>13</v>
      </c>
      <c r="F57" s="24"/>
      <c r="G57" s="19">
        <f>SUM(E57*F57)</f>
        <v>0</v>
      </c>
      <c r="W57" s="6">
        <f>F57*0.757393177737882</f>
        <v>0</v>
      </c>
      <c r="X57" s="6">
        <f>F57*(1-0.757393177737882)</f>
        <v>0</v>
      </c>
    </row>
    <row r="58" spans="1:24" ht="12.75">
      <c r="A58" s="1" t="s">
        <v>41</v>
      </c>
      <c r="B58" s="1" t="s">
        <v>136</v>
      </c>
      <c r="C58" s="1" t="s">
        <v>264</v>
      </c>
      <c r="D58" s="1" t="s">
        <v>345</v>
      </c>
      <c r="E58" s="13">
        <v>0.985</v>
      </c>
      <c r="F58" s="24"/>
      <c r="G58" s="19">
        <f>SUM(E58*F58)</f>
        <v>0</v>
      </c>
      <c r="W58" s="6">
        <f>F58*0.810254018032144</f>
        <v>0</v>
      </c>
      <c r="X58" s="6">
        <f>F58*(1-0.810254018032144)</f>
        <v>0</v>
      </c>
    </row>
    <row r="59" spans="1:24" ht="12.75">
      <c r="A59" s="1" t="s">
        <v>42</v>
      </c>
      <c r="B59" s="1" t="s">
        <v>137</v>
      </c>
      <c r="C59" s="1" t="s">
        <v>265</v>
      </c>
      <c r="D59" s="1" t="s">
        <v>343</v>
      </c>
      <c r="E59" s="13">
        <v>99</v>
      </c>
      <c r="F59" s="24"/>
      <c r="G59" s="19">
        <f>SUM(E59*F59)</f>
        <v>0</v>
      </c>
      <c r="W59" s="6">
        <f>F59*0.789229534510433</f>
        <v>0</v>
      </c>
      <c r="X59" s="6">
        <f>F59*(1-0.789229534510433)</f>
        <v>0</v>
      </c>
    </row>
    <row r="60" spans="1:7" ht="12.75">
      <c r="A60" s="5" t="s">
        <v>1</v>
      </c>
      <c r="B60" s="5" t="s">
        <v>65</v>
      </c>
      <c r="C60" s="5" t="s">
        <v>266</v>
      </c>
      <c r="D60" s="5" t="s">
        <v>1</v>
      </c>
      <c r="E60" s="14" t="s">
        <v>1</v>
      </c>
      <c r="F60" s="23"/>
      <c r="G60" s="23"/>
    </row>
    <row r="61" spans="1:24" ht="12.75">
      <c r="A61" s="1" t="s">
        <v>43</v>
      </c>
      <c r="B61" s="1" t="s">
        <v>138</v>
      </c>
      <c r="C61" s="1" t="s">
        <v>267</v>
      </c>
      <c r="D61" s="1" t="s">
        <v>346</v>
      </c>
      <c r="E61" s="13">
        <v>6</v>
      </c>
      <c r="F61" s="24"/>
      <c r="G61" s="19">
        <f>SUM(E61*F61)</f>
        <v>0</v>
      </c>
      <c r="W61" s="6">
        <f>F61*0.604723911286071</f>
        <v>0</v>
      </c>
      <c r="X61" s="6">
        <f>F61*(1-0.604723911286071)</f>
        <v>0</v>
      </c>
    </row>
    <row r="62" spans="1:24" ht="12.75">
      <c r="A62" s="1" t="s">
        <v>44</v>
      </c>
      <c r="B62" s="1" t="s">
        <v>139</v>
      </c>
      <c r="C62" s="1" t="s">
        <v>268</v>
      </c>
      <c r="D62" s="1" t="s">
        <v>347</v>
      </c>
      <c r="E62" s="13">
        <v>1</v>
      </c>
      <c r="F62" s="24"/>
      <c r="G62" s="19">
        <f>SUM(E62*F62)</f>
        <v>0</v>
      </c>
      <c r="W62" s="6">
        <f>F62*0.529214290792186</f>
        <v>0</v>
      </c>
      <c r="X62" s="6">
        <f>F62*(1-0.529214290792186)</f>
        <v>0</v>
      </c>
    </row>
    <row r="63" spans="1:24" ht="12.75">
      <c r="A63" s="1" t="s">
        <v>45</v>
      </c>
      <c r="B63" s="1" t="s">
        <v>140</v>
      </c>
      <c r="C63" s="1" t="s">
        <v>269</v>
      </c>
      <c r="D63" s="1" t="s">
        <v>347</v>
      </c>
      <c r="E63" s="13">
        <v>1</v>
      </c>
      <c r="F63" s="24"/>
      <c r="G63" s="19">
        <f>SUM(E63*F63)</f>
        <v>0</v>
      </c>
      <c r="W63" s="6">
        <f>F63*0.531784676923512</f>
        <v>0</v>
      </c>
      <c r="X63" s="6">
        <f>F63*(1-0.531784676923512)</f>
        <v>0</v>
      </c>
    </row>
    <row r="64" spans="1:7" ht="12.75">
      <c r="A64" s="5" t="s">
        <v>1</v>
      </c>
      <c r="B64" s="5" t="s">
        <v>141</v>
      </c>
      <c r="C64" s="5" t="s">
        <v>270</v>
      </c>
      <c r="D64" s="5" t="s">
        <v>1</v>
      </c>
      <c r="E64" s="14" t="s">
        <v>1</v>
      </c>
      <c r="F64" s="23"/>
      <c r="G64" s="23"/>
    </row>
    <row r="65" spans="1:24" ht="12.75">
      <c r="A65" s="1" t="s">
        <v>46</v>
      </c>
      <c r="B65" s="1" t="s">
        <v>142</v>
      </c>
      <c r="C65" s="1" t="s">
        <v>271</v>
      </c>
      <c r="D65" s="1" t="s">
        <v>343</v>
      </c>
      <c r="E65" s="13">
        <v>108</v>
      </c>
      <c r="F65" s="24"/>
      <c r="G65" s="19">
        <f>SUM(E65*F65)</f>
        <v>0</v>
      </c>
      <c r="W65" s="6">
        <f>F65*0.694505494505494</f>
        <v>0</v>
      </c>
      <c r="X65" s="6">
        <f>F65*(1-0.694505494505494)</f>
        <v>0</v>
      </c>
    </row>
    <row r="66" spans="1:24" ht="12.75">
      <c r="A66" s="1" t="s">
        <v>47</v>
      </c>
      <c r="B66" s="1" t="s">
        <v>143</v>
      </c>
      <c r="C66" s="1" t="s">
        <v>272</v>
      </c>
      <c r="D66" s="1" t="s">
        <v>343</v>
      </c>
      <c r="E66" s="13">
        <v>51</v>
      </c>
      <c r="F66" s="24"/>
      <c r="G66" s="19">
        <f>SUM(E66*F66)</f>
        <v>0</v>
      </c>
      <c r="W66" s="6">
        <f>F66*0.62277763463025</f>
        <v>0</v>
      </c>
      <c r="X66" s="6">
        <f>F66*(1-0.62277763463025)</f>
        <v>0</v>
      </c>
    </row>
    <row r="67" spans="1:24" ht="12.75">
      <c r="A67" s="1" t="s">
        <v>48</v>
      </c>
      <c r="B67" s="1" t="s">
        <v>144</v>
      </c>
      <c r="C67" s="1" t="s">
        <v>273</v>
      </c>
      <c r="D67" s="1" t="s">
        <v>343</v>
      </c>
      <c r="E67" s="13">
        <v>216</v>
      </c>
      <c r="F67" s="24"/>
      <c r="G67" s="19">
        <f>SUM(E67*F67)</f>
        <v>0</v>
      </c>
      <c r="W67" s="6">
        <f>F67*0.723643564356436</f>
        <v>0</v>
      </c>
      <c r="X67" s="6">
        <f>F67*(1-0.723643564356436)</f>
        <v>0</v>
      </c>
    </row>
    <row r="68" spans="1:24" ht="12.75">
      <c r="A68" s="1" t="s">
        <v>49</v>
      </c>
      <c r="B68" s="1" t="s">
        <v>145</v>
      </c>
      <c r="C68" s="1" t="s">
        <v>274</v>
      </c>
      <c r="D68" s="1" t="s">
        <v>343</v>
      </c>
      <c r="E68" s="13">
        <v>102</v>
      </c>
      <c r="F68" s="24"/>
      <c r="G68" s="19">
        <f>SUM(E68*F68)</f>
        <v>0</v>
      </c>
      <c r="W68" s="6">
        <f>F68*0.719930434782609</f>
        <v>0</v>
      </c>
      <c r="X68" s="6">
        <f>F68*(1-0.719930434782609)</f>
        <v>0</v>
      </c>
    </row>
    <row r="69" spans="1:24" ht="12.75">
      <c r="A69" s="1" t="s">
        <v>50</v>
      </c>
      <c r="B69" s="1" t="s">
        <v>146</v>
      </c>
      <c r="C69" s="1" t="s">
        <v>275</v>
      </c>
      <c r="D69" s="1" t="s">
        <v>343</v>
      </c>
      <c r="E69" s="13">
        <v>24</v>
      </c>
      <c r="F69" s="24"/>
      <c r="G69" s="19">
        <f>SUM(E69*F69)</f>
        <v>0</v>
      </c>
      <c r="W69" s="6">
        <f>F69*0.761171171171171</f>
        <v>0</v>
      </c>
      <c r="X69" s="6">
        <f>F69*(1-0.761171171171171)</f>
        <v>0</v>
      </c>
    </row>
    <row r="70" spans="1:7" ht="12.75">
      <c r="A70" s="5" t="s">
        <v>1</v>
      </c>
      <c r="B70" s="5" t="s">
        <v>147</v>
      </c>
      <c r="C70" s="5" t="s">
        <v>276</v>
      </c>
      <c r="D70" s="5" t="s">
        <v>1</v>
      </c>
      <c r="E70" s="14" t="s">
        <v>1</v>
      </c>
      <c r="F70" s="23"/>
      <c r="G70" s="23"/>
    </row>
    <row r="71" spans="1:24" ht="12.75">
      <c r="A71" s="1" t="s">
        <v>51</v>
      </c>
      <c r="B71" s="1" t="s">
        <v>148</v>
      </c>
      <c r="C71" s="1" t="s">
        <v>277</v>
      </c>
      <c r="D71" s="1" t="s">
        <v>343</v>
      </c>
      <c r="E71" s="13">
        <v>99</v>
      </c>
      <c r="F71" s="24"/>
      <c r="G71" s="19">
        <f>SUM(E71*F71)</f>
        <v>0</v>
      </c>
      <c r="W71" s="6">
        <f>F71*0</f>
        <v>0</v>
      </c>
      <c r="X71" s="6">
        <f>F71*(1-0)</f>
        <v>0</v>
      </c>
    </row>
    <row r="72" spans="1:24" ht="12.75">
      <c r="A72" s="1" t="s">
        <v>52</v>
      </c>
      <c r="B72" s="1" t="s">
        <v>149</v>
      </c>
      <c r="C72" s="1" t="s">
        <v>278</v>
      </c>
      <c r="D72" s="1" t="s">
        <v>343</v>
      </c>
      <c r="E72" s="13">
        <v>99</v>
      </c>
      <c r="F72" s="24"/>
      <c r="G72" s="19">
        <f>SUM(E72*F72)</f>
        <v>0</v>
      </c>
      <c r="W72" s="6">
        <f>F72*0.251290322580645</f>
        <v>0</v>
      </c>
      <c r="X72" s="6">
        <f>F72*(1-0.251290322580645)</f>
        <v>0</v>
      </c>
    </row>
    <row r="73" spans="1:7" ht="12.75">
      <c r="A73" s="5" t="s">
        <v>1</v>
      </c>
      <c r="B73" s="5" t="s">
        <v>150</v>
      </c>
      <c r="C73" s="5" t="s">
        <v>279</v>
      </c>
      <c r="D73" s="5" t="s">
        <v>1</v>
      </c>
      <c r="E73" s="14" t="s">
        <v>1</v>
      </c>
      <c r="F73" s="23"/>
      <c r="G73" s="23"/>
    </row>
    <row r="74" spans="1:24" ht="12.75">
      <c r="A74" s="1" t="s">
        <v>53</v>
      </c>
      <c r="B74" s="1" t="s">
        <v>151</v>
      </c>
      <c r="C74" s="1" t="s">
        <v>280</v>
      </c>
      <c r="D74" s="1" t="s">
        <v>348</v>
      </c>
      <c r="E74" s="13">
        <v>1</v>
      </c>
      <c r="F74" s="24"/>
      <c r="G74" s="19">
        <f>SUM(E74*F74)</f>
        <v>0</v>
      </c>
      <c r="W74" s="6">
        <f>F74*0.849876551724138</f>
        <v>0</v>
      </c>
      <c r="X74" s="6">
        <f>F74*(1-0.849876551724138)</f>
        <v>0</v>
      </c>
    </row>
    <row r="75" spans="1:7" ht="12.75">
      <c r="A75" s="5" t="s">
        <v>1</v>
      </c>
      <c r="B75" s="5" t="s">
        <v>152</v>
      </c>
      <c r="C75" s="5" t="s">
        <v>281</v>
      </c>
      <c r="D75" s="5" t="s">
        <v>1</v>
      </c>
      <c r="E75" s="14" t="s">
        <v>1</v>
      </c>
      <c r="F75" s="23"/>
      <c r="G75" s="23"/>
    </row>
    <row r="76" spans="1:24" ht="12.75">
      <c r="A76" s="1" t="s">
        <v>54</v>
      </c>
      <c r="B76" s="1" t="s">
        <v>153</v>
      </c>
      <c r="C76" s="1" t="s">
        <v>282</v>
      </c>
      <c r="D76" s="1" t="s">
        <v>349</v>
      </c>
      <c r="E76" s="13">
        <v>1</v>
      </c>
      <c r="F76" s="24"/>
      <c r="G76" s="19">
        <f>SUM(E76*F76)</f>
        <v>0</v>
      </c>
      <c r="W76" s="6">
        <f>F76*0</f>
        <v>0</v>
      </c>
      <c r="X76" s="6">
        <f>F76*(1-0)</f>
        <v>0</v>
      </c>
    </row>
    <row r="77" spans="1:7" ht="12.75">
      <c r="A77" s="5" t="s">
        <v>1</v>
      </c>
      <c r="B77" s="5" t="s">
        <v>154</v>
      </c>
      <c r="C77" s="5" t="s">
        <v>283</v>
      </c>
      <c r="D77" s="5" t="s">
        <v>1</v>
      </c>
      <c r="E77" s="14" t="s">
        <v>1</v>
      </c>
      <c r="F77" s="23"/>
      <c r="G77" s="23"/>
    </row>
    <row r="78" spans="1:24" ht="12.75">
      <c r="A78" s="1" t="s">
        <v>55</v>
      </c>
      <c r="B78" s="1" t="s">
        <v>155</v>
      </c>
      <c r="C78" s="1" t="s">
        <v>284</v>
      </c>
      <c r="D78" s="1" t="s">
        <v>346</v>
      </c>
      <c r="E78" s="13">
        <v>20</v>
      </c>
      <c r="F78" s="24"/>
      <c r="G78" s="19">
        <f>SUM(E78*F78)</f>
        <v>0</v>
      </c>
      <c r="W78" s="6">
        <f>F78*0.231737346101231</f>
        <v>0</v>
      </c>
      <c r="X78" s="6">
        <f>F78*(1-0.231737346101231)</f>
        <v>0</v>
      </c>
    </row>
    <row r="79" spans="1:24" ht="12.75">
      <c r="A79" s="1" t="s">
        <v>56</v>
      </c>
      <c r="B79" s="1" t="s">
        <v>156</v>
      </c>
      <c r="C79" s="1" t="s">
        <v>285</v>
      </c>
      <c r="D79" s="1" t="s">
        <v>346</v>
      </c>
      <c r="E79" s="13">
        <v>6</v>
      </c>
      <c r="F79" s="24"/>
      <c r="G79" s="19">
        <f>SUM(E79*F79)</f>
        <v>0</v>
      </c>
      <c r="W79" s="6">
        <f>F79*0.2</f>
        <v>0</v>
      </c>
      <c r="X79" s="6">
        <f>F79*(1-0.2)</f>
        <v>0</v>
      </c>
    </row>
    <row r="80" spans="1:7" ht="12.75">
      <c r="A80" s="5" t="s">
        <v>1</v>
      </c>
      <c r="B80" s="5" t="s">
        <v>157</v>
      </c>
      <c r="C80" s="5" t="s">
        <v>286</v>
      </c>
      <c r="D80" s="5" t="s">
        <v>1</v>
      </c>
      <c r="E80" s="14" t="s">
        <v>1</v>
      </c>
      <c r="F80" s="23"/>
      <c r="G80" s="23"/>
    </row>
    <row r="81" spans="1:24" ht="12.75">
      <c r="A81" s="1" t="s">
        <v>57</v>
      </c>
      <c r="B81" s="1" t="s">
        <v>158</v>
      </c>
      <c r="C81" s="1" t="s">
        <v>287</v>
      </c>
      <c r="D81" s="1" t="s">
        <v>347</v>
      </c>
      <c r="E81" s="13">
        <v>7</v>
      </c>
      <c r="F81" s="24"/>
      <c r="G81" s="19">
        <f>SUM(E81*F81)</f>
        <v>0</v>
      </c>
      <c r="W81" s="6">
        <f>F81*0.126745954219998</f>
        <v>0</v>
      </c>
      <c r="X81" s="6">
        <f>F81*(1-0.126745954219998)</f>
        <v>0</v>
      </c>
    </row>
    <row r="82" spans="1:24" ht="12.75">
      <c r="A82" s="1" t="s">
        <v>58</v>
      </c>
      <c r="B82" s="1" t="s">
        <v>159</v>
      </c>
      <c r="C82" s="1" t="s">
        <v>288</v>
      </c>
      <c r="D82" s="1" t="s">
        <v>347</v>
      </c>
      <c r="E82" s="13">
        <v>3</v>
      </c>
      <c r="F82" s="24"/>
      <c r="G82" s="19">
        <f>SUM(E82*F82)</f>
        <v>0</v>
      </c>
      <c r="W82" s="6">
        <f>F82*0.0277319587628866</f>
        <v>0</v>
      </c>
      <c r="X82" s="6">
        <f>F82*(1-0.0277319587628866)</f>
        <v>0</v>
      </c>
    </row>
    <row r="83" spans="1:24" ht="12.75">
      <c r="A83" s="1" t="s">
        <v>59</v>
      </c>
      <c r="B83" s="1" t="s">
        <v>160</v>
      </c>
      <c r="C83" s="1" t="s">
        <v>289</v>
      </c>
      <c r="D83" s="1" t="s">
        <v>347</v>
      </c>
      <c r="E83" s="13">
        <v>1</v>
      </c>
      <c r="F83" s="24"/>
      <c r="G83" s="19">
        <f>SUM(E83*F83)</f>
        <v>0</v>
      </c>
      <c r="W83" s="6">
        <f>F83*0</f>
        <v>0</v>
      </c>
      <c r="X83" s="6">
        <f>F83*(1-0)</f>
        <v>0</v>
      </c>
    </row>
    <row r="84" spans="1:7" ht="12.75">
      <c r="A84" s="5" t="s">
        <v>1</v>
      </c>
      <c r="B84" s="5" t="s">
        <v>161</v>
      </c>
      <c r="C84" s="5" t="s">
        <v>290</v>
      </c>
      <c r="D84" s="5" t="s">
        <v>1</v>
      </c>
      <c r="E84" s="14" t="s">
        <v>1</v>
      </c>
      <c r="F84" s="23"/>
      <c r="G84" s="23"/>
    </row>
    <row r="85" spans="1:24" ht="12.75">
      <c r="A85" s="1" t="s">
        <v>60</v>
      </c>
      <c r="B85" s="1" t="s">
        <v>162</v>
      </c>
      <c r="C85" s="1" t="s">
        <v>291</v>
      </c>
      <c r="D85" s="1" t="s">
        <v>346</v>
      </c>
      <c r="E85" s="13">
        <v>4</v>
      </c>
      <c r="F85" s="24"/>
      <c r="G85" s="19">
        <f>SUM(E85*F85)</f>
        <v>0</v>
      </c>
      <c r="W85" s="6">
        <f>F85*0.0232926829268293</f>
        <v>0</v>
      </c>
      <c r="X85" s="6">
        <f>F85*(1-0.0232926829268293)</f>
        <v>0</v>
      </c>
    </row>
    <row r="86" spans="1:7" ht="12.75">
      <c r="A86" s="5" t="s">
        <v>1</v>
      </c>
      <c r="B86" s="5" t="s">
        <v>163</v>
      </c>
      <c r="C86" s="5" t="s">
        <v>292</v>
      </c>
      <c r="D86" s="5" t="s">
        <v>1</v>
      </c>
      <c r="E86" s="14" t="s">
        <v>1</v>
      </c>
      <c r="F86" s="23"/>
      <c r="G86" s="23"/>
    </row>
    <row r="87" spans="1:24" ht="12.75">
      <c r="A87" s="1" t="s">
        <v>61</v>
      </c>
      <c r="B87" s="1" t="s">
        <v>164</v>
      </c>
      <c r="C87" s="1" t="s">
        <v>293</v>
      </c>
      <c r="D87" s="1" t="s">
        <v>346</v>
      </c>
      <c r="E87" s="13">
        <v>6</v>
      </c>
      <c r="F87" s="24"/>
      <c r="G87" s="19">
        <f>SUM(E87*F87)</f>
        <v>0</v>
      </c>
      <c r="W87" s="6">
        <f>F87*0</f>
        <v>0</v>
      </c>
      <c r="X87" s="6">
        <f>F87*(1-0)</f>
        <v>0</v>
      </c>
    </row>
    <row r="88" spans="1:24" ht="12.75">
      <c r="A88" s="1" t="s">
        <v>62</v>
      </c>
      <c r="B88" s="1" t="s">
        <v>165</v>
      </c>
      <c r="C88" s="1" t="s">
        <v>294</v>
      </c>
      <c r="D88" s="1" t="s">
        <v>346</v>
      </c>
      <c r="E88" s="13">
        <v>6</v>
      </c>
      <c r="F88" s="24"/>
      <c r="G88" s="19">
        <f>SUM(E88*F88)</f>
        <v>0</v>
      </c>
      <c r="W88" s="6">
        <f>F88*0</f>
        <v>0</v>
      </c>
      <c r="X88" s="6">
        <f>F88*(1-0)</f>
        <v>0</v>
      </c>
    </row>
    <row r="89" spans="1:24" ht="12.75">
      <c r="A89" s="1" t="s">
        <v>63</v>
      </c>
      <c r="B89" s="1" t="s">
        <v>166</v>
      </c>
      <c r="C89" s="1" t="s">
        <v>295</v>
      </c>
      <c r="D89" s="1" t="s">
        <v>343</v>
      </c>
      <c r="E89" s="13">
        <v>109</v>
      </c>
      <c r="F89" s="24"/>
      <c r="G89" s="19">
        <f>SUM(E89*F89)</f>
        <v>0</v>
      </c>
      <c r="W89" s="6">
        <f>F89*0</f>
        <v>0</v>
      </c>
      <c r="X89" s="6">
        <f>F89*(1-0)</f>
        <v>0</v>
      </c>
    </row>
    <row r="90" spans="1:24" ht="12.75">
      <c r="A90" s="1" t="s">
        <v>64</v>
      </c>
      <c r="B90" s="1" t="s">
        <v>167</v>
      </c>
      <c r="C90" s="1" t="s">
        <v>296</v>
      </c>
      <c r="D90" s="1" t="s">
        <v>346</v>
      </c>
      <c r="E90" s="13">
        <v>60</v>
      </c>
      <c r="F90" s="24"/>
      <c r="G90" s="19">
        <f>SUM(E90*F90)</f>
        <v>0</v>
      </c>
      <c r="W90" s="6">
        <f>F90*0.248173076923077</f>
        <v>0</v>
      </c>
      <c r="X90" s="6">
        <f>F90*(1-0.248173076923077)</f>
        <v>0</v>
      </c>
    </row>
    <row r="91" spans="1:24" ht="12.75">
      <c r="A91" s="1" t="s">
        <v>65</v>
      </c>
      <c r="B91" s="1" t="s">
        <v>168</v>
      </c>
      <c r="C91" s="1" t="s">
        <v>297</v>
      </c>
      <c r="D91" s="1" t="s">
        <v>343</v>
      </c>
      <c r="E91" s="13">
        <v>112.6</v>
      </c>
      <c r="F91" s="24"/>
      <c r="G91" s="19">
        <f>SUM(E91*F91)</f>
        <v>0</v>
      </c>
      <c r="W91" s="6">
        <f>F91*1</f>
        <v>0</v>
      </c>
      <c r="X91" s="6">
        <f>F91*(1-1)</f>
        <v>0</v>
      </c>
    </row>
    <row r="92" spans="1:7" ht="12.75">
      <c r="A92" s="5" t="s">
        <v>1</v>
      </c>
      <c r="B92" s="5" t="s">
        <v>169</v>
      </c>
      <c r="C92" s="5" t="s">
        <v>298</v>
      </c>
      <c r="D92" s="5" t="s">
        <v>1</v>
      </c>
      <c r="E92" s="14" t="s">
        <v>1</v>
      </c>
      <c r="F92" s="23"/>
      <c r="G92" s="23"/>
    </row>
    <row r="93" spans="1:24" ht="12.75">
      <c r="A93" s="1" t="s">
        <v>66</v>
      </c>
      <c r="B93" s="1" t="s">
        <v>170</v>
      </c>
      <c r="C93" s="1" t="s">
        <v>299</v>
      </c>
      <c r="D93" s="1" t="s">
        <v>343</v>
      </c>
      <c r="E93" s="13">
        <v>40</v>
      </c>
      <c r="F93" s="24"/>
      <c r="G93" s="19">
        <f>SUM(E93*F93)</f>
        <v>0</v>
      </c>
      <c r="W93" s="6">
        <f>F93*0.748537481293365</f>
        <v>0</v>
      </c>
      <c r="X93" s="6">
        <f>F93*(1-0.748537481293365)</f>
        <v>0</v>
      </c>
    </row>
    <row r="94" spans="1:7" ht="12.75">
      <c r="A94" s="5" t="s">
        <v>1</v>
      </c>
      <c r="B94" s="5" t="s">
        <v>171</v>
      </c>
      <c r="C94" s="5" t="s">
        <v>300</v>
      </c>
      <c r="D94" s="5" t="s">
        <v>1</v>
      </c>
      <c r="E94" s="14" t="s">
        <v>1</v>
      </c>
      <c r="F94" s="23"/>
      <c r="G94" s="23"/>
    </row>
    <row r="95" spans="1:24" ht="12.75">
      <c r="A95" s="1" t="s">
        <v>67</v>
      </c>
      <c r="B95" s="1" t="s">
        <v>172</v>
      </c>
      <c r="C95" s="1" t="s">
        <v>301</v>
      </c>
      <c r="D95" s="1" t="s">
        <v>343</v>
      </c>
      <c r="E95" s="13">
        <v>4</v>
      </c>
      <c r="F95" s="24"/>
      <c r="G95" s="19">
        <f>SUM(E95*F95)</f>
        <v>0</v>
      </c>
      <c r="W95" s="6">
        <f>F95*0</f>
        <v>0</v>
      </c>
      <c r="X95" s="6">
        <f>F95*(1-0)</f>
        <v>0</v>
      </c>
    </row>
    <row r="96" spans="1:7" ht="12.75">
      <c r="A96" s="5" t="s">
        <v>1</v>
      </c>
      <c r="B96" s="5" t="s">
        <v>173</v>
      </c>
      <c r="C96" s="5" t="s">
        <v>302</v>
      </c>
      <c r="D96" s="5" t="s">
        <v>1</v>
      </c>
      <c r="E96" s="14" t="s">
        <v>1</v>
      </c>
      <c r="F96" s="23"/>
      <c r="G96" s="23"/>
    </row>
    <row r="97" spans="1:24" ht="12.75">
      <c r="A97" s="1" t="s">
        <v>68</v>
      </c>
      <c r="B97" s="1" t="s">
        <v>174</v>
      </c>
      <c r="C97" s="1" t="s">
        <v>303</v>
      </c>
      <c r="D97" s="1" t="s">
        <v>343</v>
      </c>
      <c r="E97" s="13">
        <v>4</v>
      </c>
      <c r="F97" s="24"/>
      <c r="G97" s="19">
        <f>SUM(E97*F97)</f>
        <v>0</v>
      </c>
      <c r="W97" s="6">
        <f>F97*0.209032258064516</f>
        <v>0</v>
      </c>
      <c r="X97" s="6">
        <f>F97*(1-0.209032258064516)</f>
        <v>0</v>
      </c>
    </row>
    <row r="98" spans="1:7" ht="12.75">
      <c r="A98" s="5" t="s">
        <v>1</v>
      </c>
      <c r="B98" s="5" t="s">
        <v>175</v>
      </c>
      <c r="C98" s="5" t="s">
        <v>304</v>
      </c>
      <c r="D98" s="5" t="s">
        <v>1</v>
      </c>
      <c r="E98" s="14" t="s">
        <v>1</v>
      </c>
      <c r="F98" s="23"/>
      <c r="G98" s="23"/>
    </row>
    <row r="99" spans="1:24" ht="12.75">
      <c r="A99" s="1" t="s">
        <v>69</v>
      </c>
      <c r="B99" s="1" t="s">
        <v>176</v>
      </c>
      <c r="C99" s="1" t="s">
        <v>305</v>
      </c>
      <c r="D99" s="1" t="s">
        <v>343</v>
      </c>
      <c r="E99" s="13">
        <v>261</v>
      </c>
      <c r="F99" s="24"/>
      <c r="G99" s="19">
        <f>SUM(E99*F99)</f>
        <v>0</v>
      </c>
      <c r="W99" s="6">
        <f>F99*0.144213946513372</f>
        <v>0</v>
      </c>
      <c r="X99" s="6">
        <f>F99*(1-0.144213946513372)</f>
        <v>0</v>
      </c>
    </row>
    <row r="100" spans="1:24" ht="12.75">
      <c r="A100" s="1" t="s">
        <v>70</v>
      </c>
      <c r="B100" s="1" t="s">
        <v>177</v>
      </c>
      <c r="C100" s="1" t="s">
        <v>306</v>
      </c>
      <c r="D100" s="1" t="s">
        <v>343</v>
      </c>
      <c r="E100" s="13">
        <v>261</v>
      </c>
      <c r="F100" s="24"/>
      <c r="G100" s="19">
        <f>SUM(E100*F100)</f>
        <v>0</v>
      </c>
      <c r="W100" s="6">
        <f>F100*0.479326186830015</f>
        <v>0</v>
      </c>
      <c r="X100" s="6">
        <f>F100*(1-0.479326186830015)</f>
        <v>0</v>
      </c>
    </row>
    <row r="101" spans="1:7" ht="12.75">
      <c r="A101" s="5" t="s">
        <v>1</v>
      </c>
      <c r="B101" s="5" t="s">
        <v>88</v>
      </c>
      <c r="C101" s="5" t="s">
        <v>307</v>
      </c>
      <c r="D101" s="5" t="s">
        <v>1</v>
      </c>
      <c r="E101" s="14" t="s">
        <v>1</v>
      </c>
      <c r="F101" s="23"/>
      <c r="G101" s="23"/>
    </row>
    <row r="102" spans="1:24" ht="12.75">
      <c r="A102" s="1" t="s">
        <v>71</v>
      </c>
      <c r="B102" s="1" t="s">
        <v>178</v>
      </c>
      <c r="C102" s="1" t="s">
        <v>308</v>
      </c>
      <c r="D102" s="1" t="s">
        <v>346</v>
      </c>
      <c r="E102" s="13">
        <v>18</v>
      </c>
      <c r="F102" s="24"/>
      <c r="G102" s="19">
        <f>SUM(E102*F102)</f>
        <v>0</v>
      </c>
      <c r="W102" s="6">
        <f>F102*0.891637168141593</f>
        <v>0</v>
      </c>
      <c r="X102" s="6">
        <f>F102*(1-0.891637168141593)</f>
        <v>0</v>
      </c>
    </row>
    <row r="103" spans="1:24" ht="12.75">
      <c r="A103" s="1" t="s">
        <v>72</v>
      </c>
      <c r="B103" s="1" t="s">
        <v>179</v>
      </c>
      <c r="C103" s="1" t="s">
        <v>309</v>
      </c>
      <c r="D103" s="1" t="s">
        <v>347</v>
      </c>
      <c r="E103" s="13">
        <v>1</v>
      </c>
      <c r="F103" s="24"/>
      <c r="G103" s="19">
        <f>SUM(E103*F103)</f>
        <v>0</v>
      </c>
      <c r="W103" s="6">
        <f>F103*0.463357849621673</f>
        <v>0</v>
      </c>
      <c r="X103" s="6">
        <f>F103*(1-0.463357849621673)</f>
        <v>0</v>
      </c>
    </row>
    <row r="104" spans="1:24" ht="12.75">
      <c r="A104" s="1" t="s">
        <v>73</v>
      </c>
      <c r="B104" s="1" t="s">
        <v>180</v>
      </c>
      <c r="C104" s="1" t="s">
        <v>310</v>
      </c>
      <c r="D104" s="1" t="s">
        <v>347</v>
      </c>
      <c r="E104" s="13">
        <v>4</v>
      </c>
      <c r="F104" s="24"/>
      <c r="G104" s="19">
        <f>SUM(E104*F104)</f>
        <v>0</v>
      </c>
      <c r="W104" s="6">
        <f>F104*0.00828220858895706</f>
        <v>0</v>
      </c>
      <c r="X104" s="6">
        <f>F104*(1-0.00828220858895706)</f>
        <v>0</v>
      </c>
    </row>
    <row r="105" spans="1:24" ht="12.75">
      <c r="A105" s="1" t="s">
        <v>74</v>
      </c>
      <c r="B105" s="1" t="s">
        <v>181</v>
      </c>
      <c r="C105" s="1" t="s">
        <v>311</v>
      </c>
      <c r="D105" s="1" t="s">
        <v>349</v>
      </c>
      <c r="E105" s="13">
        <v>1</v>
      </c>
      <c r="F105" s="24"/>
      <c r="G105" s="19">
        <f>SUM(E105*F105)</f>
        <v>0</v>
      </c>
      <c r="W105" s="6">
        <f>F105*0.00972972972972973</f>
        <v>0</v>
      </c>
      <c r="X105" s="6">
        <f>F105*(1-0.00972972972972973)</f>
        <v>0</v>
      </c>
    </row>
    <row r="106" spans="1:7" ht="12.75">
      <c r="A106" s="5" t="s">
        <v>1</v>
      </c>
      <c r="B106" s="5" t="s">
        <v>92</v>
      </c>
      <c r="C106" s="5" t="s">
        <v>312</v>
      </c>
      <c r="D106" s="5" t="s">
        <v>1</v>
      </c>
      <c r="E106" s="14" t="s">
        <v>1</v>
      </c>
      <c r="F106" s="23"/>
      <c r="G106" s="23"/>
    </row>
    <row r="107" spans="1:24" ht="12.75">
      <c r="A107" s="1" t="s">
        <v>75</v>
      </c>
      <c r="B107" s="1" t="s">
        <v>182</v>
      </c>
      <c r="C107" s="1" t="s">
        <v>313</v>
      </c>
      <c r="D107" s="1" t="s">
        <v>346</v>
      </c>
      <c r="E107" s="13">
        <v>70</v>
      </c>
      <c r="F107" s="24"/>
      <c r="G107" s="19">
        <f>SUM(E107*F107)</f>
        <v>0</v>
      </c>
      <c r="W107" s="6">
        <f>F107*0.624444444444444</f>
        <v>0</v>
      </c>
      <c r="X107" s="6">
        <f>F107*(1-0.624444444444444)</f>
        <v>0</v>
      </c>
    </row>
    <row r="108" spans="1:7" ht="12.75">
      <c r="A108" s="5" t="s">
        <v>1</v>
      </c>
      <c r="B108" s="5" t="s">
        <v>95</v>
      </c>
      <c r="C108" s="5" t="s">
        <v>314</v>
      </c>
      <c r="D108" s="5" t="s">
        <v>1</v>
      </c>
      <c r="E108" s="14" t="s">
        <v>1</v>
      </c>
      <c r="F108" s="23"/>
      <c r="G108" s="23"/>
    </row>
    <row r="109" spans="1:24" ht="12.75">
      <c r="A109" s="1" t="s">
        <v>76</v>
      </c>
      <c r="B109" s="1" t="s">
        <v>183</v>
      </c>
      <c r="C109" s="1" t="s">
        <v>315</v>
      </c>
      <c r="D109" s="1" t="s">
        <v>343</v>
      </c>
      <c r="E109" s="13">
        <v>96</v>
      </c>
      <c r="F109" s="24"/>
      <c r="G109" s="19">
        <f>SUM(E109*F109)</f>
        <v>0</v>
      </c>
      <c r="W109" s="6">
        <f>F109*0.455303820267324</f>
        <v>0</v>
      </c>
      <c r="X109" s="6">
        <f>F109*(1-0.455303820267324)</f>
        <v>0</v>
      </c>
    </row>
    <row r="110" spans="1:7" ht="12.75">
      <c r="A110" s="5" t="s">
        <v>1</v>
      </c>
      <c r="B110" s="5" t="s">
        <v>184</v>
      </c>
      <c r="C110" s="5" t="s">
        <v>316</v>
      </c>
      <c r="D110" s="5" t="s">
        <v>1</v>
      </c>
      <c r="E110" s="14" t="s">
        <v>1</v>
      </c>
      <c r="F110" s="23"/>
      <c r="G110" s="23"/>
    </row>
    <row r="111" spans="1:24" ht="12.75">
      <c r="A111" s="1" t="s">
        <v>77</v>
      </c>
      <c r="B111" s="1" t="s">
        <v>185</v>
      </c>
      <c r="C111" s="1" t="s">
        <v>317</v>
      </c>
      <c r="D111" s="1" t="s">
        <v>347</v>
      </c>
      <c r="E111" s="13">
        <v>10</v>
      </c>
      <c r="F111" s="24"/>
      <c r="G111" s="19">
        <f>SUM(E111*F111)</f>
        <v>0</v>
      </c>
      <c r="W111" s="6">
        <f>F111*0.20780529190307</f>
        <v>0</v>
      </c>
      <c r="X111" s="6">
        <f>F111*(1-0.20780529190307)</f>
        <v>0</v>
      </c>
    </row>
    <row r="112" spans="1:7" ht="12.75">
      <c r="A112" s="5" t="s">
        <v>1</v>
      </c>
      <c r="B112" s="5" t="s">
        <v>186</v>
      </c>
      <c r="C112" s="5" t="s">
        <v>318</v>
      </c>
      <c r="D112" s="5" t="s">
        <v>1</v>
      </c>
      <c r="E112" s="14" t="s">
        <v>1</v>
      </c>
      <c r="F112" s="23"/>
      <c r="G112" s="23"/>
    </row>
    <row r="113" spans="1:24" ht="12.75">
      <c r="A113" s="1" t="s">
        <v>78</v>
      </c>
      <c r="B113" s="1" t="s">
        <v>187</v>
      </c>
      <c r="C113" s="1" t="s">
        <v>319</v>
      </c>
      <c r="D113" s="1" t="s">
        <v>343</v>
      </c>
      <c r="E113" s="13">
        <v>23.6</v>
      </c>
      <c r="F113" s="24"/>
      <c r="G113" s="19">
        <f>SUM(E113*F113)</f>
        <v>0</v>
      </c>
      <c r="W113" s="6">
        <f>F113*0</f>
        <v>0</v>
      </c>
      <c r="X113" s="6">
        <f>F113*(1-0)</f>
        <v>0</v>
      </c>
    </row>
    <row r="114" spans="1:24" ht="12.75">
      <c r="A114" s="1" t="s">
        <v>79</v>
      </c>
      <c r="B114" s="1" t="s">
        <v>188</v>
      </c>
      <c r="C114" s="1" t="s">
        <v>320</v>
      </c>
      <c r="D114" s="1" t="s">
        <v>346</v>
      </c>
      <c r="E114" s="13">
        <v>18</v>
      </c>
      <c r="F114" s="24"/>
      <c r="G114" s="19">
        <f>SUM(E114*F114)</f>
        <v>0</v>
      </c>
      <c r="W114" s="6">
        <f>F114*0.10057761732852</f>
        <v>0</v>
      </c>
      <c r="X114" s="6">
        <f>F114*(1-0.10057761732852)</f>
        <v>0</v>
      </c>
    </row>
    <row r="115" spans="1:7" ht="12.75">
      <c r="A115" s="5" t="s">
        <v>1</v>
      </c>
      <c r="B115" s="5" t="s">
        <v>189</v>
      </c>
      <c r="C115" s="5" t="s">
        <v>321</v>
      </c>
      <c r="D115" s="5" t="s">
        <v>1</v>
      </c>
      <c r="E115" s="14" t="s">
        <v>1</v>
      </c>
      <c r="F115" s="23"/>
      <c r="G115" s="23"/>
    </row>
    <row r="116" spans="1:24" ht="12.75">
      <c r="A116" s="1" t="s">
        <v>80</v>
      </c>
      <c r="B116" s="1" t="s">
        <v>190</v>
      </c>
      <c r="C116" s="1" t="s">
        <v>322</v>
      </c>
      <c r="D116" s="1" t="s">
        <v>343</v>
      </c>
      <c r="E116" s="13">
        <v>106</v>
      </c>
      <c r="F116" s="24"/>
      <c r="G116" s="19">
        <f>SUM(E116*F116)</f>
        <v>0</v>
      </c>
      <c r="W116" s="6">
        <f>F116*0</f>
        <v>0</v>
      </c>
      <c r="X116" s="6">
        <f>F116*(1-0)</f>
        <v>0</v>
      </c>
    </row>
    <row r="117" spans="1:24" ht="12.75">
      <c r="A117" s="1" t="s">
        <v>81</v>
      </c>
      <c r="B117" s="1" t="s">
        <v>191</v>
      </c>
      <c r="C117" s="1" t="s">
        <v>323</v>
      </c>
      <c r="D117" s="1" t="s">
        <v>344</v>
      </c>
      <c r="E117" s="13">
        <v>0.66</v>
      </c>
      <c r="F117" s="24"/>
      <c r="G117" s="19">
        <f>SUM(E117*F117)</f>
        <v>0</v>
      </c>
      <c r="W117" s="6">
        <f>F117*0.0513974952903402</f>
        <v>0</v>
      </c>
      <c r="X117" s="6">
        <f>F117*(1-0.0513974952903402)</f>
        <v>0</v>
      </c>
    </row>
    <row r="118" spans="1:7" ht="12.75">
      <c r="A118" s="5" t="s">
        <v>1</v>
      </c>
      <c r="B118" s="5" t="s">
        <v>192</v>
      </c>
      <c r="C118" s="5" t="s">
        <v>324</v>
      </c>
      <c r="D118" s="5" t="s">
        <v>1</v>
      </c>
      <c r="E118" s="14" t="s">
        <v>1</v>
      </c>
      <c r="F118" s="23"/>
      <c r="G118" s="23"/>
    </row>
    <row r="119" spans="1:24" ht="12.75">
      <c r="A119" s="1" t="s">
        <v>82</v>
      </c>
      <c r="B119" s="1" t="s">
        <v>193</v>
      </c>
      <c r="C119" s="1" t="s">
        <v>325</v>
      </c>
      <c r="D119" s="1" t="s">
        <v>345</v>
      </c>
      <c r="E119" s="13">
        <v>118.15</v>
      </c>
      <c r="F119" s="24"/>
      <c r="G119" s="19">
        <f>SUM(E119*F119)</f>
        <v>0</v>
      </c>
      <c r="W119" s="6">
        <f>F119*0</f>
        <v>0</v>
      </c>
      <c r="X119" s="6">
        <f>F119*(1-0)</f>
        <v>0</v>
      </c>
    </row>
    <row r="120" spans="1:7" ht="12.75">
      <c r="A120" s="5" t="s">
        <v>1</v>
      </c>
      <c r="B120" s="5" t="s">
        <v>194</v>
      </c>
      <c r="C120" s="5" t="s">
        <v>292</v>
      </c>
      <c r="D120" s="5" t="s">
        <v>1</v>
      </c>
      <c r="E120" s="14" t="s">
        <v>1</v>
      </c>
      <c r="F120" s="23"/>
      <c r="G120" s="23"/>
    </row>
    <row r="121" spans="1:24" ht="12.75">
      <c r="A121" s="1" t="s">
        <v>83</v>
      </c>
      <c r="B121" s="1" t="s">
        <v>195</v>
      </c>
      <c r="C121" s="1" t="s">
        <v>326</v>
      </c>
      <c r="D121" s="1" t="s">
        <v>350</v>
      </c>
      <c r="E121" s="13">
        <v>491.12</v>
      </c>
      <c r="F121" s="24"/>
      <c r="G121" s="19">
        <f>SUM(E121*F121)</f>
        <v>0</v>
      </c>
      <c r="W121" s="6">
        <f>F121*0</f>
        <v>0</v>
      </c>
      <c r="X121" s="6">
        <f>F121*(1-0)</f>
        <v>0</v>
      </c>
    </row>
    <row r="122" spans="1:7" ht="12.75">
      <c r="A122" s="5" t="s">
        <v>1</v>
      </c>
      <c r="B122" s="5" t="s">
        <v>196</v>
      </c>
      <c r="C122" s="5" t="s">
        <v>327</v>
      </c>
      <c r="D122" s="5" t="s">
        <v>1</v>
      </c>
      <c r="E122" s="14" t="s">
        <v>1</v>
      </c>
      <c r="F122" s="23"/>
      <c r="G122" s="23"/>
    </row>
    <row r="123" spans="1:24" ht="12.75">
      <c r="A123" s="1" t="s">
        <v>84</v>
      </c>
      <c r="B123" s="1" t="s">
        <v>197</v>
      </c>
      <c r="C123" s="1" t="s">
        <v>328</v>
      </c>
      <c r="D123" s="1" t="s">
        <v>349</v>
      </c>
      <c r="E123" s="13">
        <v>1</v>
      </c>
      <c r="F123" s="24"/>
      <c r="G123" s="19">
        <f>SUM(E123*F123)</f>
        <v>0</v>
      </c>
      <c r="W123" s="6">
        <f>F123*0</f>
        <v>0</v>
      </c>
      <c r="X123" s="6">
        <f>F123*(1-0)</f>
        <v>0</v>
      </c>
    </row>
    <row r="124" spans="1:7" ht="12.75">
      <c r="A124" s="5" t="s">
        <v>1</v>
      </c>
      <c r="B124" s="5" t="s">
        <v>198</v>
      </c>
      <c r="C124" s="5" t="s">
        <v>329</v>
      </c>
      <c r="D124" s="5" t="s">
        <v>1</v>
      </c>
      <c r="E124" s="14" t="s">
        <v>1</v>
      </c>
      <c r="F124" s="23"/>
      <c r="G124" s="23"/>
    </row>
    <row r="125" spans="1:24" ht="12.75">
      <c r="A125" s="1" t="s">
        <v>85</v>
      </c>
      <c r="B125" s="1" t="s">
        <v>199</v>
      </c>
      <c r="C125" s="1" t="s">
        <v>330</v>
      </c>
      <c r="D125" s="1" t="s">
        <v>345</v>
      </c>
      <c r="E125" s="13">
        <v>15.33</v>
      </c>
      <c r="F125" s="24"/>
      <c r="G125" s="19">
        <f>SUM(E125*F125)</f>
        <v>0</v>
      </c>
      <c r="W125" s="6">
        <f>F125*0</f>
        <v>0</v>
      </c>
      <c r="X125" s="6">
        <f>F125*(1-0)</f>
        <v>0</v>
      </c>
    </row>
    <row r="126" spans="1:24" ht="12.75">
      <c r="A126" s="1" t="s">
        <v>86</v>
      </c>
      <c r="B126" s="1" t="s">
        <v>200</v>
      </c>
      <c r="C126" s="1" t="s">
        <v>331</v>
      </c>
      <c r="D126" s="1" t="s">
        <v>345</v>
      </c>
      <c r="E126" s="13">
        <v>11.79</v>
      </c>
      <c r="F126" s="24"/>
      <c r="G126" s="19">
        <f>SUM(E126*F126)</f>
        <v>0</v>
      </c>
      <c r="W126" s="6">
        <f>F126*0</f>
        <v>0</v>
      </c>
      <c r="X126" s="6">
        <f>F126*(1-0)</f>
        <v>0</v>
      </c>
    </row>
    <row r="127" spans="1:24" ht="12.75">
      <c r="A127" s="1" t="s">
        <v>87</v>
      </c>
      <c r="B127" s="1" t="s">
        <v>201</v>
      </c>
      <c r="C127" s="1" t="s">
        <v>332</v>
      </c>
      <c r="D127" s="1" t="s">
        <v>345</v>
      </c>
      <c r="E127" s="13">
        <v>3.54</v>
      </c>
      <c r="F127" s="24"/>
      <c r="G127" s="19">
        <f>SUM(E127*F127)</f>
        <v>0</v>
      </c>
      <c r="W127" s="6">
        <f>F127*0</f>
        <v>0</v>
      </c>
      <c r="X127" s="6">
        <f>F127*(1-0)</f>
        <v>0</v>
      </c>
    </row>
    <row r="128" spans="1:24" ht="12.75">
      <c r="A128" s="1" t="s">
        <v>88</v>
      </c>
      <c r="B128" s="1" t="s">
        <v>202</v>
      </c>
      <c r="C128" s="1" t="s">
        <v>333</v>
      </c>
      <c r="D128" s="1" t="s">
        <v>345</v>
      </c>
      <c r="E128" s="13">
        <v>97.16</v>
      </c>
      <c r="F128" s="24"/>
      <c r="G128" s="19">
        <f>SUM(E128*F128)</f>
        <v>0</v>
      </c>
      <c r="W128" s="6">
        <f>F128*0</f>
        <v>0</v>
      </c>
      <c r="X128" s="6">
        <f>F128*(1-0)</f>
        <v>0</v>
      </c>
    </row>
    <row r="129" spans="1:7" ht="12.75">
      <c r="A129" s="5" t="s">
        <v>1</v>
      </c>
      <c r="B129" s="5"/>
      <c r="C129" s="5" t="s">
        <v>334</v>
      </c>
      <c r="D129" s="5" t="s">
        <v>1</v>
      </c>
      <c r="E129" s="14" t="s">
        <v>1</v>
      </c>
      <c r="F129" s="23"/>
      <c r="G129" s="23"/>
    </row>
    <row r="130" spans="1:24" ht="12.75">
      <c r="A130" s="2" t="s">
        <v>89</v>
      </c>
      <c r="B130" s="2" t="s">
        <v>203</v>
      </c>
      <c r="C130" s="2" t="s">
        <v>335</v>
      </c>
      <c r="D130" s="2" t="s">
        <v>343</v>
      </c>
      <c r="E130" s="15">
        <v>122</v>
      </c>
      <c r="F130" s="25"/>
      <c r="G130" s="19">
        <f aca="true" t="shared" si="3" ref="G130:G137">SUM(E130*F130)</f>
        <v>0</v>
      </c>
      <c r="W130" s="7">
        <f aca="true" t="shared" si="4" ref="W130:W136">F130*1</f>
        <v>0</v>
      </c>
      <c r="X130" s="7">
        <f aca="true" t="shared" si="5" ref="X130:X136">F130*(1-1)</f>
        <v>0</v>
      </c>
    </row>
    <row r="131" spans="1:24" ht="12.75">
      <c r="A131" s="2" t="s">
        <v>90</v>
      </c>
      <c r="B131" s="2" t="s">
        <v>204</v>
      </c>
      <c r="C131" s="2" t="s">
        <v>336</v>
      </c>
      <c r="D131" s="2" t="s">
        <v>347</v>
      </c>
      <c r="E131" s="15">
        <v>1</v>
      </c>
      <c r="F131" s="25"/>
      <c r="G131" s="19">
        <f t="shared" si="3"/>
        <v>0</v>
      </c>
      <c r="W131" s="7">
        <f t="shared" si="4"/>
        <v>0</v>
      </c>
      <c r="X131" s="7">
        <f t="shared" si="5"/>
        <v>0</v>
      </c>
    </row>
    <row r="132" spans="1:24" ht="12.75">
      <c r="A132" s="2" t="s">
        <v>91</v>
      </c>
      <c r="B132" s="2" t="s">
        <v>205</v>
      </c>
      <c r="C132" s="2" t="s">
        <v>337</v>
      </c>
      <c r="D132" s="2" t="s">
        <v>347</v>
      </c>
      <c r="E132" s="15">
        <v>6</v>
      </c>
      <c r="F132" s="25"/>
      <c r="G132" s="19">
        <f t="shared" si="3"/>
        <v>0</v>
      </c>
      <c r="W132" s="7">
        <f t="shared" si="4"/>
        <v>0</v>
      </c>
      <c r="X132" s="7">
        <f t="shared" si="5"/>
        <v>0</v>
      </c>
    </row>
    <row r="133" spans="1:24" ht="12.75">
      <c r="A133" s="2" t="s">
        <v>92</v>
      </c>
      <c r="B133" s="2" t="s">
        <v>206</v>
      </c>
      <c r="C133" s="2" t="s">
        <v>338</v>
      </c>
      <c r="D133" s="2" t="s">
        <v>347</v>
      </c>
      <c r="E133" s="15">
        <v>3</v>
      </c>
      <c r="F133" s="25"/>
      <c r="G133" s="19">
        <f t="shared" si="3"/>
        <v>0</v>
      </c>
      <c r="W133" s="7">
        <f t="shared" si="4"/>
        <v>0</v>
      </c>
      <c r="X133" s="7">
        <f t="shared" si="5"/>
        <v>0</v>
      </c>
    </row>
    <row r="134" spans="1:24" ht="12.75">
      <c r="A134" s="2" t="s">
        <v>93</v>
      </c>
      <c r="B134" s="2" t="s">
        <v>207</v>
      </c>
      <c r="C134" s="2" t="s">
        <v>339</v>
      </c>
      <c r="D134" s="2" t="s">
        <v>347</v>
      </c>
      <c r="E134" s="15">
        <v>1</v>
      </c>
      <c r="F134" s="25"/>
      <c r="G134" s="19">
        <f t="shared" si="3"/>
        <v>0</v>
      </c>
      <c r="W134" s="7">
        <f t="shared" si="4"/>
        <v>0</v>
      </c>
      <c r="X134" s="7">
        <f t="shared" si="5"/>
        <v>0</v>
      </c>
    </row>
    <row r="135" spans="1:24" ht="12.75">
      <c r="A135" s="2" t="s">
        <v>94</v>
      </c>
      <c r="B135" s="2" t="s">
        <v>208</v>
      </c>
      <c r="C135" s="2" t="s">
        <v>340</v>
      </c>
      <c r="D135" s="2" t="s">
        <v>343</v>
      </c>
      <c r="E135" s="15">
        <v>118</v>
      </c>
      <c r="F135" s="25"/>
      <c r="G135" s="19">
        <f t="shared" si="3"/>
        <v>0</v>
      </c>
      <c r="W135" s="7">
        <f t="shared" si="4"/>
        <v>0</v>
      </c>
      <c r="X135" s="7">
        <f t="shared" si="5"/>
        <v>0</v>
      </c>
    </row>
    <row r="136" spans="1:24" ht="12.75">
      <c r="A136" s="2" t="s">
        <v>95</v>
      </c>
      <c r="B136" s="2" t="s">
        <v>209</v>
      </c>
      <c r="C136" s="2" t="s">
        <v>341</v>
      </c>
      <c r="D136" s="2" t="s">
        <v>347</v>
      </c>
      <c r="E136" s="15">
        <v>1</v>
      </c>
      <c r="F136" s="25"/>
      <c r="G136" s="19">
        <f t="shared" si="3"/>
        <v>0</v>
      </c>
      <c r="W136" s="7">
        <f t="shared" si="4"/>
        <v>0</v>
      </c>
      <c r="X136" s="7">
        <f t="shared" si="5"/>
        <v>0</v>
      </c>
    </row>
    <row r="137" spans="3:7" ht="12.75">
      <c r="C137" t="s">
        <v>354</v>
      </c>
      <c r="D137" t="s">
        <v>355</v>
      </c>
      <c r="E137" s="10">
        <v>1</v>
      </c>
      <c r="G137" s="19">
        <f t="shared" si="3"/>
        <v>0</v>
      </c>
    </row>
    <row r="138" ht="12.75">
      <c r="G138" s="19" t="s">
        <v>1</v>
      </c>
    </row>
    <row r="139" spans="3:7" s="18" customFormat="1" ht="12.75">
      <c r="C139" s="18" t="s">
        <v>352</v>
      </c>
      <c r="E139" s="17"/>
      <c r="F139" s="26"/>
      <c r="G139" s="26">
        <f>SUM(G6:G137)</f>
        <v>0</v>
      </c>
    </row>
    <row r="140" spans="3:7" s="8" customFormat="1" ht="12.75">
      <c r="C140" s="8" t="s">
        <v>356</v>
      </c>
      <c r="E140" s="16"/>
      <c r="F140" s="27"/>
      <c r="G140" s="27">
        <f>SUM(G139*0.21)</f>
        <v>0</v>
      </c>
    </row>
    <row r="141" spans="3:7" s="18" customFormat="1" ht="12.75">
      <c r="C141" s="18" t="s">
        <v>353</v>
      </c>
      <c r="E141" s="17"/>
      <c r="F141" s="26"/>
      <c r="G141" s="26">
        <f>SUM(G139:G140)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Pešice</dc:creator>
  <cp:keywords/>
  <dc:description/>
  <cp:lastModifiedBy>Pavlína Tůmová</cp:lastModifiedBy>
  <dcterms:created xsi:type="dcterms:W3CDTF">2017-08-14T10:30:56Z</dcterms:created>
  <dcterms:modified xsi:type="dcterms:W3CDTF">2017-08-30T12:23:16Z</dcterms:modified>
  <cp:category/>
  <cp:version/>
  <cp:contentType/>
  <cp:contentStatus/>
</cp:coreProperties>
</file>