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Krycí list rozpočtu" sheetId="1" r:id="rId1"/>
    <sheet name="Stavební rozpočet" sheetId="2" r:id="rId2"/>
    <sheet name="VORN" sheetId="3" r:id="rId3"/>
    <sheet name="Výkaz výměr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<sst xmlns="http://schemas.openxmlformats.org/spreadsheetml/2006/main" count="3225" uniqueCount="1026">
  <si>
    <t>Výkaz výměr</t>
  </si>
  <si>
    <t>Název stavby:</t>
  </si>
  <si>
    <t>Druh stavby:</t>
  </si>
  <si>
    <t>Lokalita:</t>
  </si>
  <si>
    <t>Zpracoval: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</si>
  <si>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</si>
  <si>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</si>
  <si>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</si>
  <si>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</si>
  <si>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</si>
  <si>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</si>
  <si>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</si>
  <si>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</si>
  <si>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</si>
  <si>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</si>
  <si>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</si>
  <si>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</si>
  <si>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</si>
  <si>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</si>
  <si>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</si>
  <si>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</si>
  <si>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</si>
  <si>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</si>
  <si>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</si>
  <si>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</si>
  <si>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</si>
  <si>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</si>
  <si>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</si>
  <si>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</si>
  <si>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</si>
  <si>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</si>
  <si>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</si>
  <si>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</si>
  <si>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</si>
  <si>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</si>
  <si>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</si>
  <si>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</si>
  <si>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</si>
  <si>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</si>
  <si>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</si>
  <si>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</si>
  <si>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</si>
  <si>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</si>
  <si>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</si>
  <si>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</si>
  <si>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</si>
  <si>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</si>
  <si>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</si>
  <si>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</si>
  <si>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</si>
  <si>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</si>
  <si>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</si>
  <si>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</si>
  <si>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</si>
  <si>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</si>
  <si>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</si>
  <si>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</si>
  <si>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</si>
  <si>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</si>
  <si>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</si>
  <si>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</si>
  <si>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</si>
  <si>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</si>
  <si>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</si>
  <si>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</si>
  <si>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</si>
  <si>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</si>
  <si>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</si>
  <si>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</si>
  <si>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</si>
  <si>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</si>
  <si>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</si>
  <si>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</si>
  <si>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</si>
  <si>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</si>
  <si>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</si>
  <si>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</si>
  <si>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</si>
  <si>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</si>
  <si>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</si>
  <si>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</si>
  <si>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</si>
  <si>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</si>
  <si>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</si>
  <si>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</si>
  <si>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</si>
  <si>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</si>
  <si>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</si>
  <si>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</si>
  <si>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</si>
  <si>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</si>
  <si>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</si>
  <si>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</si>
  <si>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</si>
  <si>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</si>
  <si>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</si>
  <si>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</si>
  <si>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</si>
  <si>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</si>
  <si>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</si>
  <si>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</si>
  <si>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</si>
  <si>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</si>
  <si>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</si>
  <si>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</si>
  <si>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</si>
  <si>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</si>
  <si>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</si>
  <si>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</si>
  <si>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</si>
  <si>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</si>
  <si>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</si>
  <si>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</si>
  <si>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</si>
  <si>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</si>
  <si>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</si>
  <si>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</si>
  <si>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</si>
  <si>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</si>
  <si>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</si>
  <si>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</si>
  <si>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</si>
  <si>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</si>
  <si>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</si>
  <si>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</si>
  <si>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</si>
  <si>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</si>
  <si>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</si>
  <si>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</si>
  <si>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</si>
  <si>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</si>
  <si>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</si>
  <si>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</si>
  <si>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</si>
  <si>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</si>
  <si>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</si>
  <si>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</si>
  <si>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</si>
  <si>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</si>
  <si>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</si>
  <si>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</si>
  <si>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</si>
  <si>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</si>
  <si>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</si>
  <si>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</si>
  <si>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</si>
  <si>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</si>
  <si>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</si>
  <si>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</si>
  <si>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</si>
  <si>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</si>
  <si>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</si>
  <si>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</si>
  <si>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</si>
  <si>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</si>
  <si>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</si>
  <si>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</si>
  <si>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</si>
  <si>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</si>
  <si>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</si>
  <si>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</si>
  <si>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</si>
  <si>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</si>
  <si>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</si>
  <si>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</si>
  <si>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</si>
  <si>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</si>
  <si>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</si>
  <si>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</si>
  <si>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</si>
  <si>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</si>
  <si>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</si>
  <si>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</si>
  <si>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</si>
  <si>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</si>
  <si>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</si>
  <si>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</si>
  <si>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</si>
  <si>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</si>
  <si>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</si>
  <si>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</si>
  <si>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</si>
  <si>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</si>
  <si>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</si>
  <si>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</si>
  <si>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</si>
  <si>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</si>
  <si>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</si>
  <si>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</si>
  <si>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</si>
  <si>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</si>
  <si>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</si>
  <si>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</si>
  <si>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</si>
  <si>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</si>
  <si>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</si>
  <si>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</si>
  <si>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</si>
  <si>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</si>
  <si>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</si>
  <si>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</si>
  <si>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</si>
  <si>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</si>
  <si>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Poznámka:</t>
  </si>
  <si>
    <t>Objekt</t>
  </si>
  <si>
    <t>Kód</t>
  </si>
  <si>
    <t>122201101RNN</t>
  </si>
  <si>
    <t>132201110R00</t>
  </si>
  <si>
    <t>139711101R00</t>
  </si>
  <si>
    <t>132201119R00</t>
  </si>
  <si>
    <t>167101101R88</t>
  </si>
  <si>
    <t>174101101R00</t>
  </si>
  <si>
    <t>274313711R00</t>
  </si>
  <si>
    <t>274351215R00</t>
  </si>
  <si>
    <t>274351216R00</t>
  </si>
  <si>
    <t>281606214R00</t>
  </si>
  <si>
    <t>281901112R09</t>
  </si>
  <si>
    <t>281901212R75</t>
  </si>
  <si>
    <t>311238142R00</t>
  </si>
  <si>
    <t>311231633RT1</t>
  </si>
  <si>
    <t>311231636RT1</t>
  </si>
  <si>
    <t>311231637R00</t>
  </si>
  <si>
    <t>317168132R00</t>
  </si>
  <si>
    <t>317142432</t>
  </si>
  <si>
    <t>317145315R00</t>
  </si>
  <si>
    <t>311271176R00</t>
  </si>
  <si>
    <t>311271177R00</t>
  </si>
  <si>
    <t>317141031R99</t>
  </si>
  <si>
    <t>317141032R99</t>
  </si>
  <si>
    <t>314238203R</t>
  </si>
  <si>
    <t>314238200R</t>
  </si>
  <si>
    <t>314238199R</t>
  </si>
  <si>
    <t>311231115R00</t>
  </si>
  <si>
    <t>310238211RT1</t>
  </si>
  <si>
    <t>310239211RT2</t>
  </si>
  <si>
    <t>317314125R01</t>
  </si>
  <si>
    <t>342255026R00</t>
  </si>
  <si>
    <t>317120033RAC</t>
  </si>
  <si>
    <t>317120045RA9</t>
  </si>
  <si>
    <t>411941002R00</t>
  </si>
  <si>
    <t>413941123RT2</t>
  </si>
  <si>
    <t>411354236R00</t>
  </si>
  <si>
    <t>411321315R00</t>
  </si>
  <si>
    <t>411361921RT5</t>
  </si>
  <si>
    <t>411361821R00</t>
  </si>
  <si>
    <t>631319999N99</t>
  </si>
  <si>
    <t>411354171R00</t>
  </si>
  <si>
    <t>411354172R00</t>
  </si>
  <si>
    <t>417321315R00</t>
  </si>
  <si>
    <t>417351115R00</t>
  </si>
  <si>
    <t>417351116R00</t>
  </si>
  <si>
    <t>419942112R09</t>
  </si>
  <si>
    <t>417361821R00</t>
  </si>
  <si>
    <t>413232221R00</t>
  </si>
  <si>
    <t>413231221R00</t>
  </si>
  <si>
    <t>416021222R00</t>
  </si>
  <si>
    <t>416021224R00</t>
  </si>
  <si>
    <t>416021126R00</t>
  </si>
  <si>
    <t>416021128R00</t>
  </si>
  <si>
    <t>713134211RN3</t>
  </si>
  <si>
    <t>67352499</t>
  </si>
  <si>
    <t>433351131R00</t>
  </si>
  <si>
    <t>433351132R00</t>
  </si>
  <si>
    <t>434351141R00</t>
  </si>
  <si>
    <t>434351142R00</t>
  </si>
  <si>
    <t>430361921R00</t>
  </si>
  <si>
    <t>430321314R00</t>
  </si>
  <si>
    <t>113107520R00</t>
  </si>
  <si>
    <t>113108310R00</t>
  </si>
  <si>
    <t>113202111R00</t>
  </si>
  <si>
    <t>919735112R00</t>
  </si>
  <si>
    <t>564871111R00</t>
  </si>
  <si>
    <t>577141112R01</t>
  </si>
  <si>
    <t>577131211R00</t>
  </si>
  <si>
    <t>917862111R00</t>
  </si>
  <si>
    <t>59217421</t>
  </si>
  <si>
    <t>612904117R01</t>
  </si>
  <si>
    <t>612433310RT1</t>
  </si>
  <si>
    <t>612422491R00</t>
  </si>
  <si>
    <t>612031111R09</t>
  </si>
  <si>
    <t>612471411RN2</t>
  </si>
  <si>
    <t>611481211RT3</t>
  </si>
  <si>
    <t>611474410R00</t>
  </si>
  <si>
    <t>612403381R00</t>
  </si>
  <si>
    <t>612403399RT2</t>
  </si>
  <si>
    <t>622300151R09</t>
  </si>
  <si>
    <t>900      R02</t>
  </si>
  <si>
    <t>622904115R00</t>
  </si>
  <si>
    <t>622421121RN1</t>
  </si>
  <si>
    <t>620401162R00</t>
  </si>
  <si>
    <t>622434172RT1</t>
  </si>
  <si>
    <t>21492590</t>
  </si>
  <si>
    <t>622421144RN9</t>
  </si>
  <si>
    <t>632452151R01</t>
  </si>
  <si>
    <t>631313621R00</t>
  </si>
  <si>
    <t>631361921R00</t>
  </si>
  <si>
    <t>711</t>
  </si>
  <si>
    <t>711111001RZ1</t>
  </si>
  <si>
    <t>711112001RZ1</t>
  </si>
  <si>
    <t>711141559RT2</t>
  </si>
  <si>
    <t>711142559RT2</t>
  </si>
  <si>
    <t>62852265</t>
  </si>
  <si>
    <t>628522501</t>
  </si>
  <si>
    <t>711212001RN9</t>
  </si>
  <si>
    <t>711212002R99</t>
  </si>
  <si>
    <t>711212002RN9</t>
  </si>
  <si>
    <t>711132311R00</t>
  </si>
  <si>
    <t>711191272RT2</t>
  </si>
  <si>
    <t>998711202R00</t>
  </si>
  <si>
    <t>713</t>
  </si>
  <si>
    <t>713131152R99</t>
  </si>
  <si>
    <t>713111127RT2</t>
  </si>
  <si>
    <t>713111111RT1</t>
  </si>
  <si>
    <t>713111121RT1</t>
  </si>
  <si>
    <t>713111122RT2</t>
  </si>
  <si>
    <t>713121111RT1</t>
  </si>
  <si>
    <t>28375465</t>
  </si>
  <si>
    <t>28375706N9</t>
  </si>
  <si>
    <t>63151435</t>
  </si>
  <si>
    <t>6315083958</t>
  </si>
  <si>
    <t>6315083957</t>
  </si>
  <si>
    <t>6315083952</t>
  </si>
  <si>
    <t>775100100RN9</t>
  </si>
  <si>
    <t>771315192R00</t>
  </si>
  <si>
    <t>998713202R00</t>
  </si>
  <si>
    <t>554210160.D</t>
  </si>
  <si>
    <t>722268242R05</t>
  </si>
  <si>
    <t>831230110RR1</t>
  </si>
  <si>
    <t>998722202R00</t>
  </si>
  <si>
    <t>762</t>
  </si>
  <si>
    <t>762822130RT2</t>
  </si>
  <si>
    <t>60596002</t>
  </si>
  <si>
    <t>762895000R00</t>
  </si>
  <si>
    <t>762911112R00</t>
  </si>
  <si>
    <t>762211120R02</t>
  </si>
  <si>
    <t>998762202R00</t>
  </si>
  <si>
    <t>764</t>
  </si>
  <si>
    <t>764339811R00</t>
  </si>
  <si>
    <t>764900050RAA</t>
  </si>
  <si>
    <t>764361811R01</t>
  </si>
  <si>
    <t>764361291R01</t>
  </si>
  <si>
    <t>764361420R01</t>
  </si>
  <si>
    <t>764339210R01</t>
  </si>
  <si>
    <t>764410270RT2</t>
  </si>
  <si>
    <t>764410260RT2</t>
  </si>
  <si>
    <t>764341291R01</t>
  </si>
  <si>
    <t>998764202R00</t>
  </si>
  <si>
    <t>765</t>
  </si>
  <si>
    <t>HZS2142</t>
  </si>
  <si>
    <t>998765202R00</t>
  </si>
  <si>
    <t>766</t>
  </si>
  <si>
    <t>766001001R00</t>
  </si>
  <si>
    <t>766694121R00</t>
  </si>
  <si>
    <t>766694122R00</t>
  </si>
  <si>
    <t>766694123R00</t>
  </si>
  <si>
    <t>5534205699</t>
  </si>
  <si>
    <t>60775520</t>
  </si>
  <si>
    <t>998766202R00</t>
  </si>
  <si>
    <t>767</t>
  </si>
  <si>
    <t>767995102R01</t>
  </si>
  <si>
    <t>767995104R99</t>
  </si>
  <si>
    <t>767995102R02</t>
  </si>
  <si>
    <t>767122112R00</t>
  </si>
  <si>
    <t>14550246</t>
  </si>
  <si>
    <t>31324912</t>
  </si>
  <si>
    <t>998767202R00</t>
  </si>
  <si>
    <t>771</t>
  </si>
  <si>
    <t>771275511R00</t>
  </si>
  <si>
    <t>771275521R00</t>
  </si>
  <si>
    <t>771575109R00</t>
  </si>
  <si>
    <t>777531024R00</t>
  </si>
  <si>
    <t>597642030AN</t>
  </si>
  <si>
    <t>771101121R00</t>
  </si>
  <si>
    <t>771577112R00</t>
  </si>
  <si>
    <t>998771202R00</t>
  </si>
  <si>
    <t>776</t>
  </si>
  <si>
    <t>776101121R00</t>
  </si>
  <si>
    <t>776101115R00</t>
  </si>
  <si>
    <t>776511000R00</t>
  </si>
  <si>
    <t>284122171</t>
  </si>
  <si>
    <t>776411000R00</t>
  </si>
  <si>
    <t>28342459</t>
  </si>
  <si>
    <t>998776202R00</t>
  </si>
  <si>
    <t>783</t>
  </si>
  <si>
    <t>783221900RN0</t>
  </si>
  <si>
    <t>941955002R00</t>
  </si>
  <si>
    <t>945421110</t>
  </si>
  <si>
    <t>941941031R00</t>
  </si>
  <si>
    <t>941941111R00</t>
  </si>
  <si>
    <t>941941831R00</t>
  </si>
  <si>
    <t>767996801R00</t>
  </si>
  <si>
    <t>964072221R02</t>
  </si>
  <si>
    <t>962023390</t>
  </si>
  <si>
    <t>961021311R00</t>
  </si>
  <si>
    <t>965043441RT2</t>
  </si>
  <si>
    <t>965042141R00</t>
  </si>
  <si>
    <t>965049112RT1</t>
  </si>
  <si>
    <t>975053151R00</t>
  </si>
  <si>
    <t>973022251R00</t>
  </si>
  <si>
    <t>973022251R01</t>
  </si>
  <si>
    <t>973028131R00</t>
  </si>
  <si>
    <t>973028141R00</t>
  </si>
  <si>
    <t>973028151R00</t>
  </si>
  <si>
    <t>H01</t>
  </si>
  <si>
    <t>998011002R02</t>
  </si>
  <si>
    <t>998763201R00</t>
  </si>
  <si>
    <t>M21</t>
  </si>
  <si>
    <t>212190005R99</t>
  </si>
  <si>
    <t>53821107</t>
  </si>
  <si>
    <t>S</t>
  </si>
  <si>
    <t>979081111R00</t>
  </si>
  <si>
    <t>979081121R99</t>
  </si>
  <si>
    <t>997013213</t>
  </si>
  <si>
    <t>979990001R99</t>
  </si>
  <si>
    <t>979990101R95</t>
  </si>
  <si>
    <t>979990113R00</t>
  </si>
  <si>
    <t>Zkrácený popis</t>
  </si>
  <si>
    <t>Odkopávky a prokopávky</t>
  </si>
  <si>
    <t>Odkopávky nezapažené v hor.1- 3 do 50 m3 ručně</t>
  </si>
  <si>
    <t>9,2*9,24*0,15   1np 102-113</t>
  </si>
  <si>
    <t>Hloubené vykopávky</t>
  </si>
  <si>
    <t>Hloubení rýh š.do 60 cm v hor.3 do 50 m3,</t>
  </si>
  <si>
    <t xml:space="preserve">0,8*0,5*14,5    vých.San3  </t>
  </si>
  <si>
    <t>1,1*1,2*14,5   záp.San3</t>
  </si>
  <si>
    <t>Vykopávka v uzavřených prostorách v hor.1-4</t>
  </si>
  <si>
    <t>(5,57+0,45)*0,6*0,3+2,62*0,6*0,7   základ stěna 45</t>
  </si>
  <si>
    <t>(4,35+3,66)*0,3*0,7   základ 107/104;105; -17,5</t>
  </si>
  <si>
    <t>(1,3+0,3)*07*0,4   základ 107 roh - 30</t>
  </si>
  <si>
    <t>0,5*0,6*0,7   základ komín</t>
  </si>
  <si>
    <t>Přípl.za lepivost,hloubení rýh 60 cm,</t>
  </si>
  <si>
    <t>8,55   </t>
  </si>
  <si>
    <t>Nakládání výkopku z hor.1-4 v množství do 100 m3</t>
  </si>
  <si>
    <t>Konstrukce ze zemin</t>
  </si>
  <si>
    <t>Zásyp jam, rýh, šachet se zhutněním</t>
  </si>
  <si>
    <t>24,94   sanace</t>
  </si>
  <si>
    <t>Základy</t>
  </si>
  <si>
    <t>Beton základových pasů prostý C 25/30</t>
  </si>
  <si>
    <t>(5,57+2,62+0,45)*0,6*0,7   stěna 45</t>
  </si>
  <si>
    <t>(4,35+3,66)*0,3*0,7   107/104;105; -17,5</t>
  </si>
  <si>
    <t>(1,3+0,3)*07*0,4   107 roh - 30</t>
  </si>
  <si>
    <t>0,5*0,6*0,7   komín</t>
  </si>
  <si>
    <t>Bednění stěn základových pasů - zřízení</t>
  </si>
  <si>
    <t>(5,57+2,62+0,45)*2*0,7   </t>
  </si>
  <si>
    <t>(4,35+3,66)*2*0,7   </t>
  </si>
  <si>
    <t>(1,3+0,3)*0,7*2   </t>
  </si>
  <si>
    <t>(0,5+0,6)*0,7   </t>
  </si>
  <si>
    <t>Bednění stěn základových pasů - odstranění</t>
  </si>
  <si>
    <t>Zpevňování hornin a konstrukcí</t>
  </si>
  <si>
    <t>Nízkotlaká injektáž kamenného a smíšeného zdiva tl. do 100 cm AQAFIN-F</t>
  </si>
  <si>
    <t xml:space="preserve">3,6*0,9+11,4*1,1+9,2*1,05+6,55*1,05+1,2*1,05+2,2*1,2   Iv poz 1-6  </t>
  </si>
  <si>
    <t>4,2*1,2+1,2*1+0,9*0,5+2,4*0,9+10,6*0,6+4,4*0,3   Iv poz 7-12</t>
  </si>
  <si>
    <t>1,3*0,3+1,1*1,3*2   Iv poz13-15</t>
  </si>
  <si>
    <t>Výplň dutin po vývrtech ASOCRET BM</t>
  </si>
  <si>
    <t>56   </t>
  </si>
  <si>
    <t>Injektování do 0,6 MPa dutin zdiva,</t>
  </si>
  <si>
    <t>5   </t>
  </si>
  <si>
    <t>Zdi podpěrné a volné</t>
  </si>
  <si>
    <t>(3,66+4,35)*3,38   </t>
  </si>
  <si>
    <t>(1,47+0,6+0,3)*3,38   </t>
  </si>
  <si>
    <t>1*2,8   zazdívka dveře 107</t>
  </si>
  <si>
    <t>(5,57+2,62+0,75)*3,38-0,8*2   </t>
  </si>
  <si>
    <t>6   </t>
  </si>
  <si>
    <t>Překlad nenosný přímý z pórobetonu v příčkách tl 125 mm dl přes 1000 do 1250 mm</t>
  </si>
  <si>
    <t>1   </t>
  </si>
  <si>
    <t>Překlad nenosný přímý z pórobetonu v příčkách tl 125 mm dl přes 1750 do 2000 mm</t>
  </si>
  <si>
    <t>3   </t>
  </si>
  <si>
    <t>(9,57+4,96)*2,75-0,8*2   </t>
  </si>
  <si>
    <t>Zdivo z tvárnic Ytong hladkých tl. 30 cm</t>
  </si>
  <si>
    <t>(5,81*2+3,02+4,052*2+1,3+0,3+5,06)*2,75-4*2*0,8   </t>
  </si>
  <si>
    <t>4   </t>
  </si>
  <si>
    <t>Komínové těleso 3 složkové 2 průduchové do D 20/20 cm v 9,36 m</t>
  </si>
  <si>
    <t>Komínové těleso 3 složkové 1 průduchové do D 20/20 cm v 9,36</t>
  </si>
  <si>
    <t>Komínové těleso 3 složkové 1 průduchové s přivětráním do D 20/20 cm v 13,31 m</t>
  </si>
  <si>
    <t>Zdivo nosné cihelné z CP 29 P15 na SMS 5 MPa</t>
  </si>
  <si>
    <t>0,7*1,75*3,38   mč.107</t>
  </si>
  <si>
    <t>Zazdívka otvorů plochy do 1 m2 cihlami na MVC</t>
  </si>
  <si>
    <t>1,5*0,9*0,45   mč.102</t>
  </si>
  <si>
    <t>0,6*0,6*0,2   mč.102</t>
  </si>
  <si>
    <t>0,89*0,25*0,4   okno nad schodištěm</t>
  </si>
  <si>
    <t>1,2*0,3*0,5*2   niky v podlaze 2np mč.212; 215;</t>
  </si>
  <si>
    <t>1,7*0,7*0,15   mč.106</t>
  </si>
  <si>
    <t>0,18*0,7*0,6+0,55*0,4*2,85+1,6*0,2*1,5   mč.216</t>
  </si>
  <si>
    <t>1,2*0,6*0,35+1,2*0,3*0,15*2+0,3*0,3*1,2+0,15*2,3*0,8   okno schodiště,nadezdívka klemby-dorovnání</t>
  </si>
  <si>
    <t>0,54*0,56*0,4   okno pod schody</t>
  </si>
  <si>
    <t>Zazdívka otvorů plochy do 4 m2 cihlami na MVC</t>
  </si>
  <si>
    <t>2,4*2,85*0,4-2,85*0,3*0,4-0,1*2,4*0,4   mč.102/103</t>
  </si>
  <si>
    <t>Podbetonování zhlaví nosníků, zdivo šířky 250 mm</t>
  </si>
  <si>
    <t>84   </t>
  </si>
  <si>
    <t>Stěny a příčky</t>
  </si>
  <si>
    <t>(3,66+1,685+0,125+0,9+0,2+0,75)*2,75-0,7*2*2-33,429   1np</t>
  </si>
  <si>
    <t>(5+1,8+0,2+0,5+4,41+3,745+5,01+2+4,431+4,5+0,2+0,5+0,2+0,5+3,575+0,3*2+0,4)*2,75   2np</t>
  </si>
  <si>
    <t>(1,6*2+1,8)*0,75-5*2*0,8-2*2*0,7   pouz</t>
  </si>
  <si>
    <t>Překlad nosný pórobeton, otvor šířky do 210 cm</t>
  </si>
  <si>
    <t>Stropy a stropní konstrukce (pro pozemní stavby)</t>
  </si>
  <si>
    <t>Nosné svary stropní konstrukce plošné tl. do 12 mm</t>
  </si>
  <si>
    <t>0,2*2*40   </t>
  </si>
  <si>
    <t>Osazení válcovaných nosníků ve stropech č. 14 - 22</t>
  </si>
  <si>
    <t>3,4998*1,05   </t>
  </si>
  <si>
    <t>Bednění stropů plech lesklý, vlna 50 mm tl. 1,0 mm</t>
  </si>
  <si>
    <t>(9,9*9,5*1,1+1,3*0,9*2+4,5*5,1)*1,1   </t>
  </si>
  <si>
    <t>Stropy deskové ze železobetonu C 20/25</t>
  </si>
  <si>
    <t>(9,9*9,5+1,3*0,9*2+4,5*5,1)*0,1   </t>
  </si>
  <si>
    <t>Výztuž stropů svařovanou sítí</t>
  </si>
  <si>
    <t>(9,9*9,5*1,25+1,3*0,9*2+4,5*5,1*1,25)*0,00304   </t>
  </si>
  <si>
    <t>Výztuž stropů z betonářské oceli 10505(R)</t>
  </si>
  <si>
    <t>10*5*1,1*0,00089   </t>
  </si>
  <si>
    <t>Příplatek za čerpání betonové směsi do vzdálenosti 20m nebo 3m výšky</t>
  </si>
  <si>
    <t>10   základy</t>
  </si>
  <si>
    <t>8,5   mazanina 1np</t>
  </si>
  <si>
    <t>11,93   strop</t>
  </si>
  <si>
    <t>5,1   věnce</t>
  </si>
  <si>
    <t>Podpěrná konstr. stropů do 5 kPa - zřízení</t>
  </si>
  <si>
    <t>9,9*9,5+4,5*5,1   </t>
  </si>
  <si>
    <t>Podpěrná konstr. stropů do 5 kPa - odstranění</t>
  </si>
  <si>
    <t>Ztužující pásy a věnce z betonu železového C 20/25</t>
  </si>
  <si>
    <t>(5,57+3,72+0,75+0,25*2)*0,44*0,25   1np</t>
  </si>
  <si>
    <t>(3,66+4,35+0,25*2)*0,175*0,25   1np</t>
  </si>
  <si>
    <t>(1,3*1,2+0,3*0,3)*0,25   1np</t>
  </si>
  <si>
    <t>(14,44+5,576+3,575+5,81+0,25*3)*0,3*0,25   2np 300</t>
  </si>
  <si>
    <t>(4,096*2+1,9+3,575+0,25*3)*0,25*0,25   2np 250</t>
  </si>
  <si>
    <t>Bednění ztužujících pásů a věnců - zřízení</t>
  </si>
  <si>
    <t>(3,66+4,35+1)*0,25*2   </t>
  </si>
  <si>
    <t>(5,57+3,72+0,75)*0,25*2   </t>
  </si>
  <si>
    <t>(14,44+5,576+3,575+5,81)*2*0,25   </t>
  </si>
  <si>
    <t>(4,096*2+1,9+3,575)*2*0,25   </t>
  </si>
  <si>
    <t>Bednění ztužujících pásů a věnců - odstranění</t>
  </si>
  <si>
    <t>31,06   </t>
  </si>
  <si>
    <t>Kotevní táhla z tyče o D25 mm dl 2000 mm s roznášecí deskou 300*300mm</t>
  </si>
  <si>
    <t>8   </t>
  </si>
  <si>
    <t>Výztuž ztužujících pásů a věnců z oceli 10505(R)</t>
  </si>
  <si>
    <t>(24,9+6,9+32,7+14,4+9,6+2,4)*1,15*0,0012084   14 1np</t>
  </si>
  <si>
    <t>9,3*4*1,1*0,0006165   10 1np</t>
  </si>
  <si>
    <t>(40*0,7+50*1,2)*1,1*0,0003946   8 1np</t>
  </si>
  <si>
    <t>(57,72+120,6)*1,1*0,0012084   14 2np</t>
  </si>
  <si>
    <t>(0,8*72+0,95*150)*1,1*0,0003946   8 2np</t>
  </si>
  <si>
    <t>Zazdívka zhlaví válcovaných nosníků výšky do 30cm</t>
  </si>
  <si>
    <t>43   </t>
  </si>
  <si>
    <t>Zazdívka zhlaví stropních trámů průřezu do 400 cm2</t>
  </si>
  <si>
    <t>41   </t>
  </si>
  <si>
    <t>Podhledy SDK, kovová.kce CD. 2x deska RF 12,5 mm</t>
  </si>
  <si>
    <t>22,53+18,08-14,08   1np</t>
  </si>
  <si>
    <t>2,9*4,25   sklady</t>
  </si>
  <si>
    <t>Podhledy SDK, kovová.kce CD. 2x deska RFI 12,5 mm</t>
  </si>
  <si>
    <t>6,02+1,05+34,86   </t>
  </si>
  <si>
    <t>Podhledy SDK, kovová.kce CD. 1x deska RF 15 mm</t>
  </si>
  <si>
    <t>175,72-19,8   2np</t>
  </si>
  <si>
    <t>Podhledy SDK, kovová.kce CD. 1x deska RFI 15 mm</t>
  </si>
  <si>
    <t>4+3,2+3,2+3,47+5,93   </t>
  </si>
  <si>
    <t>Montáž parotěsné zábrany do SDK podhledu</t>
  </si>
  <si>
    <t>(26,53+41,93+155,92+19,8)*1   </t>
  </si>
  <si>
    <t>2,9*4,25   </t>
  </si>
  <si>
    <t>Folie nehořlavá parotěsná pro interiér 140 g/m2, včetně doplňků</t>
  </si>
  <si>
    <t>(38,86+41,93+155,92+19,8)*1,2   </t>
  </si>
  <si>
    <t>Schodiště</t>
  </si>
  <si>
    <t>Bednění schodnic přímočarých - zřízení</t>
  </si>
  <si>
    <t>2*0,6   </t>
  </si>
  <si>
    <t>Bednění schodnic přímočarých - odstranění</t>
  </si>
  <si>
    <t>0,6*2   </t>
  </si>
  <si>
    <t>Bednění stupňů přímočarých - zřízení</t>
  </si>
  <si>
    <t>1*0,18*3   </t>
  </si>
  <si>
    <t>Bednění stupňů přímočarých - odstranění</t>
  </si>
  <si>
    <t>0,54   </t>
  </si>
  <si>
    <t>Výztuž schodišťových konstrukcí svařovanou sítí</t>
  </si>
  <si>
    <t>0,015   </t>
  </si>
  <si>
    <t>Beton schodišťových konstrukcí železový C 20/25</t>
  </si>
  <si>
    <t>0,96*0,21*1+0,96*0,16*1+0,9*1,45*0,53   </t>
  </si>
  <si>
    <t>Kryty pozemních komunikací, letišť a ploch z kameniva nebo živičné</t>
  </si>
  <si>
    <t>Odstranění podkladu pl. 50 m2,kam.drcené tl.20 cm</t>
  </si>
  <si>
    <t>1,3*4+10,8*1,8   </t>
  </si>
  <si>
    <t>Odstranění asfaltové vrstvy pl. do 50 m2, tl.10 cm</t>
  </si>
  <si>
    <t>Vytrhání obrub obrubníků silničních</t>
  </si>
  <si>
    <t>10,8   </t>
  </si>
  <si>
    <t>Řezání stávajícího živičného krytu tl. 5 - 10 cm</t>
  </si>
  <si>
    <t>1,8*2+4+5,9+10,8-17,5   </t>
  </si>
  <si>
    <t>Podklad ze štěrkodrti po zhutnění tloušťky 25 cm</t>
  </si>
  <si>
    <t>Beton asfalt. ACO 11,do 3 m, tl.5 cm</t>
  </si>
  <si>
    <t>Beton asfalt. ACO 8,do 3 m, tl. 4 cm</t>
  </si>
  <si>
    <t>Osazení stojat. obrub.bet. s opěrou,lože z C 12/15</t>
  </si>
  <si>
    <t>11   </t>
  </si>
  <si>
    <t>Obrubník chodníkový ABO 14-10 1000/100/250</t>
  </si>
  <si>
    <t>Úprava povrchů vnitřní</t>
  </si>
  <si>
    <t>Očištění  stěn vnitřních tlakovou vodou</t>
  </si>
  <si>
    <t>122,87   </t>
  </si>
  <si>
    <t>Omítka sanač.vnitř.Schömburg Thermopal SP+ Thermopal SR44+Thermopal FS33;,vysoké zasol.,tl.30mm</t>
  </si>
  <si>
    <t>(9,65*2+3*2+2,2+1,8*2+2,1+1,4+4,5+5,2+2,22+1,7*2+4,5+4,2)*1,6-1,8*2*0,7-3*0,9*1,6+0,002   </t>
  </si>
  <si>
    <t>(1,9+9,2+4,66+3,6+1,6+1,6)*1,6-2*0,8*1,6+(0,7*2+2)*0,7   </t>
  </si>
  <si>
    <t>Příplatek za další 1 cm tloušťky omítky pl. do 50%</t>
  </si>
  <si>
    <t>401*2   </t>
  </si>
  <si>
    <t>Potažení stěn skelnou tkaninou vtlačením do stěrky</t>
  </si>
  <si>
    <t>2*4*4,7+2*1,5+(1,3+8,83+5,81+1,3+3,66*3+1,025+0,8+1,685*2+0,9+3,66+4,5*2+3,65+5)*2,7-1,6*20-1,4*10   </t>
  </si>
  <si>
    <t>(2,3*2+2,63*2+1,8*3+4,15+5,06+2,43*2+3,75+1,1*2+1,6*4+2*4)*2,7   </t>
  </si>
  <si>
    <t>(5,01+4,1*2+1,6*2+2,49*2+1,8*2+4,45+3,95+1,8+2*2+3,5+4,5*2+3,58*4+3,92+1,47)*2,7-234,575   </t>
  </si>
  <si>
    <t>6,54*(4*0,5+2*0,5+2*1+2*1,4+2*0,5)   k</t>
  </si>
  <si>
    <t>Potažení vnitřních stěn štukem 3mm</t>
  </si>
  <si>
    <t>471,704-(2,4*2+2,7*2+2,1+23)*0,6-(3,66*2+1,02+0,8+1,68*2+0,9*2+2,3*2+1,1+2*4+1,6+0,9+1,1+7,93)*2   </t>
  </si>
  <si>
    <t>-227,592   </t>
  </si>
  <si>
    <t>6,54*(4*0,5+2*0,5+2*1+2*1,4+2*0,5)   </t>
  </si>
  <si>
    <t>Montáž výztužné sítě (perlinky) do stěrky-stropy</t>
  </si>
  <si>
    <t>4,8*4,2   </t>
  </si>
  <si>
    <t>Omítka stropů vnitřní tenkovrstvá vápenná - štuk</t>
  </si>
  <si>
    <t>20,16   </t>
  </si>
  <si>
    <t>Hrubá výplň rýh ve stěnách do 5x3 cm maltou ze SMS</t>
  </si>
  <si>
    <t>122   </t>
  </si>
  <si>
    <t>Hrubá výplň rýh ZTI ve stěnách maltou</t>
  </si>
  <si>
    <t>25*0,25+30*0,1+15*0,08   </t>
  </si>
  <si>
    <t>Montáž rohového profilu</t>
  </si>
  <si>
    <t>4,4*2+5,5*6+5*7+2,7*17+3,4*14   </t>
  </si>
  <si>
    <t>Hodinová zúčtovací sazba zedník odborný - (úpravy okeních nadpraží) včetně materiálu</t>
  </si>
  <si>
    <t>50   </t>
  </si>
  <si>
    <t>Úprava povrchů vnější</t>
  </si>
  <si>
    <t>Očištění fasád tlakovou vodou složitost 3 - 5</t>
  </si>
  <si>
    <t xml:space="preserve">14,5*1   vých.San3  </t>
  </si>
  <si>
    <t>14,5*1,3   záp.San3</t>
  </si>
  <si>
    <t>Omítka vnější stěn, MVC, hrubá zatřená tl.do 15mm s přísadou ASOPLAST M</t>
  </si>
  <si>
    <t>Nátěr hydrofobizační AQUAFIN-F</t>
  </si>
  <si>
    <t xml:space="preserve">(1,7+9,2+0,85*4)*0,5   východ San2  </t>
  </si>
  <si>
    <t>(9,2+0,3)*1,48   jih San2</t>
  </si>
  <si>
    <t>(9,2+3+2*0,85)*1,02   západ S2</t>
  </si>
  <si>
    <t>Omítkový sanač.sys.Schömburg,Thermopal,vněj,2vrst.</t>
  </si>
  <si>
    <t>2*7,5-1,85*0,6*2-1*2+(2*2+1+4*0,6+2*1,85)*0,3   záp.San1</t>
  </si>
  <si>
    <t xml:space="preserve">2*7-2*0,9-2*0,8-2*1-0,55*0,55-0,53*0,65+(2*2*3+0,9+0,8+1+0,55*4+0,63*2)*0,3   vých.San1    </t>
  </si>
  <si>
    <t>Nátěr ESCO-FLUAT roztok neutralizační</t>
  </si>
  <si>
    <t>27,51   fasáda</t>
  </si>
  <si>
    <t>111,52   interier</t>
  </si>
  <si>
    <t>Omítka vnější stěn, štuková, Thermopal - FS 33</t>
  </si>
  <si>
    <t>Podlahy a podlahové konstrukce</t>
  </si>
  <si>
    <t>Potěr pískocementový bez přísady, o tl. do 60 mm</t>
  </si>
  <si>
    <t>82,99   1np</t>
  </si>
  <si>
    <t>21,07+3,2+16,85+17,35+3,47+4,13+15,68+14,02+5,93+7,54   2np</t>
  </si>
  <si>
    <t>Mazanina betonová tl. 8 - 12 cm C 20/25</t>
  </si>
  <si>
    <t>9,2*9,24*0,1   102-113</t>
  </si>
  <si>
    <t>Výztuž mazanin svařovanou sítí</t>
  </si>
  <si>
    <t>9,2*9,25*1,25*0,0182/6   </t>
  </si>
  <si>
    <t>Izolace proti vodě</t>
  </si>
  <si>
    <t>Izolace proti vlhkosti vodor. nátěr ALP za studena</t>
  </si>
  <si>
    <t>85,1   </t>
  </si>
  <si>
    <t>Izolace proti vlhkosti svis. nátěr ALP, za studena</t>
  </si>
  <si>
    <t>(9,2+9,25)*2*0,2   </t>
  </si>
  <si>
    <t>Izolace proti vlhk. vodorovná pásy přitavením</t>
  </si>
  <si>
    <t>Izolace proti vlhkosti svislá pásy přitavením</t>
  </si>
  <si>
    <t>7,38   </t>
  </si>
  <si>
    <t>(85,1+7,38)*1,1   </t>
  </si>
  <si>
    <t>101,73   </t>
  </si>
  <si>
    <t>Hydroizolační povlak - nátěr AQAFIN SULSATFEST</t>
  </si>
  <si>
    <t xml:space="preserve">(9,2+3+2*0,85)*1,02   západ San2 </t>
  </si>
  <si>
    <t>(9,2+0,3)*1,48    jih San2</t>
  </si>
  <si>
    <t>(1,7+9,2+0,85*4)*0,5   východ San2</t>
  </si>
  <si>
    <t>Hydroizolační  stěrka AQUAFIN-2K/M s podkladní vrstvou SULFATFEST</t>
  </si>
  <si>
    <t>14,5*0,8   vých.San3</t>
  </si>
  <si>
    <t>Izolace proti vodě stěn hydroizolační stěrkou Asocret-M30 do 10mm</t>
  </si>
  <si>
    <t>35,39   </t>
  </si>
  <si>
    <t>Prov. izolace nopovou fólií svisle, vč.uchyc.prvků</t>
  </si>
  <si>
    <t>14,5*0,6   vých.San3</t>
  </si>
  <si>
    <t xml:space="preserve">14,5*1,2   záp.San3  </t>
  </si>
  <si>
    <t>Izolace proti zem.vlhkosti,ochran.textilie,svislá</t>
  </si>
  <si>
    <t>26,1   </t>
  </si>
  <si>
    <t>Přesun hmot pro izolace proti vodě, výšky do 12 m</t>
  </si>
  <si>
    <t>116904/100   </t>
  </si>
  <si>
    <t>Izolace tepelné</t>
  </si>
  <si>
    <t>Montáž kontaktního zateplení stěn z minerální vlny tl přes 160 mm</t>
  </si>
  <si>
    <t>(3,66+4,35)*3,75-10,094   </t>
  </si>
  <si>
    <t>Izolace tepelná stropů spodem na tmel a hmoždinky</t>
  </si>
  <si>
    <t>4,8*4,2   sklad moto</t>
  </si>
  <si>
    <t>Izolace tepelné stropů vrchem kladené volně 1 vrstva - materiál ve specifikaci</t>
  </si>
  <si>
    <t>4,9*4,6*1,05   </t>
  </si>
  <si>
    <t>Izolace tepelné stropů rovných spodem, 1 vrstva - materiál ve specifikaci</t>
  </si>
  <si>
    <t>Izolace tepelné stropů rovných spodem, 2 vrstvy - materiál ve specifikaci</t>
  </si>
  <si>
    <t>175,72   </t>
  </si>
  <si>
    <t>Izolace tepelná podlah na sucho, jednovrstvá</t>
  </si>
  <si>
    <t>48,13   1np</t>
  </si>
  <si>
    <t>175,72   2np</t>
  </si>
  <si>
    <t>48,13*1,1   </t>
  </si>
  <si>
    <t>(3,66+4,35)*3,75*1,1-11,608   107</t>
  </si>
  <si>
    <t>20,16*1,1   sklad moto</t>
  </si>
  <si>
    <t>175,72*1,1   </t>
  </si>
  <si>
    <t>34,86*1,1   sklepy</t>
  </si>
  <si>
    <t>23,67*1,1   207</t>
  </si>
  <si>
    <t>175,72*1,1   2np</t>
  </si>
  <si>
    <t>48,13*1,1   1np</t>
  </si>
  <si>
    <t>175,72*1,1   1np</t>
  </si>
  <si>
    <t>Zábrana parotěsná PE podlah D+M</t>
  </si>
  <si>
    <t>48,13+175,72   </t>
  </si>
  <si>
    <t>Dilatační a separační páska na stěnu  š. 65 mm</t>
  </si>
  <si>
    <t>(3,66+2,22+1,68+0,9+5,12+4,4+4,35+4,2+9,2+4,66+9,6+3)*2-9*0,8   1np</t>
  </si>
  <si>
    <t>(8,83+1,3+2,63+1,8+2,3+1,8+5+3,69+1,6+1,1+2,96+2,43+1,6+2+4,14+5,06+5,1+4,09+2+1,6)*2   2np 201-210</t>
  </si>
  <si>
    <t>(2,48+1,8+4,43+4,43+2+1,8+3,5+4,49+3,57+3,91+1,47+3,57)*2-28*0,8   2np 211-216</t>
  </si>
  <si>
    <t>Přesun hmot pro izolace tepelné, výšky do 12 m</t>
  </si>
  <si>
    <t>264387/100   </t>
  </si>
  <si>
    <t>Zdravotechnické instalace</t>
  </si>
  <si>
    <t>Vana bílá 185x80x41 cm</t>
  </si>
  <si>
    <t>1   mč104</t>
  </si>
  <si>
    <t>Sestava vodoměrná  DN 32-25</t>
  </si>
  <si>
    <t>Vodovodní přípojka z trub polyetylénových D 40-63</t>
  </si>
  <si>
    <t>Přesun hmot pro vnitřní vodovod, výšky do 12 m</t>
  </si>
  <si>
    <t>38547/100   </t>
  </si>
  <si>
    <t>Konstrukce tesařské</t>
  </si>
  <si>
    <t>Montáž stropnic hraněných pl. do 450 cm2</t>
  </si>
  <si>
    <t>234,25   </t>
  </si>
  <si>
    <t>Řezivo - hranoly</t>
  </si>
  <si>
    <t>5,622*1,1   </t>
  </si>
  <si>
    <t>Spojovací prostředky pro montáž stropů</t>
  </si>
  <si>
    <t>5,622   </t>
  </si>
  <si>
    <t>Impregnace řeziva máčením</t>
  </si>
  <si>
    <t>150,32   </t>
  </si>
  <si>
    <t>Osazení půdního schodiště skládacího</t>
  </si>
  <si>
    <t>Přesun hmot pro tesařské konstrukce, výšky do 12 m</t>
  </si>
  <si>
    <t>87054/100   </t>
  </si>
  <si>
    <t>Konstrukce klempířské</t>
  </si>
  <si>
    <t>Demontáž lemov. komínů v ploše, vln. kryt, do 45°</t>
  </si>
  <si>
    <t>Demontáž oplechování parapetů</t>
  </si>
  <si>
    <t>1,2*14+1,75*2+0,5*3   </t>
  </si>
  <si>
    <t>Demontáž střešního okna ve vlnité krytině, do 45° k dalšímu použití</t>
  </si>
  <si>
    <t>2   </t>
  </si>
  <si>
    <t>Montáž okna střešního Pz, krytina vlnitá</t>
  </si>
  <si>
    <t>Okno střešní , krytina vlnitá,</t>
  </si>
  <si>
    <t>Lemování z Pz, komínů na vlnité krytině, v ploše</t>
  </si>
  <si>
    <t>10   </t>
  </si>
  <si>
    <t>Oplechování parapetů včetně rohů Pz, rš 500 mm</t>
  </si>
  <si>
    <t>1,8*2   </t>
  </si>
  <si>
    <t>Oplechování parapetů včetně rohů Pz, rš 400 mm</t>
  </si>
  <si>
    <t>1,2*8   </t>
  </si>
  <si>
    <t>Montáž lemování kotevních prvků Pz, vlnitá krytina</t>
  </si>
  <si>
    <t>4*4   lávky</t>
  </si>
  <si>
    <t>Přesun hmot pro klempířské konstr., výšky do 12 m</t>
  </si>
  <si>
    <t>75137/100   </t>
  </si>
  <si>
    <t>Krytina tvrdá</t>
  </si>
  <si>
    <t>Hodinová zúčtovací sazba pokrývač odborný - úpravy stávající střešní krytiny - částečná demontáž, zpětné doplnění včetně materiálu</t>
  </si>
  <si>
    <t>20   </t>
  </si>
  <si>
    <t>Přesun hmot pro krytiny tvrdé, výšky do 12 m</t>
  </si>
  <si>
    <t>11000/100   </t>
  </si>
  <si>
    <t>Konstrukce truhlářské</t>
  </si>
  <si>
    <t>Dodávka a montáž plastových dveří, parametry a vybavení dle PD, včeně kování, doplňků a ošetření připojovacích spár</t>
  </si>
  <si>
    <t>1,1*2,1   </t>
  </si>
  <si>
    <t>Montáž parapetních desek š.nad 30 cm,dl.do 100 cm</t>
  </si>
  <si>
    <t>Montáž parapetních desek š.nad 30 cm,dl.do 160 cm</t>
  </si>
  <si>
    <t>13   </t>
  </si>
  <si>
    <t>Montáž parapetních desek š.nad 30 cm,dl.do 260 cm</t>
  </si>
  <si>
    <t>2   2T</t>
  </si>
  <si>
    <t>Boční krytka parapetu plast</t>
  </si>
  <si>
    <t>26   </t>
  </si>
  <si>
    <t>Parapet interiér PVC bílý</t>
  </si>
  <si>
    <t>(2,1*2+0,5+1,25)*0,80+1,25*0,3*7+1,35*0,35*3+1,35*0,45*2   </t>
  </si>
  <si>
    <t>Přesun hmot pro truhlářské konstr., výšky do 12 m</t>
  </si>
  <si>
    <t>23077/100   </t>
  </si>
  <si>
    <t>Konstrukce doplňkové stavební (zámečnické)</t>
  </si>
  <si>
    <t>Výroba a montáž kov. atypických konstr. do 20 kg; zábradlí schodiště 2x synt.nátěr</t>
  </si>
  <si>
    <t>15   zábradlí 2np</t>
  </si>
  <si>
    <t>Výroba a montáž kov. atypických konstr.-komínová lávka vč.zábradlí žár.Zn</t>
  </si>
  <si>
    <t>Výroba a montáž kov. atypických konstr. do 10 kg žebřík VMŠ 2x synt.nátěr</t>
  </si>
  <si>
    <t>Montáž stěn s výplní drátěnou sítí, svařovaných</t>
  </si>
  <si>
    <t>(1,445+2,85+2,85+3,1+3,6+4+1)*2,72-26,59   </t>
  </si>
  <si>
    <t>Profily ocelové</t>
  </si>
  <si>
    <t>51,26*0,0253-0,671   </t>
  </si>
  <si>
    <t>Žebírkové pletivo v rámu</t>
  </si>
  <si>
    <t>24,67*1,42   </t>
  </si>
  <si>
    <t>Přesun hmot pro zámečnické konstr., výšky do 12 m</t>
  </si>
  <si>
    <t>106174/100   </t>
  </si>
  <si>
    <t>Podlahy z dlaždic</t>
  </si>
  <si>
    <t>Montáž keram.dlaždic a schodovek na stupnice,TM</t>
  </si>
  <si>
    <t>Montáž keramických dlaždic na podstupnice, TM</t>
  </si>
  <si>
    <t>Montáž podlah keram.,hladké, tmel, 30x30 cm</t>
  </si>
  <si>
    <t>11,13   </t>
  </si>
  <si>
    <t>Vyrovnání podlah, samonivel. hmotoul tl.4 mm</t>
  </si>
  <si>
    <t>Dlaždice keramické protiskluzné (barevné) přes 9 do 12 ks/m2</t>
  </si>
  <si>
    <t>11,13*1,2   </t>
  </si>
  <si>
    <t>Provedení penetrace podkladu penetrace PPB Multigrund</t>
  </si>
  <si>
    <t>109,045+11,13   </t>
  </si>
  <si>
    <t>Lišta hliníková L 10mm podlahová</t>
  </si>
  <si>
    <t>Přesun hmot pro podlahy z dlaždic, výšky do 12 m</t>
  </si>
  <si>
    <t>25057/100   </t>
  </si>
  <si>
    <t>Podlahy povlakové</t>
  </si>
  <si>
    <t>Provedení penetrace podkladu pod.povlak.podlahy</t>
  </si>
  <si>
    <t>27,87   </t>
  </si>
  <si>
    <t>Vyrovnání podkladů samonivelační hmotou</t>
  </si>
  <si>
    <t>Lepení povlakových podlah z pásů pryžových</t>
  </si>
  <si>
    <t>Podlahovina PVC</t>
  </si>
  <si>
    <t>27,87*1,2   </t>
  </si>
  <si>
    <t>Lepení podlahových soklíků pryžových</t>
  </si>
  <si>
    <t>8,6   </t>
  </si>
  <si>
    <t>8,6*1,1   </t>
  </si>
  <si>
    <t>Přesun hmot pro podlahy povlakové, výšky do 12 m</t>
  </si>
  <si>
    <t>26187/100   </t>
  </si>
  <si>
    <t>Nátěry</t>
  </si>
  <si>
    <t>Mezinátěrátěr syntetický kov. konstr. jednonásobný základní</t>
  </si>
  <si>
    <t>184,2*0,688   </t>
  </si>
  <si>
    <t>Lešení a stavební výtahy</t>
  </si>
  <si>
    <t>Lešení lehké pomocné, výška podlahy do 1,9 m</t>
  </si>
  <si>
    <t>250   </t>
  </si>
  <si>
    <t>Hydraulická zvedací plošina na automobilovém podvozku výška zdvihu do 18 m včetně obsluhy</t>
  </si>
  <si>
    <t>30   </t>
  </si>
  <si>
    <t>Montáž lešení leh.řad.s podlahami,š.do 1 m, H 10 m</t>
  </si>
  <si>
    <t>5,5*3*2*2   </t>
  </si>
  <si>
    <t>Pronájem lešení za kžd další den</t>
  </si>
  <si>
    <t>66*29   </t>
  </si>
  <si>
    <t>Demontáž lešení leh.řad.s podlahami,š.1 m, H 10 m</t>
  </si>
  <si>
    <t>66   </t>
  </si>
  <si>
    <t>Bourání konstrukcí</t>
  </si>
  <si>
    <t>Demontáž atypických ocelových konstr. do 50 kg</t>
  </si>
  <si>
    <t>6   rám niky mč.102</t>
  </si>
  <si>
    <t>Vybourání nosníků ze zdi smíšené dl. 4 m, 20 kg/m</t>
  </si>
  <si>
    <t>2,5*2*0,00447   L50x50</t>
  </si>
  <si>
    <t>Bourání zdiva nadzákladového smíšeného na MVC</t>
  </si>
  <si>
    <t>1*0,3*3,6   107 roh</t>
  </si>
  <si>
    <t>1,25*1,05*0,8+0,1*1,5*1,23   107 nové dveře</t>
  </si>
  <si>
    <t>Bourání základů ze zdiva kamenného</t>
  </si>
  <si>
    <t>0,6*0,4*0,3*4   základ kl.pasů</t>
  </si>
  <si>
    <t>7,4*0,6*0,4   stěna</t>
  </si>
  <si>
    <t>1*2*0,4   pec</t>
  </si>
  <si>
    <t>Bourání podkladů bet., potěr tl. 15 cm, nad 4 m2</t>
  </si>
  <si>
    <t>(4,1*7,25+0,85*0,7+5,6*1,3+2*0,8)*0,15   </t>
  </si>
  <si>
    <t>Bourání mazanin betonových tl. 10 cm, nad 4 m2</t>
  </si>
  <si>
    <t>(4,05*4,42+3,49*3,02+4,1*7,25+0,85*0,7+5,6*1,3+2*0,8+3,2*0,65)*0,1   </t>
  </si>
  <si>
    <t>Příplatek, bourání mazanin se svař.síťí nad 10 cm</t>
  </si>
  <si>
    <t>3,15*4*0,15   </t>
  </si>
  <si>
    <t>Prorážení otvorů a ostatní bourací práce</t>
  </si>
  <si>
    <t>Víceřad.podchycení stropů do 3,5 m,nad 1500 kg/m2m</t>
  </si>
  <si>
    <t>2   107 okno</t>
  </si>
  <si>
    <t>Vysekání kapes zeď kamenná nebo smíšená pl. 0,1 m2, hl. 30 cm</t>
  </si>
  <si>
    <t>Vysekání kapes zeď kamenná nebo smíšená pl. do 0,1 m2, hl. 35 cm</t>
  </si>
  <si>
    <t>Vysekání kapes zeď kamenná nebo smíšená .zaváz. příček tl. 15 cm</t>
  </si>
  <si>
    <t>3,3*2+3*5   </t>
  </si>
  <si>
    <t>Vysekání kapes zeď kamenná nebo smíšená .zavázání zdí tl. 30 cm</t>
  </si>
  <si>
    <t>2,5*2+3,25*2+3*6   </t>
  </si>
  <si>
    <t>Vysekání kapes zeď kamenná nebo smíšená .zavázání zdí tl. 45 cm</t>
  </si>
  <si>
    <t>3,3*2   </t>
  </si>
  <si>
    <t>Budovy občanské výstavby</t>
  </si>
  <si>
    <t>Přesun hmot pro budovy zděné výšky do 12 m ruční</t>
  </si>
  <si>
    <t>26,28+0,08+63,87+7,93+61,52+2,72+41,18+16,11+3,95+45,29+1,61   </t>
  </si>
  <si>
    <t>Přesun hmot procentní pro sádrokartonové konstrukce v objektech v do 12 m</t>
  </si>
  <si>
    <t>269106/100   </t>
  </si>
  <si>
    <t>Elektromontáže</t>
  </si>
  <si>
    <t>Úprava trasy elektropřívodů a umístění osvětlovacích těles</t>
  </si>
  <si>
    <t>1   motosklad</t>
  </si>
  <si>
    <t>Přesuny sutí</t>
  </si>
  <si>
    <t>Odvoz suti a vybour. hmot na skládku do 1 km</t>
  </si>
  <si>
    <t>21,68+13,68+10,84+2,92+40,72+4,16   </t>
  </si>
  <si>
    <t>Příplatek k odvozu za každý další 1 km</t>
  </si>
  <si>
    <t>94*9   </t>
  </si>
  <si>
    <t>Vnitrostaveništní doprava suti a vybouraných hmot pro budovy v do 12 m ručně</t>
  </si>
  <si>
    <t>94   </t>
  </si>
  <si>
    <t>Poplatek za skládku stavební suti</t>
  </si>
  <si>
    <t>40,72+4,16+10,84+2,92   </t>
  </si>
  <si>
    <t>Poplatek za skládku zemina</t>
  </si>
  <si>
    <t>21,68+13,68   </t>
  </si>
  <si>
    <t>Poplatek za skládku suti-obal.kam-asfalt 170302</t>
  </si>
  <si>
    <t>5,42   </t>
  </si>
  <si>
    <t>Objednatel:</t>
  </si>
  <si>
    <t>Projektant:</t>
  </si>
  <si>
    <t>Zhotovitel:</t>
  </si>
  <si>
    <t>Zpracováno dne:</t>
  </si>
  <si>
    <t>MJ</t>
  </si>
  <si>
    <t>m3</t>
  </si>
  <si>
    <t>m2</t>
  </si>
  <si>
    <t>ks</t>
  </si>
  <si>
    <t>kus</t>
  </si>
  <si>
    <t>soubor</t>
  </si>
  <si>
    <t>m</t>
  </si>
  <si>
    <t>t</t>
  </si>
  <si>
    <t>h</t>
  </si>
  <si>
    <t>%</t>
  </si>
  <si>
    <t>kpl</t>
  </si>
  <si>
    <t>kg</t>
  </si>
  <si>
    <t>hod</t>
  </si>
  <si>
    <t>Množství</t>
  </si>
  <si>
    <t>Potřebné množství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</si>
  <si>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</si>
  <si>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</si>
  <si>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</si>
  <si>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</si>
  <si>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</si>
  <si>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</si>
  <si>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</si>
  <si>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</si>
  <si>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</si>
  <si>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</si>
  <si>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</si>
  <si>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</si>
  <si>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</si>
  <si>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</si>
  <si>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</si>
  <si>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</si>
  <si>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</si>
  <si>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Montáž</t>
  </si>
  <si>
    <t>Krycí list slepého rozpočtu</t>
  </si>
  <si>
    <t>B</t>
  </si>
  <si>
    <t>Inženýrská činnost</t>
  </si>
  <si>
    <t>Koordinační činnost</t>
  </si>
  <si>
    <t>Kompletace</t>
  </si>
  <si>
    <t>DN celkem</t>
  </si>
  <si>
    <t>DN celkem z obj.</t>
  </si>
  <si>
    <t>DPH 15%</t>
  </si>
  <si>
    <t>DPH 21%</t>
  </si>
  <si>
    <t>Objednatel</t>
  </si>
  <si>
    <t>Konec výstavby: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</si>
  <si>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</si>
  <si>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</si>
  <si>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</si>
  <si>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</si>
  <si>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</si>
  <si>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</si>
  <si>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</si>
  <si>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</si>
  <si>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</si>
  <si>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</si>
  <si>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</si>
  <si>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</si>
  <si>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</si>
  <si>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</si>
  <si>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</si>
  <si>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</si>
  <si>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</si>
  <si>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</si>
  <si>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</si>
  <si>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00231401/CZ00231401</t>
  </si>
  <si>
    <t>198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</si>
  <si>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</si>
  <si>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</si>
  <si>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</si>
  <si>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</si>
  <si>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</si>
  <si>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</si>
  <si>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</si>
  <si>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</si>
  <si>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</si>
  <si>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</si>
  <si>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Základna</t>
  </si>
  <si>
    <t>Slepý stavební rozpočet</t>
  </si>
  <si>
    <t xml:space="preserve"> </t>
  </si>
  <si>
    <t>61250015</t>
  </si>
  <si>
    <t>Rozměry</t>
  </si>
  <si>
    <t>Schody skládací dřevěné zateplené  EW45 130x70 cm</t>
  </si>
  <si>
    <t>Doba výstavby:</t>
  </si>
  <si>
    <t>02.10.2019</t>
  </si>
  <si>
    <t> </t>
  </si>
  <si>
    <t>Cena/MJ</t>
  </si>
  <si>
    <t>(Kč)</t>
  </si>
  <si>
    <t>Náklady (Kč)</t>
  </si>
  <si>
    <t>Celkem</t>
  </si>
  <si>
    <t>Cenová</t>
  </si>
  <si>
    <t>soustava</t>
  </si>
  <si>
    <t>RTS II / 2017</t>
  </si>
  <si>
    <t>RTS II / 2019</t>
  </si>
  <si>
    <t>RTS I / 2019</t>
  </si>
  <si>
    <t>RTS I / 2018</t>
  </si>
  <si>
    <t>RTS I / 2017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</si>
  <si>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</si>
  <si>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</si>
  <si>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</si>
  <si>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</si>
  <si>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</si>
  <si>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</si>
  <si>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</si>
  <si>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</si>
  <si>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</si>
  <si>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</si>
  <si>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</si>
  <si>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13_</t>
  </si>
  <si>
    <t>17_</t>
  </si>
  <si>
    <t>27_</t>
  </si>
  <si>
    <t>28_</t>
  </si>
  <si>
    <t>31_</t>
  </si>
  <si>
    <t>34_</t>
  </si>
  <si>
    <t>41_</t>
  </si>
  <si>
    <t>43_</t>
  </si>
  <si>
    <t>57_</t>
  </si>
  <si>
    <t>61_</t>
  </si>
  <si>
    <t>62_</t>
  </si>
  <si>
    <t>63_</t>
  </si>
  <si>
    <t>711_</t>
  </si>
  <si>
    <t>713_</t>
  </si>
  <si>
    <t>72_</t>
  </si>
  <si>
    <t>762_</t>
  </si>
  <si>
    <t>764_</t>
  </si>
  <si>
    <t>765_</t>
  </si>
  <si>
    <t>766_</t>
  </si>
  <si>
    <t>767_</t>
  </si>
  <si>
    <t>771_</t>
  </si>
  <si>
    <t>776_</t>
  </si>
  <si>
    <t>783_</t>
  </si>
  <si>
    <t>94_</t>
  </si>
  <si>
    <t>96_</t>
  </si>
  <si>
    <t>97_</t>
  </si>
  <si>
    <t>H01_</t>
  </si>
  <si>
    <t>M21_</t>
  </si>
  <si>
    <t>S_</t>
  </si>
  <si>
    <t>1_</t>
  </si>
  <si>
    <t>2_</t>
  </si>
  <si>
    <t>3_</t>
  </si>
  <si>
    <t>4_</t>
  </si>
  <si>
    <t>5_</t>
  </si>
  <si>
    <t>6_</t>
  </si>
  <si>
    <t>71_</t>
  </si>
  <si>
    <t>76_</t>
  </si>
  <si>
    <t>77_</t>
  </si>
  <si>
    <t>78_</t>
  </si>
  <si>
    <t>9_</t>
  </si>
  <si>
    <t>_</t>
  </si>
  <si>
    <t>MAT</t>
  </si>
  <si>
    <t>WORK</t>
  </si>
  <si>
    <t>CELK</t>
  </si>
  <si>
    <t>Neobsazeno</t>
  </si>
  <si>
    <t>Stavební úpravy objektu sociálního bydlení Vlašimská 897, Benešov – výměna stropů</t>
  </si>
  <si>
    <t>Město Benešov Masarykovo náměstí 100, 256 01  Benešov</t>
  </si>
  <si>
    <t>Ing.Roman Moravec Bukovany 113 257 41 Týnec n.Sázavou</t>
  </si>
  <si>
    <t>Zdivo cihelné z tvárnic 17,5 P10, tl. 17,5 cm</t>
  </si>
  <si>
    <t>Zdivo nosné z tvár.cihelných P15 brouš. tl. 30 cm</t>
  </si>
  <si>
    <t>Zdivo nosné z tvár.cihelných P15 brouš. tl. 40 cm</t>
  </si>
  <si>
    <t>Zdivo nosné z tvár.cihelných P15 brouš. tl. 44 cm</t>
  </si>
  <si>
    <t>Překlad keramický vysoký 70x238x1500 mm</t>
  </si>
  <si>
    <t>Zdivo z tvárnic pórobet.hladkých tl. 25 cm</t>
  </si>
  <si>
    <t>Zdivo z tvárnic pórobet.hladkých tl. 30 cm</t>
  </si>
  <si>
    <t>Překlad nosný pórobet., dl. 1,5 m, š. 25 cm</t>
  </si>
  <si>
    <t>Překlad nosný pórobet., dl. 1,5 m, š. 30 cm</t>
  </si>
  <si>
    <t>Příčky z desek pórobet., tl. 12,5 cm</t>
  </si>
  <si>
    <t>Překlad nenosný pórobet., 125 x 25 x 12,5 cm</t>
  </si>
  <si>
    <t>Hydroizolační pás z modifikovaného asfaltu s vložkou ze skelné tkaniny</t>
  </si>
  <si>
    <t>Hydroizolační pás z SBS modifikovaného asfaltu s vložkou z polyesterové rohože v podélném směru vyztužené skleněnými vlákny.</t>
  </si>
  <si>
    <t>Deska polystyrenová XPS 120mm</t>
  </si>
  <si>
    <t>Deska izolační stabilizov. EPS 200 S</t>
  </si>
  <si>
    <t>Deska z minerální plsti do podlah pro kročejový útlum tl. 25 mm</t>
  </si>
  <si>
    <t>Pás z minerální vaty tl. 200 mm</t>
  </si>
  <si>
    <t>Pás z minerální vaty tl. 180 mm</t>
  </si>
  <si>
    <t>Pás z minerální vaty tl. 80 mm</t>
  </si>
  <si>
    <t>Lišta soklová měkké PVC 30x30 mm</t>
  </si>
  <si>
    <t>Sporák elektrický s troubou</t>
  </si>
  <si>
    <t>rekonstrukce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</si>
</sst>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9"/>
      <color indexed="61"/>
      <name val="Arial"/>
      <family val="0"/>
    </font>
    <font>
      <i/>
      <sz val="9"/>
      <color indexed="62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49" fontId="4" fillId="33" borderId="11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9" fontId="4" fillId="33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11" fillId="34" borderId="17" xfId="0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3" fillId="0" borderId="17" xfId="0" applyNumberFormat="1" applyFont="1" applyFill="1" applyBorder="1" applyAlignment="1" applyProtection="1">
      <alignment horizontal="right" vertical="center"/>
      <protection/>
    </xf>
    <xf numFmtId="49" fontId="13" fillId="0" borderId="17" xfId="0" applyNumberFormat="1" applyFont="1" applyFill="1" applyBorder="1" applyAlignment="1" applyProtection="1">
      <alignment horizontal="right" vertical="center"/>
      <protection/>
    </xf>
    <xf numFmtId="4" fontId="13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2" fillId="34" borderId="2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24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" fontId="3" fillId="0" borderId="31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5" fillId="33" borderId="11" xfId="0" applyNumberFormat="1" applyFont="1" applyFill="1" applyBorder="1" applyAlignment="1" applyProtection="1">
      <alignment horizontal="left" vertical="center"/>
      <protection/>
    </xf>
    <xf numFmtId="49" fontId="15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15" fillId="33" borderId="11" xfId="0" applyNumberFormat="1" applyFont="1" applyFill="1" applyBorder="1" applyAlignment="1" applyProtection="1">
      <alignment horizontal="left" vertical="center"/>
      <protection locked="0"/>
    </xf>
    <xf numFmtId="4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15" fillId="33" borderId="0" xfId="0" applyNumberFormat="1" applyFont="1" applyFill="1" applyBorder="1" applyAlignment="1" applyProtection="1">
      <alignment horizontal="left" vertical="center"/>
      <protection locked="0"/>
    </xf>
    <xf numFmtId="4" fontId="6" fillId="35" borderId="0" xfId="0" applyNumberFormat="1" applyFont="1" applyFill="1" applyBorder="1" applyAlignment="1" applyProtection="1">
      <alignment horizontal="right" vertical="center"/>
      <protection locked="0"/>
    </xf>
    <xf numFmtId="4" fontId="5" fillId="35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4" fontId="4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49" fontId="5" fillId="36" borderId="40" xfId="0" applyNumberFormat="1" applyFont="1" applyFill="1" applyBorder="1" applyAlignment="1" applyProtection="1">
      <alignment horizontal="left" vertical="center"/>
      <protection/>
    </xf>
    <xf numFmtId="4" fontId="5" fillId="36" borderId="41" xfId="0" applyNumberFormat="1" applyFont="1" applyFill="1" applyBorder="1" applyAlignment="1" applyProtection="1">
      <alignment horizontal="right" vertical="center"/>
      <protection/>
    </xf>
    <xf numFmtId="4" fontId="5" fillId="36" borderId="40" xfId="0" applyNumberFormat="1" applyFont="1" applyFill="1" applyBorder="1" applyAlignment="1" applyProtection="1">
      <alignment horizontal="right" vertical="center"/>
      <protection/>
    </xf>
    <xf numFmtId="4" fontId="5" fillId="36" borderId="40" xfId="0" applyNumberFormat="1" applyFont="1" applyFill="1" applyBorder="1" applyAlignment="1" applyProtection="1">
      <alignment horizontal="right" vertical="center"/>
      <protection locked="0"/>
    </xf>
    <xf numFmtId="49" fontId="5" fillId="36" borderId="41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4" fontId="1" fillId="37" borderId="17" xfId="0" applyNumberFormat="1" applyFont="1" applyFill="1" applyBorder="1" applyAlignment="1" applyProtection="1">
      <alignment horizontal="right" vertical="center"/>
      <protection/>
    </xf>
    <xf numFmtId="4" fontId="1" fillId="37" borderId="24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37" borderId="0" xfId="0" applyNumberFormat="1" applyFont="1" applyFill="1" applyBorder="1" applyAlignment="1" applyProtection="1">
      <alignment horizontal="left" vertical="center" wrapText="1"/>
      <protection/>
    </xf>
    <xf numFmtId="0" fontId="1" fillId="37" borderId="0" xfId="0" applyNumberFormat="1" applyFont="1" applyFill="1" applyBorder="1" applyAlignment="1" applyProtection="1">
      <alignment horizontal="left" vertical="center"/>
      <protection/>
    </xf>
    <xf numFmtId="49" fontId="1" fillId="37" borderId="26" xfId="0" applyNumberFormat="1" applyFont="1" applyFill="1" applyBorder="1" applyAlignment="1" applyProtection="1">
      <alignment horizontal="left" vertical="center"/>
      <protection/>
    </xf>
    <xf numFmtId="0" fontId="1" fillId="37" borderId="2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49" fontId="14" fillId="0" borderId="45" xfId="0" applyNumberFormat="1" applyFont="1" applyFill="1" applyBorder="1" applyAlignment="1" applyProtection="1">
      <alignment horizontal="left" vertical="center"/>
      <protection/>
    </xf>
    <xf numFmtId="0" fontId="14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45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27" xfId="0" applyNumberFormat="1" applyFont="1" applyFill="1" applyBorder="1" applyAlignment="1" applyProtection="1">
      <alignment horizontal="left" vertical="center"/>
      <protection/>
    </xf>
    <xf numFmtId="49" fontId="12" fillId="34" borderId="45" xfId="0" applyNumberFormat="1" applyFont="1" applyFill="1" applyBorder="1" applyAlignment="1" applyProtection="1">
      <alignment horizontal="left" vertical="center"/>
      <protection/>
    </xf>
    <xf numFmtId="0" fontId="12" fillId="34" borderId="44" xfId="0" applyNumberFormat="1" applyFont="1" applyFill="1" applyBorder="1" applyAlignment="1" applyProtection="1">
      <alignment horizontal="left" vertical="center"/>
      <protection/>
    </xf>
    <xf numFmtId="49" fontId="13" fillId="0" borderId="46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47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49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left" vertical="center"/>
      <protection/>
    </xf>
    <xf numFmtId="0" fontId="13" fillId="0" borderId="5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37" borderId="0" xfId="0" applyNumberFormat="1" applyFont="1" applyFill="1" applyBorder="1" applyAlignment="1" applyProtection="1">
      <alignment horizontal="left" vertical="center"/>
      <protection/>
    </xf>
    <xf numFmtId="0" fontId="1" fillId="37" borderId="0" xfId="0" applyNumberFormat="1" applyFont="1" applyFill="1" applyBorder="1" applyAlignment="1" applyProtection="1">
      <alignment horizontal="left" vertical="center"/>
      <protection locked="0"/>
    </xf>
    <xf numFmtId="0" fontId="1" fillId="37" borderId="26" xfId="0" applyNumberFormat="1" applyFont="1" applyFill="1" applyBorder="1" applyAlignment="1" applyProtection="1">
      <alignment horizontal="left" vertical="center"/>
      <protection locked="0"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35" borderId="0" xfId="0" applyNumberFormat="1" applyFont="1" applyFill="1" applyBorder="1" applyAlignment="1" applyProtection="1">
      <alignment horizontal="left" vertical="center"/>
      <protection locked="0"/>
    </xf>
    <xf numFmtId="0" fontId="1" fillId="35" borderId="26" xfId="0" applyNumberFormat="1" applyFont="1" applyFill="1" applyBorder="1" applyAlignment="1" applyProtection="1">
      <alignment horizontal="left" vertical="center"/>
      <protection locked="0"/>
    </xf>
    <xf numFmtId="0" fontId="1" fillId="35" borderId="29" xfId="0" applyNumberFormat="1" applyFont="1" applyFill="1" applyBorder="1" applyAlignment="1" applyProtection="1">
      <alignment horizontal="left" vertical="center"/>
      <protection locked="0"/>
    </xf>
    <xf numFmtId="0" fontId="1" fillId="35" borderId="52" xfId="0" applyNumberFormat="1" applyFont="1" applyFill="1" applyBorder="1" applyAlignment="1" applyProtection="1">
      <alignment horizontal="left" vertical="center"/>
      <protection locked="0"/>
    </xf>
    <xf numFmtId="49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5" fillId="36" borderId="41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54" xfId="0" applyNumberFormat="1" applyFont="1" applyFill="1" applyBorder="1" applyAlignment="1" applyProtection="1">
      <alignment horizontal="left" vertical="center"/>
      <protection/>
    </xf>
    <xf numFmtId="0" fontId="3" fillId="0" borderId="55" xfId="0" applyNumberFormat="1" applyFont="1" applyFill="1" applyBorder="1" applyAlignment="1" applyProtection="1">
      <alignment horizontal="left" vertical="center"/>
      <protection/>
    </xf>
    <xf numFmtId="0" fontId="3" fillId="0" borderId="56" xfId="0" applyNumberFormat="1" applyFont="1" applyFill="1" applyBorder="1" applyAlignment="1" applyProtection="1">
      <alignment horizontal="left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5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58" xfId="0" applyNumberFormat="1" applyFont="1" applyFill="1" applyBorder="1" applyAlignment="1" applyProtection="1">
      <alignment horizontal="left" vertical="center"/>
      <protection/>
    </xf>
    <xf numFmtId="49" fontId="3" fillId="0" borderId="59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60" xfId="0" applyNumberFormat="1" applyFont="1" applyFill="1" applyBorder="1" applyAlignment="1" applyProtection="1">
      <alignment horizontal="left" vertical="center"/>
      <protection/>
    </xf>
    <xf numFmtId="49" fontId="12" fillId="0" borderId="59" xfId="0" applyNumberFormat="1" applyFont="1" applyFill="1" applyBorder="1" applyAlignment="1" applyProtection="1">
      <alignment horizontal="left" vertical="center"/>
      <protection/>
    </xf>
    <xf numFmtId="0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60" xfId="0" applyNumberFormat="1" applyFont="1" applyFill="1" applyBorder="1" applyAlignment="1" applyProtection="1">
      <alignment horizontal="left" vertical="center"/>
      <protection/>
    </xf>
    <xf numFmtId="4" fontId="12" fillId="0" borderId="59" xfId="0" applyNumberFormat="1" applyFont="1" applyFill="1" applyBorder="1" applyAlignment="1" applyProtection="1">
      <alignment horizontal="right" vertical="center"/>
      <protection/>
    </xf>
    <xf numFmtId="0" fontId="12" fillId="0" borderId="28" xfId="0" applyNumberFormat="1" applyFont="1" applyFill="1" applyBorder="1" applyAlignment="1" applyProtection="1">
      <alignment horizontal="right" vertical="center"/>
      <protection/>
    </xf>
    <xf numFmtId="0" fontId="12" fillId="0" borderId="60" xfId="0" applyNumberFormat="1" applyFont="1" applyFill="1" applyBorder="1" applyAlignment="1" applyProtection="1">
      <alignment horizontal="righ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3" fillId="0" borderId="61" xfId="0" applyNumberFormat="1" applyFont="1" applyFill="1" applyBorder="1" applyAlignment="1" applyProtection="1">
      <alignment horizontal="left" vertical="center"/>
      <protection/>
    </xf>
    <xf numFmtId="0" fontId="3" fillId="0" borderId="62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5" fillId="36" borderId="4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C6" sqref="C6:D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7.00390625" style="0" customWidth="1"/>
    <col min="4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7"/>
      <c r="B1" s="20"/>
      <c r="C1" s="80" t="s">
        <v>883</v>
      </c>
      <c r="D1" s="81"/>
      <c r="E1" s="81"/>
      <c r="F1" s="81"/>
      <c r="G1" s="81"/>
      <c r="H1" s="81"/>
      <c r="I1" s="81"/>
    </row>
    <row r="2" spans="1:10" ht="12.75">
      <c r="A2" s="82" t="s">
        <v>1</v>
      </c>
      <c r="B2" s="83"/>
      <c r="C2" s="86" t="s">
        <v>1001</v>
      </c>
      <c r="D2" s="87"/>
      <c r="E2" s="89" t="s">
        <v>846</v>
      </c>
      <c r="F2" s="89" t="str">
        <f>'Stavební rozpočet'!H2</f>
        <v>Město Benešov Masarykovo náměstí 100, 256 01  Benešov</v>
      </c>
      <c r="G2" s="83"/>
      <c r="H2" s="89" t="s">
        <v>909</v>
      </c>
      <c r="I2" s="90" t="s">
        <v>913</v>
      </c>
      <c r="J2" s="18"/>
    </row>
    <row r="3" spans="1:10" ht="12.75">
      <c r="A3" s="84"/>
      <c r="B3" s="85"/>
      <c r="C3" s="88"/>
      <c r="D3" s="88"/>
      <c r="E3" s="85"/>
      <c r="F3" s="85"/>
      <c r="G3" s="85"/>
      <c r="H3" s="85"/>
      <c r="I3" s="91"/>
      <c r="J3" s="18"/>
    </row>
    <row r="4" spans="1:10" ht="12.75">
      <c r="A4" s="92" t="s">
        <v>2</v>
      </c>
      <c r="B4" s="85"/>
      <c r="C4" s="93" t="str">
        <f>'Stavební rozpočet'!C4</f>
        <v>rekonstrukce</v>
      </c>
      <c r="D4" s="85"/>
      <c r="E4" s="93" t="s">
        <v>847</v>
      </c>
      <c r="F4" s="93" t="str">
        <f>'Stavební rozpočet'!H4</f>
        <v>Ing.Roman Moravec Bukovany 113 257 41 Týnec n.Sázavou</v>
      </c>
      <c r="G4" s="85"/>
      <c r="H4" s="93" t="s">
        <v>909</v>
      </c>
      <c r="I4" s="94"/>
      <c r="J4" s="18"/>
    </row>
    <row r="5" spans="1:10" ht="12.75">
      <c r="A5" s="84"/>
      <c r="B5" s="85"/>
      <c r="C5" s="85"/>
      <c r="D5" s="85"/>
      <c r="E5" s="85"/>
      <c r="F5" s="85"/>
      <c r="G5" s="85"/>
      <c r="H5" s="85"/>
      <c r="I5" s="91"/>
      <c r="J5" s="18"/>
    </row>
    <row r="6" spans="1:10" ht="12.75">
      <c r="A6" s="92" t="s">
        <v>3</v>
      </c>
      <c r="B6" s="85"/>
      <c r="C6" s="93" t="str">
        <f>'Stavební rozpočet'!C6</f>
        <v> </v>
      </c>
      <c r="D6" s="85"/>
      <c r="E6" s="93" t="s">
        <v>848</v>
      </c>
      <c r="F6" s="95"/>
      <c r="G6" s="96"/>
      <c r="H6" s="93" t="s">
        <v>909</v>
      </c>
      <c r="I6" s="97"/>
      <c r="J6" s="18"/>
    </row>
    <row r="7" spans="1:10" ht="12.75">
      <c r="A7" s="84"/>
      <c r="B7" s="85"/>
      <c r="C7" s="85"/>
      <c r="D7" s="85"/>
      <c r="E7" s="85"/>
      <c r="F7" s="96"/>
      <c r="G7" s="96"/>
      <c r="H7" s="85"/>
      <c r="I7" s="98"/>
      <c r="J7" s="18"/>
    </row>
    <row r="8" spans="1:10" ht="12.75">
      <c r="A8" s="92" t="s">
        <v>865</v>
      </c>
      <c r="B8" s="85"/>
      <c r="C8" s="93"/>
      <c r="D8" s="85"/>
      <c r="E8" s="93" t="s">
        <v>893</v>
      </c>
      <c r="F8" s="93" t="str">
        <f>'Stavební rozpočet'!F6</f>
        <v> </v>
      </c>
      <c r="G8" s="85"/>
      <c r="H8" s="99" t="s">
        <v>910</v>
      </c>
      <c r="I8" s="94" t="s">
        <v>914</v>
      </c>
      <c r="J8" s="18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18"/>
    </row>
    <row r="10" spans="1:10" ht="12.75">
      <c r="A10" s="92" t="s">
        <v>866</v>
      </c>
      <c r="B10" s="85"/>
      <c r="C10" s="93" t="str">
        <f>'Stavební rozpočet'!C8</f>
        <v> </v>
      </c>
      <c r="D10" s="85"/>
      <c r="E10" s="93" t="s">
        <v>4</v>
      </c>
      <c r="F10" s="93" t="str">
        <f>'Stavební rozpočet'!H8</f>
        <v> </v>
      </c>
      <c r="G10" s="85"/>
      <c r="H10" s="99" t="s">
        <v>911</v>
      </c>
      <c r="I10" s="102" t="str">
        <f>'Stavební rozpočet'!F8</f>
        <v>02.10.2019</v>
      </c>
      <c r="J10" s="18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3"/>
      <c r="J11" s="18"/>
    </row>
    <row r="12" spans="1:9" ht="23.25" customHeight="1">
      <c r="A12" s="104" t="s">
        <v>867</v>
      </c>
      <c r="B12" s="105"/>
      <c r="C12" s="105"/>
      <c r="D12" s="105"/>
      <c r="E12" s="105"/>
      <c r="F12" s="105"/>
      <c r="G12" s="105"/>
      <c r="H12" s="105"/>
      <c r="I12" s="105"/>
    </row>
    <row r="13" spans="1:10" ht="26.25" customHeight="1">
      <c r="A13" s="21" t="s">
        <v>868</v>
      </c>
      <c r="B13" s="106" t="s">
        <v>880</v>
      </c>
      <c r="C13" s="107"/>
      <c r="D13" s="21" t="s">
        <v>884</v>
      </c>
      <c r="E13" s="106" t="s">
        <v>894</v>
      </c>
      <c r="F13" s="107"/>
      <c r="G13" s="21" t="s">
        <v>895</v>
      </c>
      <c r="H13" s="106" t="s">
        <v>912</v>
      </c>
      <c r="I13" s="107"/>
      <c r="J13" s="18"/>
    </row>
    <row r="14" spans="1:10" ht="15" customHeight="1">
      <c r="A14" s="22" t="s">
        <v>869</v>
      </c>
      <c r="B14" s="27" t="s">
        <v>881</v>
      </c>
      <c r="C14" s="31">
        <f>SUM('Stavební rozpočet'!AB12:AB239)</f>
        <v>0</v>
      </c>
      <c r="D14" s="108" t="s">
        <v>885</v>
      </c>
      <c r="E14" s="109"/>
      <c r="F14" s="31">
        <f>VORN!I15</f>
        <v>0</v>
      </c>
      <c r="G14" s="108" t="s">
        <v>896</v>
      </c>
      <c r="H14" s="109"/>
      <c r="I14" s="31">
        <f>VORN!I21</f>
        <v>0</v>
      </c>
      <c r="J14" s="18"/>
    </row>
    <row r="15" spans="1:10" ht="15" customHeight="1">
      <c r="A15" s="23"/>
      <c r="B15" s="27" t="s">
        <v>882</v>
      </c>
      <c r="C15" s="31">
        <f>SUM('Stavební rozpočet'!AC12:AC239)</f>
        <v>0</v>
      </c>
      <c r="D15" s="108" t="s">
        <v>886</v>
      </c>
      <c r="E15" s="109"/>
      <c r="F15" s="31">
        <f>VORN!I16</f>
        <v>0</v>
      </c>
      <c r="G15" s="108" t="s">
        <v>897</v>
      </c>
      <c r="H15" s="109"/>
      <c r="I15" s="31">
        <f>VORN!I22</f>
        <v>0</v>
      </c>
      <c r="J15" s="18"/>
    </row>
    <row r="16" spans="1:10" ht="15" customHeight="1">
      <c r="A16" s="22" t="s">
        <v>870</v>
      </c>
      <c r="B16" s="27" t="s">
        <v>881</v>
      </c>
      <c r="C16" s="31">
        <f>SUM('Stavební rozpočet'!AD12:AD239)</f>
        <v>0</v>
      </c>
      <c r="D16" s="108" t="s">
        <v>887</v>
      </c>
      <c r="E16" s="109"/>
      <c r="F16" s="31">
        <f>VORN!I17</f>
        <v>0</v>
      </c>
      <c r="G16" s="108" t="s">
        <v>898</v>
      </c>
      <c r="H16" s="109"/>
      <c r="I16" s="31">
        <f>VORN!I23</f>
        <v>0</v>
      </c>
      <c r="J16" s="18"/>
    </row>
    <row r="17" spans="1:10" ht="15" customHeight="1">
      <c r="A17" s="23"/>
      <c r="B17" s="27" t="s">
        <v>882</v>
      </c>
      <c r="C17" s="31">
        <f>SUM('Stavební rozpočet'!AE12:AE239)</f>
        <v>0</v>
      </c>
      <c r="D17" s="108"/>
      <c r="E17" s="109"/>
      <c r="F17" s="32"/>
      <c r="G17" s="108" t="s">
        <v>899</v>
      </c>
      <c r="H17" s="109"/>
      <c r="I17" s="31">
        <f>VORN!I24</f>
        <v>0</v>
      </c>
      <c r="J17" s="18"/>
    </row>
    <row r="18" spans="1:10" ht="15" customHeight="1">
      <c r="A18" s="22" t="s">
        <v>871</v>
      </c>
      <c r="B18" s="27" t="s">
        <v>881</v>
      </c>
      <c r="C18" s="31">
        <f>SUM('Stavební rozpočet'!AF12:AF239)</f>
        <v>0</v>
      </c>
      <c r="D18" s="108"/>
      <c r="E18" s="109"/>
      <c r="F18" s="32"/>
      <c r="G18" s="108" t="s">
        <v>900</v>
      </c>
      <c r="H18" s="109"/>
      <c r="I18" s="31">
        <f>VORN!I25</f>
        <v>0</v>
      </c>
      <c r="J18" s="18"/>
    </row>
    <row r="19" spans="1:10" ht="15" customHeight="1">
      <c r="A19" s="23"/>
      <c r="B19" s="27" t="s">
        <v>882</v>
      </c>
      <c r="C19" s="31">
        <f>SUM('Stavební rozpočet'!AG12:AG239)</f>
        <v>0</v>
      </c>
      <c r="D19" s="108"/>
      <c r="E19" s="109"/>
      <c r="F19" s="32"/>
      <c r="G19" s="108" t="s">
        <v>901</v>
      </c>
      <c r="H19" s="109"/>
      <c r="I19" s="31">
        <f>VORN!I26</f>
        <v>0</v>
      </c>
      <c r="J19" s="18"/>
    </row>
    <row r="20" spans="1:10" ht="15" customHeight="1">
      <c r="A20" s="110" t="s">
        <v>872</v>
      </c>
      <c r="B20" s="111"/>
      <c r="C20" s="31">
        <f>SUM('Stavební rozpočet'!AH12:AH239)</f>
        <v>0</v>
      </c>
      <c r="D20" s="108"/>
      <c r="E20" s="109"/>
      <c r="F20" s="32"/>
      <c r="G20" s="108"/>
      <c r="H20" s="109"/>
      <c r="I20" s="32"/>
      <c r="J20" s="18"/>
    </row>
    <row r="21" spans="1:10" ht="15" customHeight="1">
      <c r="A21" s="110" t="s">
        <v>873</v>
      </c>
      <c r="B21" s="111"/>
      <c r="C21" s="31">
        <f>SUM('Stavební rozpočet'!Z12:Z239)</f>
        <v>0</v>
      </c>
      <c r="D21" s="108"/>
      <c r="E21" s="109"/>
      <c r="F21" s="32"/>
      <c r="G21" s="108"/>
      <c r="H21" s="109"/>
      <c r="I21" s="32"/>
      <c r="J21" s="18"/>
    </row>
    <row r="22" spans="1:10" ht="16.5" customHeight="1">
      <c r="A22" s="110" t="s">
        <v>874</v>
      </c>
      <c r="B22" s="111"/>
      <c r="C22" s="31">
        <f>ROUND(SUM(C14:C21),0)</f>
        <v>0</v>
      </c>
      <c r="D22" s="110" t="s">
        <v>888</v>
      </c>
      <c r="E22" s="111"/>
      <c r="F22" s="31">
        <f>SUM(F14:F21)</f>
        <v>0</v>
      </c>
      <c r="G22" s="110" t="s">
        <v>902</v>
      </c>
      <c r="H22" s="111"/>
      <c r="I22" s="31">
        <f>SUM(I14:I21)</f>
        <v>0</v>
      </c>
      <c r="J22" s="18"/>
    </row>
    <row r="23" spans="1:10" ht="15" customHeight="1">
      <c r="A23" s="24"/>
      <c r="B23" s="24"/>
      <c r="C23" s="29"/>
      <c r="D23" s="110" t="s">
        <v>889</v>
      </c>
      <c r="E23" s="111"/>
      <c r="F23" s="33">
        <v>0</v>
      </c>
      <c r="G23" s="110" t="s">
        <v>903</v>
      </c>
      <c r="H23" s="111"/>
      <c r="I23" s="31">
        <v>0</v>
      </c>
      <c r="J23" s="18"/>
    </row>
    <row r="24" spans="4:10" ht="15" customHeight="1">
      <c r="D24" s="24"/>
      <c r="E24" s="24"/>
      <c r="F24" s="34"/>
      <c r="G24" s="110" t="s">
        <v>904</v>
      </c>
      <c r="H24" s="111"/>
      <c r="I24" s="31">
        <f>vorn_sum</f>
        <v>0</v>
      </c>
      <c r="J24" s="18"/>
    </row>
    <row r="25" spans="6:10" ht="15" customHeight="1">
      <c r="F25" s="35"/>
      <c r="G25" s="110" t="s">
        <v>905</v>
      </c>
      <c r="H25" s="111"/>
      <c r="I25" s="31">
        <v>0</v>
      </c>
      <c r="J25" s="18"/>
    </row>
    <row r="26" spans="1:9" ht="12.75">
      <c r="A26" s="20"/>
      <c r="B26" s="20"/>
      <c r="C26" s="20"/>
      <c r="G26" s="24"/>
      <c r="H26" s="24"/>
      <c r="I26" s="24"/>
    </row>
    <row r="27" spans="1:9" ht="15" customHeight="1">
      <c r="A27" s="112" t="s">
        <v>875</v>
      </c>
      <c r="B27" s="113"/>
      <c r="C27" s="36">
        <f>ROUND(SUM('Stavební rozpočet'!AJ12:AJ239),0)</f>
        <v>0</v>
      </c>
      <c r="D27" s="30"/>
      <c r="E27" s="20"/>
      <c r="F27" s="20"/>
      <c r="G27" s="20"/>
      <c r="H27" s="20"/>
      <c r="I27" s="20"/>
    </row>
    <row r="28" spans="1:10" ht="15" customHeight="1">
      <c r="A28" s="112" t="s">
        <v>876</v>
      </c>
      <c r="B28" s="113"/>
      <c r="C28" s="36">
        <f>ROUND(SUM('Stavební rozpočet'!AK12:AK239)+(F22+I22+F23+I23+I24+I25),0)</f>
        <v>0</v>
      </c>
      <c r="D28" s="112" t="s">
        <v>890</v>
      </c>
      <c r="E28" s="113"/>
      <c r="F28" s="36">
        <f>ROUND(C28*(15/100),2)</f>
        <v>0</v>
      </c>
      <c r="G28" s="112" t="s">
        <v>906</v>
      </c>
      <c r="H28" s="113"/>
      <c r="I28" s="36">
        <f>ROUND(SUM(C27:C29),0)</f>
        <v>0</v>
      </c>
      <c r="J28" s="18"/>
    </row>
    <row r="29" spans="1:10" ht="15" customHeight="1">
      <c r="A29" s="112" t="s">
        <v>877</v>
      </c>
      <c r="B29" s="113"/>
      <c r="C29" s="36">
        <f>ROUND(SUM('Stavební rozpočet'!AL12:AL239),0)</f>
        <v>0</v>
      </c>
      <c r="D29" s="112" t="s">
        <v>891</v>
      </c>
      <c r="E29" s="113"/>
      <c r="F29" s="36">
        <f>ROUND(C29*(21/100),2)</f>
        <v>0</v>
      </c>
      <c r="G29" s="112" t="s">
        <v>907</v>
      </c>
      <c r="H29" s="113"/>
      <c r="I29" s="36">
        <f>ROUND(SUM(F28:F29)+I28,0)</f>
        <v>0</v>
      </c>
      <c r="J29" s="18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10" ht="14.25" customHeight="1">
      <c r="A31" s="114" t="s">
        <v>878</v>
      </c>
      <c r="B31" s="115"/>
      <c r="C31" s="116"/>
      <c r="D31" s="114" t="s">
        <v>892</v>
      </c>
      <c r="E31" s="115"/>
      <c r="F31" s="116"/>
      <c r="G31" s="114" t="s">
        <v>908</v>
      </c>
      <c r="H31" s="115"/>
      <c r="I31" s="116"/>
      <c r="J31" s="19"/>
    </row>
    <row r="32" spans="1:10" ht="14.25" customHeight="1">
      <c r="A32" s="117"/>
      <c r="B32" s="118"/>
      <c r="C32" s="119"/>
      <c r="D32" s="117"/>
      <c r="E32" s="118"/>
      <c r="F32" s="119"/>
      <c r="G32" s="117"/>
      <c r="H32" s="118"/>
      <c r="I32" s="119"/>
      <c r="J32" s="19"/>
    </row>
    <row r="33" spans="1:10" ht="14.25" customHeight="1">
      <c r="A33" s="117"/>
      <c r="B33" s="118"/>
      <c r="C33" s="119"/>
      <c r="D33" s="117"/>
      <c r="E33" s="118"/>
      <c r="F33" s="119"/>
      <c r="G33" s="117"/>
      <c r="H33" s="118"/>
      <c r="I33" s="119"/>
      <c r="J33" s="19"/>
    </row>
    <row r="34" spans="1:10" ht="14.25" customHeight="1">
      <c r="A34" s="117"/>
      <c r="B34" s="118"/>
      <c r="C34" s="119"/>
      <c r="D34" s="117"/>
      <c r="E34" s="118"/>
      <c r="F34" s="119"/>
      <c r="G34" s="117"/>
      <c r="H34" s="118"/>
      <c r="I34" s="119"/>
      <c r="J34" s="19"/>
    </row>
    <row r="35" spans="1:10" ht="14.25" customHeight="1">
      <c r="A35" s="120" t="s">
        <v>879</v>
      </c>
      <c r="B35" s="121"/>
      <c r="C35" s="122"/>
      <c r="D35" s="120" t="s">
        <v>879</v>
      </c>
      <c r="E35" s="121"/>
      <c r="F35" s="122"/>
      <c r="G35" s="120" t="s">
        <v>879</v>
      </c>
      <c r="H35" s="121"/>
      <c r="I35" s="122"/>
      <c r="J35" s="19"/>
    </row>
    <row r="36" spans="1:9" ht="11.25" customHeight="1">
      <c r="A36" s="26" t="s">
        <v>203</v>
      </c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93"/>
      <c r="B37" s="85"/>
      <c r="C37" s="85"/>
      <c r="D37" s="85"/>
      <c r="E37" s="85"/>
      <c r="F37" s="85"/>
      <c r="G37" s="85"/>
      <c r="H37" s="85"/>
      <c r="I37" s="85"/>
    </row>
  </sheetData>
  <sheetProtection password="CCF3" sheet="1" objects="1" scenarios="1"/>
  <protectedRanges>
    <protectedRange sqref="F6:G7 I6:I7" name="Oblast1"/>
  </protectedRanges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4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09.8515625" style="0" customWidth="1"/>
    <col min="4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</cols>
  <sheetData>
    <row r="1" spans="1:12" ht="72.75" customHeight="1">
      <c r="A1" s="123" t="s">
        <v>926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12.75">
      <c r="A2" s="82" t="s">
        <v>1</v>
      </c>
      <c r="B2" s="83"/>
      <c r="C2" s="86" t="s">
        <v>1001</v>
      </c>
      <c r="D2" s="124" t="s">
        <v>931</v>
      </c>
      <c r="E2" s="83"/>
      <c r="F2" s="124" t="s">
        <v>927</v>
      </c>
      <c r="G2" s="89" t="s">
        <v>846</v>
      </c>
      <c r="H2" s="89" t="s">
        <v>1002</v>
      </c>
      <c r="I2" s="83"/>
      <c r="J2" s="83"/>
      <c r="K2" s="83"/>
      <c r="L2" s="125"/>
      <c r="M2" s="18"/>
    </row>
    <row r="3" spans="1:13" ht="12.75">
      <c r="A3" s="84"/>
      <c r="B3" s="85"/>
      <c r="C3" s="88"/>
      <c r="D3" s="85"/>
      <c r="E3" s="85"/>
      <c r="F3" s="85"/>
      <c r="G3" s="85"/>
      <c r="H3" s="85"/>
      <c r="I3" s="85"/>
      <c r="J3" s="85"/>
      <c r="K3" s="85"/>
      <c r="L3" s="91"/>
      <c r="M3" s="18"/>
    </row>
    <row r="4" spans="1:13" ht="12.75">
      <c r="A4" s="92" t="s">
        <v>2</v>
      </c>
      <c r="B4" s="85"/>
      <c r="C4" s="93" t="s">
        <v>1025</v>
      </c>
      <c r="D4" s="99" t="s">
        <v>865</v>
      </c>
      <c r="E4" s="85"/>
      <c r="F4" s="99"/>
      <c r="G4" s="93" t="s">
        <v>847</v>
      </c>
      <c r="H4" s="93" t="s">
        <v>1003</v>
      </c>
      <c r="I4" s="85"/>
      <c r="J4" s="85"/>
      <c r="K4" s="85"/>
      <c r="L4" s="91"/>
      <c r="M4" s="18"/>
    </row>
    <row r="5" spans="1:13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91"/>
      <c r="M5" s="18"/>
    </row>
    <row r="6" spans="1:13" ht="12.75">
      <c r="A6" s="92" t="s">
        <v>3</v>
      </c>
      <c r="B6" s="85"/>
      <c r="C6" s="93" t="s">
        <v>927</v>
      </c>
      <c r="D6" s="99" t="s">
        <v>893</v>
      </c>
      <c r="E6" s="85"/>
      <c r="F6" s="99" t="s">
        <v>927</v>
      </c>
      <c r="G6" s="93" t="s">
        <v>848</v>
      </c>
      <c r="H6" s="126"/>
      <c r="I6" s="96"/>
      <c r="J6" s="96"/>
      <c r="K6" s="127"/>
      <c r="L6" s="128"/>
      <c r="M6" s="18"/>
    </row>
    <row r="7" spans="1:13" ht="12.75">
      <c r="A7" s="84"/>
      <c r="B7" s="85"/>
      <c r="C7" s="85"/>
      <c r="D7" s="85"/>
      <c r="E7" s="85"/>
      <c r="F7" s="85"/>
      <c r="G7" s="85"/>
      <c r="H7" s="96"/>
      <c r="I7" s="96"/>
      <c r="J7" s="96"/>
      <c r="K7" s="127"/>
      <c r="L7" s="128"/>
      <c r="M7" s="18"/>
    </row>
    <row r="8" spans="1:13" ht="12.75">
      <c r="A8" s="92" t="s">
        <v>866</v>
      </c>
      <c r="B8" s="85"/>
      <c r="C8" s="93" t="s">
        <v>927</v>
      </c>
      <c r="D8" s="99" t="s">
        <v>849</v>
      </c>
      <c r="E8" s="85"/>
      <c r="F8" s="99" t="s">
        <v>932</v>
      </c>
      <c r="G8" s="93" t="s">
        <v>4</v>
      </c>
      <c r="H8" s="99" t="s">
        <v>933</v>
      </c>
      <c r="I8" s="85"/>
      <c r="J8" s="85"/>
      <c r="K8" s="131"/>
      <c r="L8" s="132"/>
      <c r="M8" s="18"/>
    </row>
    <row r="9" spans="1:13" ht="12.7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3"/>
      <c r="L9" s="134"/>
      <c r="M9" s="18"/>
    </row>
    <row r="10" spans="1:13" ht="12.75">
      <c r="A10" s="47" t="s">
        <v>5</v>
      </c>
      <c r="B10" s="52" t="s">
        <v>205</v>
      </c>
      <c r="C10" s="135" t="s">
        <v>416</v>
      </c>
      <c r="D10" s="136"/>
      <c r="E10" s="136"/>
      <c r="F10" s="136"/>
      <c r="G10" s="137"/>
      <c r="H10" s="52" t="s">
        <v>850</v>
      </c>
      <c r="I10" s="54" t="s">
        <v>863</v>
      </c>
      <c r="J10" s="56" t="s">
        <v>934</v>
      </c>
      <c r="K10" s="63" t="s">
        <v>936</v>
      </c>
      <c r="L10" s="63" t="s">
        <v>938</v>
      </c>
      <c r="M10" s="19"/>
    </row>
    <row r="11" spans="1:62" ht="12.75">
      <c r="A11" s="48" t="s">
        <v>927</v>
      </c>
      <c r="B11" s="53" t="s">
        <v>927</v>
      </c>
      <c r="C11" s="138" t="s">
        <v>929</v>
      </c>
      <c r="D11" s="139"/>
      <c r="E11" s="139"/>
      <c r="F11" s="139"/>
      <c r="G11" s="140"/>
      <c r="H11" s="53" t="s">
        <v>927</v>
      </c>
      <c r="I11" s="53" t="s">
        <v>927</v>
      </c>
      <c r="J11" s="57" t="s">
        <v>935</v>
      </c>
      <c r="K11" s="64" t="s">
        <v>937</v>
      </c>
      <c r="L11" s="65" t="s">
        <v>939</v>
      </c>
      <c r="M11" s="19"/>
      <c r="Z11" s="12" t="s">
        <v>946</v>
      </c>
      <c r="AA11" s="12" t="s">
        <v>947</v>
      </c>
      <c r="AB11" s="12" t="s">
        <v>948</v>
      </c>
      <c r="AC11" s="12" t="s">
        <v>949</v>
      </c>
      <c r="AD11" s="12" t="s">
        <v>950</v>
      </c>
      <c r="AE11" s="12" t="s">
        <v>951</v>
      </c>
      <c r="AF11" s="12" t="s">
        <v>952</v>
      </c>
      <c r="AG11" s="12" t="s">
        <v>953</v>
      </c>
      <c r="AH11" s="12" t="s">
        <v>954</v>
      </c>
      <c r="BH11" s="12" t="s">
        <v>997</v>
      </c>
      <c r="BI11" s="12" t="s">
        <v>998</v>
      </c>
      <c r="BJ11" s="12" t="s">
        <v>999</v>
      </c>
    </row>
    <row r="12" spans="1:47" ht="12.75">
      <c r="A12" s="49"/>
      <c r="B12" s="2" t="s">
        <v>17</v>
      </c>
      <c r="C12" s="141" t="s">
        <v>417</v>
      </c>
      <c r="D12" s="142"/>
      <c r="E12" s="142"/>
      <c r="F12" s="142"/>
      <c r="G12" s="142"/>
      <c r="H12" s="49" t="s">
        <v>927</v>
      </c>
      <c r="I12" s="49" t="s">
        <v>927</v>
      </c>
      <c r="J12" s="58" t="s">
        <v>927</v>
      </c>
      <c r="K12" s="69">
        <f>SUM(K13:K13)</f>
        <v>0</v>
      </c>
      <c r="L12" s="9"/>
      <c r="AI12" s="12"/>
      <c r="AS12" s="70">
        <f>SUM(AJ13:AJ13)</f>
        <v>0</v>
      </c>
      <c r="AT12" s="70">
        <f>SUM(AK13:AK13)</f>
        <v>0</v>
      </c>
      <c r="AU12" s="70">
        <f>SUM(AL13:AL13)</f>
        <v>0</v>
      </c>
    </row>
    <row r="13" spans="1:62" ht="12.75">
      <c r="A13" s="3" t="s">
        <v>6</v>
      </c>
      <c r="B13" s="3" t="s">
        <v>206</v>
      </c>
      <c r="C13" s="143" t="s">
        <v>418</v>
      </c>
      <c r="D13" s="144"/>
      <c r="E13" s="144"/>
      <c r="F13" s="144"/>
      <c r="G13" s="144"/>
      <c r="H13" s="3" t="s">
        <v>851</v>
      </c>
      <c r="I13" s="10">
        <v>12.75</v>
      </c>
      <c r="J13" s="59">
        <v>0</v>
      </c>
      <c r="K13" s="10">
        <f>I13*J13</f>
        <v>0</v>
      </c>
      <c r="L13" s="16" t="s">
        <v>940</v>
      </c>
      <c r="Z13" s="67">
        <f>IF(AQ13="5",BJ13,0)</f>
        <v>0</v>
      </c>
      <c r="AB13" s="67">
        <f>IF(AQ13="1",BH13,0)</f>
        <v>0</v>
      </c>
      <c r="AC13" s="67">
        <f>IF(AQ13="1",BI13,0)</f>
        <v>0</v>
      </c>
      <c r="AD13" s="67">
        <f>IF(AQ13="7",BH13,0)</f>
        <v>0</v>
      </c>
      <c r="AE13" s="67">
        <f>IF(AQ13="7",BI13,0)</f>
        <v>0</v>
      </c>
      <c r="AF13" s="67">
        <f>IF(AQ13="2",BH13,0)</f>
        <v>0</v>
      </c>
      <c r="AG13" s="67">
        <f>IF(AQ13="2",BI13,0)</f>
        <v>0</v>
      </c>
      <c r="AH13" s="67">
        <f>IF(AQ13="0",BJ13,0)</f>
        <v>0</v>
      </c>
      <c r="AI13" s="12"/>
      <c r="AJ13" s="10">
        <f>IF(AN13=0,K13,0)</f>
        <v>0</v>
      </c>
      <c r="AK13" s="10">
        <f>IF(AN13=15,K13,0)</f>
        <v>0</v>
      </c>
      <c r="AL13" s="10">
        <f>IF(AN13=21,K13,0)</f>
        <v>0</v>
      </c>
      <c r="AN13" s="67">
        <v>15</v>
      </c>
      <c r="AO13" s="67">
        <f>J13*0</f>
        <v>0</v>
      </c>
      <c r="AP13" s="67">
        <f>J13*(1-0)</f>
        <v>0</v>
      </c>
      <c r="AQ13" s="16" t="s">
        <v>6</v>
      </c>
      <c r="AV13" s="67">
        <f>AW13+AX13</f>
        <v>0</v>
      </c>
      <c r="AW13" s="67">
        <f>I13*AO13</f>
        <v>0</v>
      </c>
      <c r="AX13" s="67">
        <f>I13*AP13</f>
        <v>0</v>
      </c>
      <c r="AY13" s="68" t="s">
        <v>955</v>
      </c>
      <c r="AZ13" s="68" t="s">
        <v>985</v>
      </c>
      <c r="BA13" s="12" t="s">
        <v>996</v>
      </c>
      <c r="BC13" s="67">
        <f>AW13+AX13</f>
        <v>0</v>
      </c>
      <c r="BD13" s="67">
        <f>J13/(100-BE13)*100</f>
        <v>0</v>
      </c>
      <c r="BE13" s="67">
        <v>0</v>
      </c>
      <c r="BF13" s="67">
        <f>13</f>
        <v>13</v>
      </c>
      <c r="BH13" s="10">
        <f>I13*AO13</f>
        <v>0</v>
      </c>
      <c r="BI13" s="10">
        <f>I13*AP13</f>
        <v>0</v>
      </c>
      <c r="BJ13" s="10">
        <f>I13*J13</f>
        <v>0</v>
      </c>
    </row>
    <row r="14" spans="1:47" ht="12.75">
      <c r="A14" s="50"/>
      <c r="B14" s="4" t="s">
        <v>18</v>
      </c>
      <c r="C14" s="145" t="s">
        <v>420</v>
      </c>
      <c r="D14" s="146"/>
      <c r="E14" s="146"/>
      <c r="F14" s="146"/>
      <c r="G14" s="146"/>
      <c r="H14" s="50" t="s">
        <v>927</v>
      </c>
      <c r="I14" s="50" t="s">
        <v>927</v>
      </c>
      <c r="J14" s="60" t="s">
        <v>927</v>
      </c>
      <c r="K14" s="70">
        <f>SUM(K15:K18)</f>
        <v>0</v>
      </c>
      <c r="L14" s="12"/>
      <c r="AI14" s="12"/>
      <c r="AS14" s="70">
        <f>SUM(AJ15:AJ18)</f>
        <v>0</v>
      </c>
      <c r="AT14" s="70">
        <f>SUM(AK15:AK18)</f>
        <v>0</v>
      </c>
      <c r="AU14" s="70">
        <f>SUM(AL15:AL18)</f>
        <v>0</v>
      </c>
    </row>
    <row r="15" spans="1:62" ht="12.75">
      <c r="A15" s="3" t="s">
        <v>7</v>
      </c>
      <c r="B15" s="3" t="s">
        <v>207</v>
      </c>
      <c r="C15" s="143" t="s">
        <v>421</v>
      </c>
      <c r="D15" s="144"/>
      <c r="E15" s="144"/>
      <c r="F15" s="144"/>
      <c r="G15" s="144"/>
      <c r="H15" s="3" t="s">
        <v>851</v>
      </c>
      <c r="I15" s="10">
        <v>24.94</v>
      </c>
      <c r="J15" s="59">
        <v>0</v>
      </c>
      <c r="K15" s="10">
        <f>I15*J15</f>
        <v>0</v>
      </c>
      <c r="L15" s="16" t="s">
        <v>941</v>
      </c>
      <c r="Z15" s="67">
        <f>IF(AQ15="5",BJ15,0)</f>
        <v>0</v>
      </c>
      <c r="AB15" s="67">
        <f>IF(AQ15="1",BH15,0)</f>
        <v>0</v>
      </c>
      <c r="AC15" s="67">
        <f>IF(AQ15="1",BI15,0)</f>
        <v>0</v>
      </c>
      <c r="AD15" s="67">
        <f>IF(AQ15="7",BH15,0)</f>
        <v>0</v>
      </c>
      <c r="AE15" s="67">
        <f>IF(AQ15="7",BI15,0)</f>
        <v>0</v>
      </c>
      <c r="AF15" s="67">
        <f>IF(AQ15="2",BH15,0)</f>
        <v>0</v>
      </c>
      <c r="AG15" s="67">
        <f>IF(AQ15="2",BI15,0)</f>
        <v>0</v>
      </c>
      <c r="AH15" s="67">
        <f>IF(AQ15="0",BJ15,0)</f>
        <v>0</v>
      </c>
      <c r="AI15" s="12"/>
      <c r="AJ15" s="10">
        <f>IF(AN15=0,K15,0)</f>
        <v>0</v>
      </c>
      <c r="AK15" s="10">
        <f>IF(AN15=15,K15,0)</f>
        <v>0</v>
      </c>
      <c r="AL15" s="10">
        <f>IF(AN15=21,K15,0)</f>
        <v>0</v>
      </c>
      <c r="AN15" s="67">
        <v>15</v>
      </c>
      <c r="AO15" s="67">
        <f>J15*0</f>
        <v>0</v>
      </c>
      <c r="AP15" s="67">
        <f>J15*(1-0)</f>
        <v>0</v>
      </c>
      <c r="AQ15" s="16" t="s">
        <v>6</v>
      </c>
      <c r="AV15" s="67">
        <f>AW15+AX15</f>
        <v>0</v>
      </c>
      <c r="AW15" s="67">
        <f>I15*AO15</f>
        <v>0</v>
      </c>
      <c r="AX15" s="67">
        <f>I15*AP15</f>
        <v>0</v>
      </c>
      <c r="AY15" s="68" t="s">
        <v>956</v>
      </c>
      <c r="AZ15" s="68" t="s">
        <v>985</v>
      </c>
      <c r="BA15" s="12" t="s">
        <v>996</v>
      </c>
      <c r="BC15" s="67">
        <f>AW15+AX15</f>
        <v>0</v>
      </c>
      <c r="BD15" s="67">
        <f>J15/(100-BE15)*100</f>
        <v>0</v>
      </c>
      <c r="BE15" s="67">
        <v>0</v>
      </c>
      <c r="BF15" s="67">
        <f>15</f>
        <v>15</v>
      </c>
      <c r="BH15" s="10">
        <f>I15*AO15</f>
        <v>0</v>
      </c>
      <c r="BI15" s="10">
        <f>I15*AP15</f>
        <v>0</v>
      </c>
      <c r="BJ15" s="10">
        <f>I15*J15</f>
        <v>0</v>
      </c>
    </row>
    <row r="16" spans="1:62" ht="12.75">
      <c r="A16" s="3" t="s">
        <v>8</v>
      </c>
      <c r="B16" s="3" t="s">
        <v>208</v>
      </c>
      <c r="C16" s="143" t="s">
        <v>424</v>
      </c>
      <c r="D16" s="144"/>
      <c r="E16" s="144"/>
      <c r="F16" s="144"/>
      <c r="G16" s="144"/>
      <c r="H16" s="3" t="s">
        <v>851</v>
      </c>
      <c r="I16" s="10">
        <v>8.55</v>
      </c>
      <c r="J16" s="59">
        <v>0</v>
      </c>
      <c r="K16" s="10">
        <f>I16*J16</f>
        <v>0</v>
      </c>
      <c r="L16" s="16" t="s">
        <v>941</v>
      </c>
      <c r="Z16" s="67">
        <f>IF(AQ16="5",BJ16,0)</f>
        <v>0</v>
      </c>
      <c r="AB16" s="67">
        <f>IF(AQ16="1",BH16,0)</f>
        <v>0</v>
      </c>
      <c r="AC16" s="67">
        <f>IF(AQ16="1",BI16,0)</f>
        <v>0</v>
      </c>
      <c r="AD16" s="67">
        <f>IF(AQ16="7",BH16,0)</f>
        <v>0</v>
      </c>
      <c r="AE16" s="67">
        <f>IF(AQ16="7",BI16,0)</f>
        <v>0</v>
      </c>
      <c r="AF16" s="67">
        <f>IF(AQ16="2",BH16,0)</f>
        <v>0</v>
      </c>
      <c r="AG16" s="67">
        <f>IF(AQ16="2",BI16,0)</f>
        <v>0</v>
      </c>
      <c r="AH16" s="67">
        <f>IF(AQ16="0",BJ16,0)</f>
        <v>0</v>
      </c>
      <c r="AI16" s="12"/>
      <c r="AJ16" s="10">
        <f>IF(AN16=0,K16,0)</f>
        <v>0</v>
      </c>
      <c r="AK16" s="10">
        <f>IF(AN16=15,K16,0)</f>
        <v>0</v>
      </c>
      <c r="AL16" s="10">
        <f>IF(AN16=21,K16,0)</f>
        <v>0</v>
      </c>
      <c r="AN16" s="67">
        <v>15</v>
      </c>
      <c r="AO16" s="67">
        <f>J16*0</f>
        <v>0</v>
      </c>
      <c r="AP16" s="67">
        <f>J16*(1-0)</f>
        <v>0</v>
      </c>
      <c r="AQ16" s="16" t="s">
        <v>6</v>
      </c>
      <c r="AV16" s="67">
        <f>AW16+AX16</f>
        <v>0</v>
      </c>
      <c r="AW16" s="67">
        <f>I16*AO16</f>
        <v>0</v>
      </c>
      <c r="AX16" s="67">
        <f>I16*AP16</f>
        <v>0</v>
      </c>
      <c r="AY16" s="68" t="s">
        <v>956</v>
      </c>
      <c r="AZ16" s="68" t="s">
        <v>985</v>
      </c>
      <c r="BA16" s="12" t="s">
        <v>996</v>
      </c>
      <c r="BC16" s="67">
        <f>AW16+AX16</f>
        <v>0</v>
      </c>
      <c r="BD16" s="67">
        <f>J16/(100-BE16)*100</f>
        <v>0</v>
      </c>
      <c r="BE16" s="67">
        <v>0</v>
      </c>
      <c r="BF16" s="67">
        <f>16</f>
        <v>16</v>
      </c>
      <c r="BH16" s="10">
        <f>I16*AO16</f>
        <v>0</v>
      </c>
      <c r="BI16" s="10">
        <f>I16*AP16</f>
        <v>0</v>
      </c>
      <c r="BJ16" s="10">
        <f>I16*J16</f>
        <v>0</v>
      </c>
    </row>
    <row r="17" spans="1:62" ht="12.75">
      <c r="A17" s="3" t="s">
        <v>9</v>
      </c>
      <c r="B17" s="3" t="s">
        <v>209</v>
      </c>
      <c r="C17" s="143" t="s">
        <v>429</v>
      </c>
      <c r="D17" s="144"/>
      <c r="E17" s="144"/>
      <c r="F17" s="144"/>
      <c r="G17" s="144"/>
      <c r="H17" s="3" t="s">
        <v>851</v>
      </c>
      <c r="I17" s="10">
        <v>8.55</v>
      </c>
      <c r="J17" s="59">
        <v>0</v>
      </c>
      <c r="K17" s="10">
        <f>I17*J17</f>
        <v>0</v>
      </c>
      <c r="L17" s="16" t="s">
        <v>941</v>
      </c>
      <c r="Z17" s="67">
        <f>IF(AQ17="5",BJ17,0)</f>
        <v>0</v>
      </c>
      <c r="AB17" s="67">
        <f>IF(AQ17="1",BH17,0)</f>
        <v>0</v>
      </c>
      <c r="AC17" s="67">
        <f>IF(AQ17="1",BI17,0)</f>
        <v>0</v>
      </c>
      <c r="AD17" s="67">
        <f>IF(AQ17="7",BH17,0)</f>
        <v>0</v>
      </c>
      <c r="AE17" s="67">
        <f>IF(AQ17="7",BI17,0)</f>
        <v>0</v>
      </c>
      <c r="AF17" s="67">
        <f>IF(AQ17="2",BH17,0)</f>
        <v>0</v>
      </c>
      <c r="AG17" s="67">
        <f>IF(AQ17="2",BI17,0)</f>
        <v>0</v>
      </c>
      <c r="AH17" s="67">
        <f>IF(AQ17="0",BJ17,0)</f>
        <v>0</v>
      </c>
      <c r="AI17" s="12"/>
      <c r="AJ17" s="10">
        <f>IF(AN17=0,K17,0)</f>
        <v>0</v>
      </c>
      <c r="AK17" s="10">
        <f>IF(AN17=15,K17,0)</f>
        <v>0</v>
      </c>
      <c r="AL17" s="10">
        <f>IF(AN17=21,K17,0)</f>
        <v>0</v>
      </c>
      <c r="AN17" s="67">
        <v>15</v>
      </c>
      <c r="AO17" s="67">
        <f>J17*0</f>
        <v>0</v>
      </c>
      <c r="AP17" s="67">
        <f>J17*(1-0)</f>
        <v>0</v>
      </c>
      <c r="AQ17" s="16" t="s">
        <v>6</v>
      </c>
      <c r="AV17" s="67">
        <f>AW17+AX17</f>
        <v>0</v>
      </c>
      <c r="AW17" s="67">
        <f>I17*AO17</f>
        <v>0</v>
      </c>
      <c r="AX17" s="67">
        <f>I17*AP17</f>
        <v>0</v>
      </c>
      <c r="AY17" s="68" t="s">
        <v>956</v>
      </c>
      <c r="AZ17" s="68" t="s">
        <v>985</v>
      </c>
      <c r="BA17" s="12" t="s">
        <v>996</v>
      </c>
      <c r="BC17" s="67">
        <f>AW17+AX17</f>
        <v>0</v>
      </c>
      <c r="BD17" s="67">
        <f>J17/(100-BE17)*100</f>
        <v>0</v>
      </c>
      <c r="BE17" s="67">
        <v>0</v>
      </c>
      <c r="BF17" s="67">
        <f>17</f>
        <v>17</v>
      </c>
      <c r="BH17" s="10">
        <f>I17*AO17</f>
        <v>0</v>
      </c>
      <c r="BI17" s="10">
        <f>I17*AP17</f>
        <v>0</v>
      </c>
      <c r="BJ17" s="10">
        <f>I17*J17</f>
        <v>0</v>
      </c>
    </row>
    <row r="18" spans="1:62" ht="12.75">
      <c r="A18" s="3" t="s">
        <v>10</v>
      </c>
      <c r="B18" s="3" t="s">
        <v>210</v>
      </c>
      <c r="C18" s="143" t="s">
        <v>431</v>
      </c>
      <c r="D18" s="144"/>
      <c r="E18" s="144"/>
      <c r="F18" s="144"/>
      <c r="G18" s="144"/>
      <c r="H18" s="3" t="s">
        <v>851</v>
      </c>
      <c r="I18" s="10">
        <v>8.55</v>
      </c>
      <c r="J18" s="59">
        <v>0</v>
      </c>
      <c r="K18" s="10">
        <f>I18*J18</f>
        <v>0</v>
      </c>
      <c r="L18" s="16" t="s">
        <v>941</v>
      </c>
      <c r="Z18" s="67">
        <f>IF(AQ18="5",BJ18,0)</f>
        <v>0</v>
      </c>
      <c r="AB18" s="67">
        <f>IF(AQ18="1",BH18,0)</f>
        <v>0</v>
      </c>
      <c r="AC18" s="67">
        <f>IF(AQ18="1",BI18,0)</f>
        <v>0</v>
      </c>
      <c r="AD18" s="67">
        <f>IF(AQ18="7",BH18,0)</f>
        <v>0</v>
      </c>
      <c r="AE18" s="67">
        <f>IF(AQ18="7",BI18,0)</f>
        <v>0</v>
      </c>
      <c r="AF18" s="67">
        <f>IF(AQ18="2",BH18,0)</f>
        <v>0</v>
      </c>
      <c r="AG18" s="67">
        <f>IF(AQ18="2",BI18,0)</f>
        <v>0</v>
      </c>
      <c r="AH18" s="67">
        <f>IF(AQ18="0",BJ18,0)</f>
        <v>0</v>
      </c>
      <c r="AI18" s="12"/>
      <c r="AJ18" s="10">
        <f>IF(AN18=0,K18,0)</f>
        <v>0</v>
      </c>
      <c r="AK18" s="10">
        <f>IF(AN18=15,K18,0)</f>
        <v>0</v>
      </c>
      <c r="AL18" s="10">
        <f>IF(AN18=21,K18,0)</f>
        <v>0</v>
      </c>
      <c r="AN18" s="67">
        <v>15</v>
      </c>
      <c r="AO18" s="67">
        <f>J18*0</f>
        <v>0</v>
      </c>
      <c r="AP18" s="67">
        <f>J18*(1-0)</f>
        <v>0</v>
      </c>
      <c r="AQ18" s="16" t="s">
        <v>6</v>
      </c>
      <c r="AV18" s="67">
        <f>AW18+AX18</f>
        <v>0</v>
      </c>
      <c r="AW18" s="67">
        <f>I18*AO18</f>
        <v>0</v>
      </c>
      <c r="AX18" s="67">
        <f>I18*AP18</f>
        <v>0</v>
      </c>
      <c r="AY18" s="68" t="s">
        <v>956</v>
      </c>
      <c r="AZ18" s="68" t="s">
        <v>985</v>
      </c>
      <c r="BA18" s="12" t="s">
        <v>996</v>
      </c>
      <c r="BC18" s="67">
        <f>AW18+AX18</f>
        <v>0</v>
      </c>
      <c r="BD18" s="67">
        <f>J18/(100-BE18)*100</f>
        <v>0</v>
      </c>
      <c r="BE18" s="67">
        <v>0</v>
      </c>
      <c r="BF18" s="67">
        <f>18</f>
        <v>18</v>
      </c>
      <c r="BH18" s="10">
        <f>I18*AO18</f>
        <v>0</v>
      </c>
      <c r="BI18" s="10">
        <f>I18*AP18</f>
        <v>0</v>
      </c>
      <c r="BJ18" s="10">
        <f>I18*J18</f>
        <v>0</v>
      </c>
    </row>
    <row r="19" spans="1:47" ht="12.75">
      <c r="A19" s="50"/>
      <c r="B19" s="4" t="s">
        <v>22</v>
      </c>
      <c r="C19" s="145" t="s">
        <v>432</v>
      </c>
      <c r="D19" s="146"/>
      <c r="E19" s="146"/>
      <c r="F19" s="146"/>
      <c r="G19" s="146"/>
      <c r="H19" s="50" t="s">
        <v>927</v>
      </c>
      <c r="I19" s="50" t="s">
        <v>927</v>
      </c>
      <c r="J19" s="60" t="s">
        <v>927</v>
      </c>
      <c r="K19" s="70">
        <f>SUM(K20:K20)</f>
        <v>0</v>
      </c>
      <c r="L19" s="12"/>
      <c r="AI19" s="12"/>
      <c r="AS19" s="70">
        <f>SUM(AJ20:AJ20)</f>
        <v>0</v>
      </c>
      <c r="AT19" s="70">
        <f>SUM(AK20:AK20)</f>
        <v>0</v>
      </c>
      <c r="AU19" s="70">
        <f>SUM(AL20:AL20)</f>
        <v>0</v>
      </c>
    </row>
    <row r="20" spans="1:62" ht="12.75">
      <c r="A20" s="3" t="s">
        <v>11</v>
      </c>
      <c r="B20" s="3" t="s">
        <v>211</v>
      </c>
      <c r="C20" s="143" t="s">
        <v>433</v>
      </c>
      <c r="D20" s="144"/>
      <c r="E20" s="144"/>
      <c r="F20" s="144"/>
      <c r="G20" s="144"/>
      <c r="H20" s="3" t="s">
        <v>851</v>
      </c>
      <c r="I20" s="10">
        <v>24.94</v>
      </c>
      <c r="J20" s="59">
        <v>0</v>
      </c>
      <c r="K20" s="10">
        <f>I20*J20</f>
        <v>0</v>
      </c>
      <c r="L20" s="16" t="s">
        <v>941</v>
      </c>
      <c r="Z20" s="67">
        <f>IF(AQ20="5",BJ20,0)</f>
        <v>0</v>
      </c>
      <c r="AB20" s="67">
        <f>IF(AQ20="1",BH20,0)</f>
        <v>0</v>
      </c>
      <c r="AC20" s="67">
        <f>IF(AQ20="1",BI20,0)</f>
        <v>0</v>
      </c>
      <c r="AD20" s="67">
        <f>IF(AQ20="7",BH20,0)</f>
        <v>0</v>
      </c>
      <c r="AE20" s="67">
        <f>IF(AQ20="7",BI20,0)</f>
        <v>0</v>
      </c>
      <c r="AF20" s="67">
        <f>IF(AQ20="2",BH20,0)</f>
        <v>0</v>
      </c>
      <c r="AG20" s="67">
        <f>IF(AQ20="2",BI20,0)</f>
        <v>0</v>
      </c>
      <c r="AH20" s="67">
        <f>IF(AQ20="0",BJ20,0)</f>
        <v>0</v>
      </c>
      <c r="AI20" s="12"/>
      <c r="AJ20" s="10">
        <f>IF(AN20=0,K20,0)</f>
        <v>0</v>
      </c>
      <c r="AK20" s="10">
        <f>IF(AN20=15,K20,0)</f>
        <v>0</v>
      </c>
      <c r="AL20" s="10">
        <f>IF(AN20=21,K20,0)</f>
        <v>0</v>
      </c>
      <c r="AN20" s="67">
        <v>15</v>
      </c>
      <c r="AO20" s="67">
        <f>J20*0</f>
        <v>0</v>
      </c>
      <c r="AP20" s="67">
        <f>J20*(1-0)</f>
        <v>0</v>
      </c>
      <c r="AQ20" s="16" t="s">
        <v>6</v>
      </c>
      <c r="AV20" s="67">
        <f>AW20+AX20</f>
        <v>0</v>
      </c>
      <c r="AW20" s="67">
        <f>I20*AO20</f>
        <v>0</v>
      </c>
      <c r="AX20" s="67">
        <f>I20*AP20</f>
        <v>0</v>
      </c>
      <c r="AY20" s="68" t="s">
        <v>957</v>
      </c>
      <c r="AZ20" s="68" t="s">
        <v>985</v>
      </c>
      <c r="BA20" s="12" t="s">
        <v>996</v>
      </c>
      <c r="BC20" s="67">
        <f>AW20+AX20</f>
        <v>0</v>
      </c>
      <c r="BD20" s="67">
        <f>J20/(100-BE20)*100</f>
        <v>0</v>
      </c>
      <c r="BE20" s="67">
        <v>0</v>
      </c>
      <c r="BF20" s="67">
        <f>20</f>
        <v>20</v>
      </c>
      <c r="BH20" s="10">
        <f>I20*AO20</f>
        <v>0</v>
      </c>
      <c r="BI20" s="10">
        <f>I20*AP20</f>
        <v>0</v>
      </c>
      <c r="BJ20" s="10">
        <f>I20*J20</f>
        <v>0</v>
      </c>
    </row>
    <row r="21" spans="1:47" ht="12.75">
      <c r="A21" s="50"/>
      <c r="B21" s="4" t="s">
        <v>32</v>
      </c>
      <c r="C21" s="145" t="s">
        <v>435</v>
      </c>
      <c r="D21" s="146"/>
      <c r="E21" s="146"/>
      <c r="F21" s="146"/>
      <c r="G21" s="146"/>
      <c r="H21" s="50" t="s">
        <v>927</v>
      </c>
      <c r="I21" s="50" t="s">
        <v>927</v>
      </c>
      <c r="J21" s="60" t="s">
        <v>927</v>
      </c>
      <c r="K21" s="70">
        <f>SUM(K22:K24)</f>
        <v>0</v>
      </c>
      <c r="L21" s="12"/>
      <c r="AI21" s="12"/>
      <c r="AS21" s="70">
        <f>SUM(AJ22:AJ24)</f>
        <v>0</v>
      </c>
      <c r="AT21" s="70">
        <f>SUM(AK22:AK24)</f>
        <v>0</v>
      </c>
      <c r="AU21" s="70">
        <f>SUM(AL22:AL24)</f>
        <v>0</v>
      </c>
    </row>
    <row r="22" spans="1:62" ht="12.75">
      <c r="A22" s="3" t="s">
        <v>12</v>
      </c>
      <c r="B22" s="3" t="s">
        <v>212</v>
      </c>
      <c r="C22" s="143" t="s">
        <v>436</v>
      </c>
      <c r="D22" s="144"/>
      <c r="E22" s="144"/>
      <c r="F22" s="144"/>
      <c r="G22" s="144"/>
      <c r="H22" s="3" t="s">
        <v>851</v>
      </c>
      <c r="I22" s="10">
        <v>10</v>
      </c>
      <c r="J22" s="59">
        <v>0</v>
      </c>
      <c r="K22" s="10">
        <f>I22*J22</f>
        <v>0</v>
      </c>
      <c r="L22" s="16" t="s">
        <v>941</v>
      </c>
      <c r="Z22" s="67">
        <f>IF(AQ22="5",BJ22,0)</f>
        <v>0</v>
      </c>
      <c r="AB22" s="67">
        <f>IF(AQ22="1",BH22,0)</f>
        <v>0</v>
      </c>
      <c r="AC22" s="67">
        <f>IF(AQ22="1",BI22,0)</f>
        <v>0</v>
      </c>
      <c r="AD22" s="67">
        <f>IF(AQ22="7",BH22,0)</f>
        <v>0</v>
      </c>
      <c r="AE22" s="67">
        <f>IF(AQ22="7",BI22,0)</f>
        <v>0</v>
      </c>
      <c r="AF22" s="67">
        <f>IF(AQ22="2",BH22,0)</f>
        <v>0</v>
      </c>
      <c r="AG22" s="67">
        <f>IF(AQ22="2",BI22,0)</f>
        <v>0</v>
      </c>
      <c r="AH22" s="67">
        <f>IF(AQ22="0",BJ22,0)</f>
        <v>0</v>
      </c>
      <c r="AI22" s="12"/>
      <c r="AJ22" s="10">
        <f>IF(AN22=0,K22,0)</f>
        <v>0</v>
      </c>
      <c r="AK22" s="10">
        <f>IF(AN22=15,K22,0)</f>
        <v>0</v>
      </c>
      <c r="AL22" s="10">
        <f>IF(AN22=21,K22,0)</f>
        <v>0</v>
      </c>
      <c r="AN22" s="67">
        <v>15</v>
      </c>
      <c r="AO22" s="67">
        <f>J22*0.905774180593341</f>
        <v>0</v>
      </c>
      <c r="AP22" s="67">
        <f>J22*(1-0.905774180593341)</f>
        <v>0</v>
      </c>
      <c r="AQ22" s="16" t="s">
        <v>6</v>
      </c>
      <c r="AV22" s="67">
        <f>AW22+AX22</f>
        <v>0</v>
      </c>
      <c r="AW22" s="67">
        <f>I22*AO22</f>
        <v>0</v>
      </c>
      <c r="AX22" s="67">
        <f>I22*AP22</f>
        <v>0</v>
      </c>
      <c r="AY22" s="68" t="s">
        <v>958</v>
      </c>
      <c r="AZ22" s="68" t="s">
        <v>986</v>
      </c>
      <c r="BA22" s="12" t="s">
        <v>996</v>
      </c>
      <c r="BC22" s="67">
        <f>AW22+AX22</f>
        <v>0</v>
      </c>
      <c r="BD22" s="67">
        <f>J22/(100-BE22)*100</f>
        <v>0</v>
      </c>
      <c r="BE22" s="67">
        <v>0</v>
      </c>
      <c r="BF22" s="67">
        <f>22</f>
        <v>22</v>
      </c>
      <c r="BH22" s="10">
        <f>I22*AO22</f>
        <v>0</v>
      </c>
      <c r="BI22" s="10">
        <f>I22*AP22</f>
        <v>0</v>
      </c>
      <c r="BJ22" s="10">
        <f>I22*J22</f>
        <v>0</v>
      </c>
    </row>
    <row r="23" spans="1:62" ht="12.75">
      <c r="A23" s="3" t="s">
        <v>13</v>
      </c>
      <c r="B23" s="3" t="s">
        <v>213</v>
      </c>
      <c r="C23" s="143" t="s">
        <v>441</v>
      </c>
      <c r="D23" s="144"/>
      <c r="E23" s="144"/>
      <c r="F23" s="144"/>
      <c r="G23" s="144"/>
      <c r="H23" s="3" t="s">
        <v>852</v>
      </c>
      <c r="I23" s="10">
        <v>26.32</v>
      </c>
      <c r="J23" s="59">
        <v>0</v>
      </c>
      <c r="K23" s="10">
        <f>I23*J23</f>
        <v>0</v>
      </c>
      <c r="L23" s="16" t="s">
        <v>941</v>
      </c>
      <c r="Z23" s="67">
        <f>IF(AQ23="5",BJ23,0)</f>
        <v>0</v>
      </c>
      <c r="AB23" s="67">
        <f>IF(AQ23="1",BH23,0)</f>
        <v>0</v>
      </c>
      <c r="AC23" s="67">
        <f>IF(AQ23="1",BI23,0)</f>
        <v>0</v>
      </c>
      <c r="AD23" s="67">
        <f>IF(AQ23="7",BH23,0)</f>
        <v>0</v>
      </c>
      <c r="AE23" s="67">
        <f>IF(AQ23="7",BI23,0)</f>
        <v>0</v>
      </c>
      <c r="AF23" s="67">
        <f>IF(AQ23="2",BH23,0)</f>
        <v>0</v>
      </c>
      <c r="AG23" s="67">
        <f>IF(AQ23="2",BI23,0)</f>
        <v>0</v>
      </c>
      <c r="AH23" s="67">
        <f>IF(AQ23="0",BJ23,0)</f>
        <v>0</v>
      </c>
      <c r="AI23" s="12"/>
      <c r="AJ23" s="10">
        <f>IF(AN23=0,K23,0)</f>
        <v>0</v>
      </c>
      <c r="AK23" s="10">
        <f>IF(AN23=15,K23,0)</f>
        <v>0</v>
      </c>
      <c r="AL23" s="10">
        <f>IF(AN23=21,K23,0)</f>
        <v>0</v>
      </c>
      <c r="AN23" s="67">
        <v>15</v>
      </c>
      <c r="AO23" s="67">
        <f>J23*0.272552556802874</f>
        <v>0</v>
      </c>
      <c r="AP23" s="67">
        <f>J23*(1-0.272552556802874)</f>
        <v>0</v>
      </c>
      <c r="AQ23" s="16" t="s">
        <v>6</v>
      </c>
      <c r="AV23" s="67">
        <f>AW23+AX23</f>
        <v>0</v>
      </c>
      <c r="AW23" s="67">
        <f>I23*AO23</f>
        <v>0</v>
      </c>
      <c r="AX23" s="67">
        <f>I23*AP23</f>
        <v>0</v>
      </c>
      <c r="AY23" s="68" t="s">
        <v>958</v>
      </c>
      <c r="AZ23" s="68" t="s">
        <v>986</v>
      </c>
      <c r="BA23" s="12" t="s">
        <v>996</v>
      </c>
      <c r="BC23" s="67">
        <f>AW23+AX23</f>
        <v>0</v>
      </c>
      <c r="BD23" s="67">
        <f>J23/(100-BE23)*100</f>
        <v>0</v>
      </c>
      <c r="BE23" s="67">
        <v>0</v>
      </c>
      <c r="BF23" s="67">
        <f>23</f>
        <v>23</v>
      </c>
      <c r="BH23" s="10">
        <f>I23*AO23</f>
        <v>0</v>
      </c>
      <c r="BI23" s="10">
        <f>I23*AP23</f>
        <v>0</v>
      </c>
      <c r="BJ23" s="10">
        <f>I23*J23</f>
        <v>0</v>
      </c>
    </row>
    <row r="24" spans="1:62" ht="12.75">
      <c r="A24" s="3" t="s">
        <v>14</v>
      </c>
      <c r="B24" s="3" t="s">
        <v>214</v>
      </c>
      <c r="C24" s="143" t="s">
        <v>446</v>
      </c>
      <c r="D24" s="144"/>
      <c r="E24" s="144"/>
      <c r="F24" s="144"/>
      <c r="G24" s="144"/>
      <c r="H24" s="3" t="s">
        <v>852</v>
      </c>
      <c r="I24" s="10">
        <v>26.32</v>
      </c>
      <c r="J24" s="59">
        <v>0</v>
      </c>
      <c r="K24" s="10">
        <f>I24*J24</f>
        <v>0</v>
      </c>
      <c r="L24" s="16" t="s">
        <v>941</v>
      </c>
      <c r="Z24" s="67">
        <f>IF(AQ24="5",BJ24,0)</f>
        <v>0</v>
      </c>
      <c r="AB24" s="67">
        <f>IF(AQ24="1",BH24,0)</f>
        <v>0</v>
      </c>
      <c r="AC24" s="67">
        <f>IF(AQ24="1",BI24,0)</f>
        <v>0</v>
      </c>
      <c r="AD24" s="67">
        <f>IF(AQ24="7",BH24,0)</f>
        <v>0</v>
      </c>
      <c r="AE24" s="67">
        <f>IF(AQ24="7",BI24,0)</f>
        <v>0</v>
      </c>
      <c r="AF24" s="67">
        <f>IF(AQ24="2",BH24,0)</f>
        <v>0</v>
      </c>
      <c r="AG24" s="67">
        <f>IF(AQ24="2",BI24,0)</f>
        <v>0</v>
      </c>
      <c r="AH24" s="67">
        <f>IF(AQ24="0",BJ24,0)</f>
        <v>0</v>
      </c>
      <c r="AI24" s="12"/>
      <c r="AJ24" s="10">
        <f>IF(AN24=0,K24,0)</f>
        <v>0</v>
      </c>
      <c r="AK24" s="10">
        <f>IF(AN24=15,K24,0)</f>
        <v>0</v>
      </c>
      <c r="AL24" s="10">
        <f>IF(AN24=21,K24,0)</f>
        <v>0</v>
      </c>
      <c r="AN24" s="67">
        <v>15</v>
      </c>
      <c r="AO24" s="67">
        <f>J24*0</f>
        <v>0</v>
      </c>
      <c r="AP24" s="67">
        <f>J24*(1-0)</f>
        <v>0</v>
      </c>
      <c r="AQ24" s="16" t="s">
        <v>6</v>
      </c>
      <c r="AV24" s="67">
        <f>AW24+AX24</f>
        <v>0</v>
      </c>
      <c r="AW24" s="67">
        <f>I24*AO24</f>
        <v>0</v>
      </c>
      <c r="AX24" s="67">
        <f>I24*AP24</f>
        <v>0</v>
      </c>
      <c r="AY24" s="68" t="s">
        <v>958</v>
      </c>
      <c r="AZ24" s="68" t="s">
        <v>986</v>
      </c>
      <c r="BA24" s="12" t="s">
        <v>996</v>
      </c>
      <c r="BC24" s="67">
        <f>AW24+AX24</f>
        <v>0</v>
      </c>
      <c r="BD24" s="67">
        <f>J24/(100-BE24)*100</f>
        <v>0</v>
      </c>
      <c r="BE24" s="67">
        <v>0</v>
      </c>
      <c r="BF24" s="67">
        <f>24</f>
        <v>24</v>
      </c>
      <c r="BH24" s="10">
        <f>I24*AO24</f>
        <v>0</v>
      </c>
      <c r="BI24" s="10">
        <f>I24*AP24</f>
        <v>0</v>
      </c>
      <c r="BJ24" s="10">
        <f>I24*J24</f>
        <v>0</v>
      </c>
    </row>
    <row r="25" spans="1:47" ht="12.75">
      <c r="A25" s="50"/>
      <c r="B25" s="4" t="s">
        <v>33</v>
      </c>
      <c r="C25" s="145" t="s">
        <v>447</v>
      </c>
      <c r="D25" s="146"/>
      <c r="E25" s="146"/>
      <c r="F25" s="146"/>
      <c r="G25" s="146"/>
      <c r="H25" s="50" t="s">
        <v>927</v>
      </c>
      <c r="I25" s="50" t="s">
        <v>927</v>
      </c>
      <c r="J25" s="60" t="s">
        <v>927</v>
      </c>
      <c r="K25" s="70">
        <f>SUM(K26:K28)</f>
        <v>0</v>
      </c>
      <c r="L25" s="12"/>
      <c r="AI25" s="12"/>
      <c r="AS25" s="70">
        <f>SUM(AJ26:AJ28)</f>
        <v>0</v>
      </c>
      <c r="AT25" s="70">
        <f>SUM(AK26:AK28)</f>
        <v>0</v>
      </c>
      <c r="AU25" s="70">
        <f>SUM(AL26:AL28)</f>
        <v>0</v>
      </c>
    </row>
    <row r="26" spans="1:62" ht="12.75">
      <c r="A26" s="3" t="s">
        <v>15</v>
      </c>
      <c r="B26" s="3" t="s">
        <v>215</v>
      </c>
      <c r="C26" s="143" t="s">
        <v>448</v>
      </c>
      <c r="D26" s="144"/>
      <c r="E26" s="144"/>
      <c r="F26" s="144"/>
      <c r="G26" s="144"/>
      <c r="H26" s="3" t="s">
        <v>852</v>
      </c>
      <c r="I26" s="10">
        <v>56</v>
      </c>
      <c r="J26" s="59">
        <v>0</v>
      </c>
      <c r="K26" s="10">
        <f>I26*J26</f>
        <v>0</v>
      </c>
      <c r="L26" s="16" t="s">
        <v>942</v>
      </c>
      <c r="Z26" s="67">
        <f>IF(AQ26="5",BJ26,0)</f>
        <v>0</v>
      </c>
      <c r="AB26" s="67">
        <f>IF(AQ26="1",BH26,0)</f>
        <v>0</v>
      </c>
      <c r="AC26" s="67">
        <f>IF(AQ26="1",BI26,0)</f>
        <v>0</v>
      </c>
      <c r="AD26" s="67">
        <f>IF(AQ26="7",BH26,0)</f>
        <v>0</v>
      </c>
      <c r="AE26" s="67">
        <f>IF(AQ26="7",BI26,0)</f>
        <v>0</v>
      </c>
      <c r="AF26" s="67">
        <f>IF(AQ26="2",BH26,0)</f>
        <v>0</v>
      </c>
      <c r="AG26" s="67">
        <f>IF(AQ26="2",BI26,0)</f>
        <v>0</v>
      </c>
      <c r="AH26" s="67">
        <f>IF(AQ26="0",BJ26,0)</f>
        <v>0</v>
      </c>
      <c r="AI26" s="12"/>
      <c r="AJ26" s="10">
        <f>IF(AN26=0,K26,0)</f>
        <v>0</v>
      </c>
      <c r="AK26" s="10">
        <f>IF(AN26=15,K26,0)</f>
        <v>0</v>
      </c>
      <c r="AL26" s="10">
        <f>IF(AN26=21,K26,0)</f>
        <v>0</v>
      </c>
      <c r="AN26" s="67">
        <v>15</v>
      </c>
      <c r="AO26" s="67">
        <f>J26*0.844115375029007</f>
        <v>0</v>
      </c>
      <c r="AP26" s="67">
        <f>J26*(1-0.844115375029007)</f>
        <v>0</v>
      </c>
      <c r="AQ26" s="16" t="s">
        <v>6</v>
      </c>
      <c r="AV26" s="67">
        <f>AW26+AX26</f>
        <v>0</v>
      </c>
      <c r="AW26" s="67">
        <f>I26*AO26</f>
        <v>0</v>
      </c>
      <c r="AX26" s="67">
        <f>I26*AP26</f>
        <v>0</v>
      </c>
      <c r="AY26" s="68" t="s">
        <v>959</v>
      </c>
      <c r="AZ26" s="68" t="s">
        <v>986</v>
      </c>
      <c r="BA26" s="12" t="s">
        <v>996</v>
      </c>
      <c r="BC26" s="67">
        <f>AW26+AX26</f>
        <v>0</v>
      </c>
      <c r="BD26" s="67">
        <f>J26/(100-BE26)*100</f>
        <v>0</v>
      </c>
      <c r="BE26" s="67">
        <v>0</v>
      </c>
      <c r="BF26" s="67">
        <f>26</f>
        <v>26</v>
      </c>
      <c r="BH26" s="10">
        <f>I26*AO26</f>
        <v>0</v>
      </c>
      <c r="BI26" s="10">
        <f>I26*AP26</f>
        <v>0</v>
      </c>
      <c r="BJ26" s="10">
        <f>I26*J26</f>
        <v>0</v>
      </c>
    </row>
    <row r="27" spans="1:62" ht="12.75">
      <c r="A27" s="3" t="s">
        <v>16</v>
      </c>
      <c r="B27" s="3" t="s">
        <v>216</v>
      </c>
      <c r="C27" s="143" t="s">
        <v>452</v>
      </c>
      <c r="D27" s="144"/>
      <c r="E27" s="144"/>
      <c r="F27" s="144"/>
      <c r="G27" s="144"/>
      <c r="H27" s="3" t="s">
        <v>852</v>
      </c>
      <c r="I27" s="10">
        <v>56</v>
      </c>
      <c r="J27" s="59">
        <v>0</v>
      </c>
      <c r="K27" s="10">
        <f>I27*J27</f>
        <v>0</v>
      </c>
      <c r="L27" s="16" t="s">
        <v>942</v>
      </c>
      <c r="Z27" s="67">
        <f>IF(AQ27="5",BJ27,0)</f>
        <v>0</v>
      </c>
      <c r="AB27" s="67">
        <f>IF(AQ27="1",BH27,0)</f>
        <v>0</v>
      </c>
      <c r="AC27" s="67">
        <f>IF(AQ27="1",BI27,0)</f>
        <v>0</v>
      </c>
      <c r="AD27" s="67">
        <f>IF(AQ27="7",BH27,0)</f>
        <v>0</v>
      </c>
      <c r="AE27" s="67">
        <f>IF(AQ27="7",BI27,0)</f>
        <v>0</v>
      </c>
      <c r="AF27" s="67">
        <f>IF(AQ27="2",BH27,0)</f>
        <v>0</v>
      </c>
      <c r="AG27" s="67">
        <f>IF(AQ27="2",BI27,0)</f>
        <v>0</v>
      </c>
      <c r="AH27" s="67">
        <f>IF(AQ27="0",BJ27,0)</f>
        <v>0</v>
      </c>
      <c r="AI27" s="12"/>
      <c r="AJ27" s="10">
        <f>IF(AN27=0,K27,0)</f>
        <v>0</v>
      </c>
      <c r="AK27" s="10">
        <f>IF(AN27=15,K27,0)</f>
        <v>0</v>
      </c>
      <c r="AL27" s="10">
        <f>IF(AN27=21,K27,0)</f>
        <v>0</v>
      </c>
      <c r="AN27" s="67">
        <v>15</v>
      </c>
      <c r="AO27" s="67">
        <f>J27*0.00317145933362433</f>
        <v>0</v>
      </c>
      <c r="AP27" s="67">
        <f>J27*(1-0.00317145933362433)</f>
        <v>0</v>
      </c>
      <c r="AQ27" s="16" t="s">
        <v>6</v>
      </c>
      <c r="AV27" s="67">
        <f>AW27+AX27</f>
        <v>0</v>
      </c>
      <c r="AW27" s="67">
        <f>I27*AO27</f>
        <v>0</v>
      </c>
      <c r="AX27" s="67">
        <f>I27*AP27</f>
        <v>0</v>
      </c>
      <c r="AY27" s="68" t="s">
        <v>959</v>
      </c>
      <c r="AZ27" s="68" t="s">
        <v>986</v>
      </c>
      <c r="BA27" s="12" t="s">
        <v>996</v>
      </c>
      <c r="BC27" s="67">
        <f>AW27+AX27</f>
        <v>0</v>
      </c>
      <c r="BD27" s="67">
        <f>J27/(100-BE27)*100</f>
        <v>0</v>
      </c>
      <c r="BE27" s="67">
        <v>0</v>
      </c>
      <c r="BF27" s="67">
        <f>27</f>
        <v>27</v>
      </c>
      <c r="BH27" s="10">
        <f>I27*AO27</f>
        <v>0</v>
      </c>
      <c r="BI27" s="10">
        <f>I27*AP27</f>
        <v>0</v>
      </c>
      <c r="BJ27" s="10">
        <f>I27*J27</f>
        <v>0</v>
      </c>
    </row>
    <row r="28" spans="1:62" ht="12.75">
      <c r="A28" s="3" t="s">
        <v>17</v>
      </c>
      <c r="B28" s="3" t="s">
        <v>217</v>
      </c>
      <c r="C28" s="143" t="s">
        <v>454</v>
      </c>
      <c r="D28" s="144"/>
      <c r="E28" s="144"/>
      <c r="F28" s="144"/>
      <c r="G28" s="144"/>
      <c r="H28" s="3" t="s">
        <v>853</v>
      </c>
      <c r="I28" s="10">
        <v>5</v>
      </c>
      <c r="J28" s="59">
        <v>0</v>
      </c>
      <c r="K28" s="10">
        <f>I28*J28</f>
        <v>0</v>
      </c>
      <c r="L28" s="16" t="s">
        <v>942</v>
      </c>
      <c r="Z28" s="67">
        <f>IF(AQ28="5",BJ28,0)</f>
        <v>0</v>
      </c>
      <c r="AB28" s="67">
        <f>IF(AQ28="1",BH28,0)</f>
        <v>0</v>
      </c>
      <c r="AC28" s="67">
        <f>IF(AQ28="1",BI28,0)</f>
        <v>0</v>
      </c>
      <c r="AD28" s="67">
        <f>IF(AQ28="7",BH28,0)</f>
        <v>0</v>
      </c>
      <c r="AE28" s="67">
        <f>IF(AQ28="7",BI28,0)</f>
        <v>0</v>
      </c>
      <c r="AF28" s="67">
        <f>IF(AQ28="2",BH28,0)</f>
        <v>0</v>
      </c>
      <c r="AG28" s="67">
        <f>IF(AQ28="2",BI28,0)</f>
        <v>0</v>
      </c>
      <c r="AH28" s="67">
        <f>IF(AQ28="0",BJ28,0)</f>
        <v>0</v>
      </c>
      <c r="AI28" s="12"/>
      <c r="AJ28" s="10">
        <f>IF(AN28=0,K28,0)</f>
        <v>0</v>
      </c>
      <c r="AK28" s="10">
        <f>IF(AN28=15,K28,0)</f>
        <v>0</v>
      </c>
      <c r="AL28" s="10">
        <f>IF(AN28=21,K28,0)</f>
        <v>0</v>
      </c>
      <c r="AN28" s="67">
        <v>15</v>
      </c>
      <c r="AO28" s="67">
        <f>J28*0.00934895945185867</f>
        <v>0</v>
      </c>
      <c r="AP28" s="67">
        <f>J28*(1-0.00934895945185867)</f>
        <v>0</v>
      </c>
      <c r="AQ28" s="16" t="s">
        <v>6</v>
      </c>
      <c r="AV28" s="67">
        <f>AW28+AX28</f>
        <v>0</v>
      </c>
      <c r="AW28" s="67">
        <f>I28*AO28</f>
        <v>0</v>
      </c>
      <c r="AX28" s="67">
        <f>I28*AP28</f>
        <v>0</v>
      </c>
      <c r="AY28" s="68" t="s">
        <v>959</v>
      </c>
      <c r="AZ28" s="68" t="s">
        <v>986</v>
      </c>
      <c r="BA28" s="12" t="s">
        <v>996</v>
      </c>
      <c r="BC28" s="67">
        <f>AW28+AX28</f>
        <v>0</v>
      </c>
      <c r="BD28" s="67">
        <f>J28/(100-BE28)*100</f>
        <v>0</v>
      </c>
      <c r="BE28" s="67">
        <v>0</v>
      </c>
      <c r="BF28" s="67">
        <f>28</f>
        <v>28</v>
      </c>
      <c r="BH28" s="10">
        <f>I28*AO28</f>
        <v>0</v>
      </c>
      <c r="BI28" s="10">
        <f>I28*AP28</f>
        <v>0</v>
      </c>
      <c r="BJ28" s="10">
        <f>I28*J28</f>
        <v>0</v>
      </c>
    </row>
    <row r="29" spans="1:47" ht="12.75">
      <c r="A29" s="50"/>
      <c r="B29" s="4" t="s">
        <v>36</v>
      </c>
      <c r="C29" s="145" t="s">
        <v>456</v>
      </c>
      <c r="D29" s="146"/>
      <c r="E29" s="146"/>
      <c r="F29" s="146"/>
      <c r="G29" s="146"/>
      <c r="H29" s="50" t="s">
        <v>927</v>
      </c>
      <c r="I29" s="50" t="s">
        <v>927</v>
      </c>
      <c r="J29" s="60" t="s">
        <v>927</v>
      </c>
      <c r="K29" s="70">
        <f>SUM(K30:K47)</f>
        <v>0</v>
      </c>
      <c r="L29" s="12"/>
      <c r="AI29" s="12"/>
      <c r="AS29" s="70">
        <f>SUM(AJ30:AJ47)</f>
        <v>0</v>
      </c>
      <c r="AT29" s="70">
        <f>SUM(AK30:AK47)</f>
        <v>0</v>
      </c>
      <c r="AU29" s="70">
        <f>SUM(AL30:AL47)</f>
        <v>0</v>
      </c>
    </row>
    <row r="30" spans="1:62" ht="12.75">
      <c r="A30" s="3" t="s">
        <v>18</v>
      </c>
      <c r="B30" s="3" t="s">
        <v>218</v>
      </c>
      <c r="C30" s="143" t="s">
        <v>1004</v>
      </c>
      <c r="D30" s="144"/>
      <c r="E30" s="144"/>
      <c r="F30" s="144"/>
      <c r="G30" s="144"/>
      <c r="H30" s="3" t="s">
        <v>852</v>
      </c>
      <c r="I30" s="10">
        <v>27.07</v>
      </c>
      <c r="J30" s="59">
        <v>0</v>
      </c>
      <c r="K30" s="10">
        <f aca="true" t="shared" si="0" ref="K30:K47">I30*J30</f>
        <v>0</v>
      </c>
      <c r="L30" s="16" t="s">
        <v>941</v>
      </c>
      <c r="Z30" s="67">
        <f aca="true" t="shared" si="1" ref="Z30:Z47">IF(AQ30="5",BJ30,0)</f>
        <v>0</v>
      </c>
      <c r="AB30" s="67">
        <f aca="true" t="shared" si="2" ref="AB30:AB47">IF(AQ30="1",BH30,0)</f>
        <v>0</v>
      </c>
      <c r="AC30" s="67">
        <f aca="true" t="shared" si="3" ref="AC30:AC47">IF(AQ30="1",BI30,0)</f>
        <v>0</v>
      </c>
      <c r="AD30" s="67">
        <f aca="true" t="shared" si="4" ref="AD30:AD47">IF(AQ30="7",BH30,0)</f>
        <v>0</v>
      </c>
      <c r="AE30" s="67">
        <f aca="true" t="shared" si="5" ref="AE30:AE47">IF(AQ30="7",BI30,0)</f>
        <v>0</v>
      </c>
      <c r="AF30" s="67">
        <f aca="true" t="shared" si="6" ref="AF30:AF47">IF(AQ30="2",BH30,0)</f>
        <v>0</v>
      </c>
      <c r="AG30" s="67">
        <f aca="true" t="shared" si="7" ref="AG30:AG47">IF(AQ30="2",BI30,0)</f>
        <v>0</v>
      </c>
      <c r="AH30" s="67">
        <f aca="true" t="shared" si="8" ref="AH30:AH47">IF(AQ30="0",BJ30,0)</f>
        <v>0</v>
      </c>
      <c r="AI30" s="12"/>
      <c r="AJ30" s="10">
        <f aca="true" t="shared" si="9" ref="AJ30:AJ47">IF(AN30=0,K30,0)</f>
        <v>0</v>
      </c>
      <c r="AK30" s="10">
        <f aca="true" t="shared" si="10" ref="AK30:AK47">IF(AN30=15,K30,0)</f>
        <v>0</v>
      </c>
      <c r="AL30" s="10">
        <f aca="true" t="shared" si="11" ref="AL30:AL47">IF(AN30=21,K30,0)</f>
        <v>0</v>
      </c>
      <c r="AN30" s="67">
        <v>15</v>
      </c>
      <c r="AO30" s="67">
        <f>J30*0.749771574476495</f>
        <v>0</v>
      </c>
      <c r="AP30" s="67">
        <f>J30*(1-0.749771574476495)</f>
        <v>0</v>
      </c>
      <c r="AQ30" s="16" t="s">
        <v>6</v>
      </c>
      <c r="AV30" s="67">
        <f aca="true" t="shared" si="12" ref="AV30:AV47">AW30+AX30</f>
        <v>0</v>
      </c>
      <c r="AW30" s="67">
        <f aca="true" t="shared" si="13" ref="AW30:AW47">I30*AO30</f>
        <v>0</v>
      </c>
      <c r="AX30" s="67">
        <f aca="true" t="shared" si="14" ref="AX30:AX47">I30*AP30</f>
        <v>0</v>
      </c>
      <c r="AY30" s="68" t="s">
        <v>960</v>
      </c>
      <c r="AZ30" s="68" t="s">
        <v>987</v>
      </c>
      <c r="BA30" s="12" t="s">
        <v>996</v>
      </c>
      <c r="BC30" s="67">
        <f aca="true" t="shared" si="15" ref="BC30:BC47">AW30+AX30</f>
        <v>0</v>
      </c>
      <c r="BD30" s="67">
        <f aca="true" t="shared" si="16" ref="BD30:BD47">J30/(100-BE30)*100</f>
        <v>0</v>
      </c>
      <c r="BE30" s="67">
        <v>0</v>
      </c>
      <c r="BF30" s="67">
        <f>30</f>
        <v>30</v>
      </c>
      <c r="BH30" s="10">
        <f aca="true" t="shared" si="17" ref="BH30:BH47">I30*AO30</f>
        <v>0</v>
      </c>
      <c r="BI30" s="10">
        <f aca="true" t="shared" si="18" ref="BI30:BI47">I30*AP30</f>
        <v>0</v>
      </c>
      <c r="BJ30" s="10">
        <f aca="true" t="shared" si="19" ref="BJ30:BJ47">I30*J30</f>
        <v>0</v>
      </c>
    </row>
    <row r="31" spans="1:62" ht="12.75">
      <c r="A31" s="3" t="s">
        <v>19</v>
      </c>
      <c r="B31" s="3" t="s">
        <v>219</v>
      </c>
      <c r="C31" s="143" t="s">
        <v>1005</v>
      </c>
      <c r="D31" s="144"/>
      <c r="E31" s="144"/>
      <c r="F31" s="144"/>
      <c r="G31" s="144"/>
      <c r="H31" s="3" t="s">
        <v>852</v>
      </c>
      <c r="I31" s="10">
        <v>8.01</v>
      </c>
      <c r="J31" s="59">
        <v>0</v>
      </c>
      <c r="K31" s="10">
        <f t="shared" si="0"/>
        <v>0</v>
      </c>
      <c r="L31" s="16" t="s">
        <v>941</v>
      </c>
      <c r="Z31" s="67">
        <f t="shared" si="1"/>
        <v>0</v>
      </c>
      <c r="AB31" s="67">
        <f t="shared" si="2"/>
        <v>0</v>
      </c>
      <c r="AC31" s="67">
        <f t="shared" si="3"/>
        <v>0</v>
      </c>
      <c r="AD31" s="67">
        <f t="shared" si="4"/>
        <v>0</v>
      </c>
      <c r="AE31" s="67">
        <f t="shared" si="5"/>
        <v>0</v>
      </c>
      <c r="AF31" s="67">
        <f t="shared" si="6"/>
        <v>0</v>
      </c>
      <c r="AG31" s="67">
        <f t="shared" si="7"/>
        <v>0</v>
      </c>
      <c r="AH31" s="67">
        <f t="shared" si="8"/>
        <v>0</v>
      </c>
      <c r="AI31" s="12"/>
      <c r="AJ31" s="10">
        <f t="shared" si="9"/>
        <v>0</v>
      </c>
      <c r="AK31" s="10">
        <f t="shared" si="10"/>
        <v>0</v>
      </c>
      <c r="AL31" s="10">
        <f t="shared" si="11"/>
        <v>0</v>
      </c>
      <c r="AN31" s="67">
        <v>15</v>
      </c>
      <c r="AO31" s="67">
        <f>J31*0.769041821157025</f>
        <v>0</v>
      </c>
      <c r="AP31" s="67">
        <f>J31*(1-0.769041821157025)</f>
        <v>0</v>
      </c>
      <c r="AQ31" s="16" t="s">
        <v>6</v>
      </c>
      <c r="AV31" s="67">
        <f t="shared" si="12"/>
        <v>0</v>
      </c>
      <c r="AW31" s="67">
        <f t="shared" si="13"/>
        <v>0</v>
      </c>
      <c r="AX31" s="67">
        <f t="shared" si="14"/>
        <v>0</v>
      </c>
      <c r="AY31" s="68" t="s">
        <v>960</v>
      </c>
      <c r="AZ31" s="68" t="s">
        <v>987</v>
      </c>
      <c r="BA31" s="12" t="s">
        <v>996</v>
      </c>
      <c r="BC31" s="67">
        <f t="shared" si="15"/>
        <v>0</v>
      </c>
      <c r="BD31" s="67">
        <f t="shared" si="16"/>
        <v>0</v>
      </c>
      <c r="BE31" s="67">
        <v>0</v>
      </c>
      <c r="BF31" s="67">
        <f>31</f>
        <v>31</v>
      </c>
      <c r="BH31" s="10">
        <f t="shared" si="17"/>
        <v>0</v>
      </c>
      <c r="BI31" s="10">
        <f t="shared" si="18"/>
        <v>0</v>
      </c>
      <c r="BJ31" s="10">
        <f t="shared" si="19"/>
        <v>0</v>
      </c>
    </row>
    <row r="32" spans="1:62" ht="12.75">
      <c r="A32" s="3" t="s">
        <v>20</v>
      </c>
      <c r="B32" s="3" t="s">
        <v>220</v>
      </c>
      <c r="C32" s="143" t="s">
        <v>1006</v>
      </c>
      <c r="D32" s="144"/>
      <c r="E32" s="144"/>
      <c r="F32" s="144"/>
      <c r="G32" s="144"/>
      <c r="H32" s="3" t="s">
        <v>852</v>
      </c>
      <c r="I32" s="10">
        <v>2.8</v>
      </c>
      <c r="J32" s="59">
        <v>0</v>
      </c>
      <c r="K32" s="10">
        <f t="shared" si="0"/>
        <v>0</v>
      </c>
      <c r="L32" s="16" t="s">
        <v>941</v>
      </c>
      <c r="Z32" s="67">
        <f t="shared" si="1"/>
        <v>0</v>
      </c>
      <c r="AB32" s="67">
        <f t="shared" si="2"/>
        <v>0</v>
      </c>
      <c r="AC32" s="67">
        <f t="shared" si="3"/>
        <v>0</v>
      </c>
      <c r="AD32" s="67">
        <f t="shared" si="4"/>
        <v>0</v>
      </c>
      <c r="AE32" s="67">
        <f t="shared" si="5"/>
        <v>0</v>
      </c>
      <c r="AF32" s="67">
        <f t="shared" si="6"/>
        <v>0</v>
      </c>
      <c r="AG32" s="67">
        <f t="shared" si="7"/>
        <v>0</v>
      </c>
      <c r="AH32" s="67">
        <f t="shared" si="8"/>
        <v>0</v>
      </c>
      <c r="AI32" s="12"/>
      <c r="AJ32" s="10">
        <f t="shared" si="9"/>
        <v>0</v>
      </c>
      <c r="AK32" s="10">
        <f t="shared" si="10"/>
        <v>0</v>
      </c>
      <c r="AL32" s="10">
        <f t="shared" si="11"/>
        <v>0</v>
      </c>
      <c r="AN32" s="67">
        <v>15</v>
      </c>
      <c r="AO32" s="67">
        <f>J32*0.76403186515207</f>
        <v>0</v>
      </c>
      <c r="AP32" s="67">
        <f>J32*(1-0.76403186515207)</f>
        <v>0</v>
      </c>
      <c r="AQ32" s="16" t="s">
        <v>6</v>
      </c>
      <c r="AV32" s="67">
        <f t="shared" si="12"/>
        <v>0</v>
      </c>
      <c r="AW32" s="67">
        <f t="shared" si="13"/>
        <v>0</v>
      </c>
      <c r="AX32" s="67">
        <f t="shared" si="14"/>
        <v>0</v>
      </c>
      <c r="AY32" s="68" t="s">
        <v>960</v>
      </c>
      <c r="AZ32" s="68" t="s">
        <v>987</v>
      </c>
      <c r="BA32" s="12" t="s">
        <v>996</v>
      </c>
      <c r="BC32" s="67">
        <f t="shared" si="15"/>
        <v>0</v>
      </c>
      <c r="BD32" s="67">
        <f t="shared" si="16"/>
        <v>0</v>
      </c>
      <c r="BE32" s="67">
        <v>0</v>
      </c>
      <c r="BF32" s="67">
        <f>32</f>
        <v>32</v>
      </c>
      <c r="BH32" s="10">
        <f t="shared" si="17"/>
        <v>0</v>
      </c>
      <c r="BI32" s="10">
        <f t="shared" si="18"/>
        <v>0</v>
      </c>
      <c r="BJ32" s="10">
        <f t="shared" si="19"/>
        <v>0</v>
      </c>
    </row>
    <row r="33" spans="1:62" ht="12.75">
      <c r="A33" s="3" t="s">
        <v>21</v>
      </c>
      <c r="B33" s="3" t="s">
        <v>221</v>
      </c>
      <c r="C33" s="143" t="s">
        <v>1007</v>
      </c>
      <c r="D33" s="144"/>
      <c r="E33" s="144"/>
      <c r="F33" s="144"/>
      <c r="G33" s="144"/>
      <c r="H33" s="3" t="s">
        <v>852</v>
      </c>
      <c r="I33" s="10">
        <v>28.62</v>
      </c>
      <c r="J33" s="59">
        <v>0</v>
      </c>
      <c r="K33" s="10">
        <f t="shared" si="0"/>
        <v>0</v>
      </c>
      <c r="L33" s="16" t="s">
        <v>941</v>
      </c>
      <c r="Z33" s="67">
        <f t="shared" si="1"/>
        <v>0</v>
      </c>
      <c r="AB33" s="67">
        <f t="shared" si="2"/>
        <v>0</v>
      </c>
      <c r="AC33" s="67">
        <f t="shared" si="3"/>
        <v>0</v>
      </c>
      <c r="AD33" s="67">
        <f t="shared" si="4"/>
        <v>0</v>
      </c>
      <c r="AE33" s="67">
        <f t="shared" si="5"/>
        <v>0</v>
      </c>
      <c r="AF33" s="67">
        <f t="shared" si="6"/>
        <v>0</v>
      </c>
      <c r="AG33" s="67">
        <f t="shared" si="7"/>
        <v>0</v>
      </c>
      <c r="AH33" s="67">
        <f t="shared" si="8"/>
        <v>0</v>
      </c>
      <c r="AI33" s="12"/>
      <c r="AJ33" s="10">
        <f t="shared" si="9"/>
        <v>0</v>
      </c>
      <c r="AK33" s="10">
        <f t="shared" si="10"/>
        <v>0</v>
      </c>
      <c r="AL33" s="10">
        <f t="shared" si="11"/>
        <v>0</v>
      </c>
      <c r="AN33" s="67">
        <v>15</v>
      </c>
      <c r="AO33" s="67">
        <f>J33*0.765458411448853</f>
        <v>0</v>
      </c>
      <c r="AP33" s="67">
        <f>J33*(1-0.765458411448853)</f>
        <v>0</v>
      </c>
      <c r="AQ33" s="16" t="s">
        <v>6</v>
      </c>
      <c r="AV33" s="67">
        <f t="shared" si="12"/>
        <v>0</v>
      </c>
      <c r="AW33" s="67">
        <f t="shared" si="13"/>
        <v>0</v>
      </c>
      <c r="AX33" s="67">
        <f t="shared" si="14"/>
        <v>0</v>
      </c>
      <c r="AY33" s="68" t="s">
        <v>960</v>
      </c>
      <c r="AZ33" s="68" t="s">
        <v>987</v>
      </c>
      <c r="BA33" s="12" t="s">
        <v>996</v>
      </c>
      <c r="BC33" s="67">
        <f t="shared" si="15"/>
        <v>0</v>
      </c>
      <c r="BD33" s="67">
        <f t="shared" si="16"/>
        <v>0</v>
      </c>
      <c r="BE33" s="67">
        <v>0</v>
      </c>
      <c r="BF33" s="67">
        <f>33</f>
        <v>33</v>
      </c>
      <c r="BH33" s="10">
        <f t="shared" si="17"/>
        <v>0</v>
      </c>
      <c r="BI33" s="10">
        <f t="shared" si="18"/>
        <v>0</v>
      </c>
      <c r="BJ33" s="10">
        <f t="shared" si="19"/>
        <v>0</v>
      </c>
    </row>
    <row r="34" spans="1:62" ht="12.75">
      <c r="A34" s="3" t="s">
        <v>22</v>
      </c>
      <c r="B34" s="3" t="s">
        <v>222</v>
      </c>
      <c r="C34" s="143" t="s">
        <v>1008</v>
      </c>
      <c r="D34" s="144"/>
      <c r="E34" s="144"/>
      <c r="F34" s="144"/>
      <c r="G34" s="144"/>
      <c r="H34" s="3" t="s">
        <v>854</v>
      </c>
      <c r="I34" s="10">
        <v>6</v>
      </c>
      <c r="J34" s="59">
        <v>0</v>
      </c>
      <c r="K34" s="10">
        <f t="shared" si="0"/>
        <v>0</v>
      </c>
      <c r="L34" s="16" t="s">
        <v>941</v>
      </c>
      <c r="Z34" s="67">
        <f t="shared" si="1"/>
        <v>0</v>
      </c>
      <c r="AB34" s="67">
        <f t="shared" si="2"/>
        <v>0</v>
      </c>
      <c r="AC34" s="67">
        <f t="shared" si="3"/>
        <v>0</v>
      </c>
      <c r="AD34" s="67">
        <f t="shared" si="4"/>
        <v>0</v>
      </c>
      <c r="AE34" s="67">
        <f t="shared" si="5"/>
        <v>0</v>
      </c>
      <c r="AF34" s="67">
        <f t="shared" si="6"/>
        <v>0</v>
      </c>
      <c r="AG34" s="67">
        <f t="shared" si="7"/>
        <v>0</v>
      </c>
      <c r="AH34" s="67">
        <f t="shared" si="8"/>
        <v>0</v>
      </c>
      <c r="AI34" s="12"/>
      <c r="AJ34" s="10">
        <f t="shared" si="9"/>
        <v>0</v>
      </c>
      <c r="AK34" s="10">
        <f t="shared" si="10"/>
        <v>0</v>
      </c>
      <c r="AL34" s="10">
        <f t="shared" si="11"/>
        <v>0</v>
      </c>
      <c r="AN34" s="67">
        <v>15</v>
      </c>
      <c r="AO34" s="67">
        <f>J34*0.778320654347168</f>
        <v>0</v>
      </c>
      <c r="AP34" s="67">
        <f>J34*(1-0.778320654347168)</f>
        <v>0</v>
      </c>
      <c r="AQ34" s="16" t="s">
        <v>6</v>
      </c>
      <c r="AV34" s="67">
        <f t="shared" si="12"/>
        <v>0</v>
      </c>
      <c r="AW34" s="67">
        <f t="shared" si="13"/>
        <v>0</v>
      </c>
      <c r="AX34" s="67">
        <f t="shared" si="14"/>
        <v>0</v>
      </c>
      <c r="AY34" s="68" t="s">
        <v>960</v>
      </c>
      <c r="AZ34" s="68" t="s">
        <v>987</v>
      </c>
      <c r="BA34" s="12" t="s">
        <v>996</v>
      </c>
      <c r="BC34" s="67">
        <f t="shared" si="15"/>
        <v>0</v>
      </c>
      <c r="BD34" s="67">
        <f t="shared" si="16"/>
        <v>0</v>
      </c>
      <c r="BE34" s="67">
        <v>0</v>
      </c>
      <c r="BF34" s="67">
        <f>34</f>
        <v>34</v>
      </c>
      <c r="BH34" s="10">
        <f t="shared" si="17"/>
        <v>0</v>
      </c>
      <c r="BI34" s="10">
        <f t="shared" si="18"/>
        <v>0</v>
      </c>
      <c r="BJ34" s="10">
        <f t="shared" si="19"/>
        <v>0</v>
      </c>
    </row>
    <row r="35" spans="1:62" ht="12.75">
      <c r="A35" s="3" t="s">
        <v>23</v>
      </c>
      <c r="B35" s="3" t="s">
        <v>223</v>
      </c>
      <c r="C35" s="143" t="s">
        <v>462</v>
      </c>
      <c r="D35" s="144"/>
      <c r="E35" s="144"/>
      <c r="F35" s="144"/>
      <c r="G35" s="144"/>
      <c r="H35" s="3" t="s">
        <v>854</v>
      </c>
      <c r="I35" s="10">
        <v>1</v>
      </c>
      <c r="J35" s="59">
        <v>0</v>
      </c>
      <c r="K35" s="10">
        <f t="shared" si="0"/>
        <v>0</v>
      </c>
      <c r="L35" s="16" t="s">
        <v>942</v>
      </c>
      <c r="Z35" s="67">
        <f t="shared" si="1"/>
        <v>0</v>
      </c>
      <c r="AB35" s="67">
        <f t="shared" si="2"/>
        <v>0</v>
      </c>
      <c r="AC35" s="67">
        <f t="shared" si="3"/>
        <v>0</v>
      </c>
      <c r="AD35" s="67">
        <f t="shared" si="4"/>
        <v>0</v>
      </c>
      <c r="AE35" s="67">
        <f t="shared" si="5"/>
        <v>0</v>
      </c>
      <c r="AF35" s="67">
        <f t="shared" si="6"/>
        <v>0</v>
      </c>
      <c r="AG35" s="67">
        <f t="shared" si="7"/>
        <v>0</v>
      </c>
      <c r="AH35" s="67">
        <f t="shared" si="8"/>
        <v>0</v>
      </c>
      <c r="AI35" s="12"/>
      <c r="AJ35" s="10">
        <f t="shared" si="9"/>
        <v>0</v>
      </c>
      <c r="AK35" s="10">
        <f t="shared" si="10"/>
        <v>0</v>
      </c>
      <c r="AL35" s="10">
        <f t="shared" si="11"/>
        <v>0</v>
      </c>
      <c r="AN35" s="67">
        <v>15</v>
      </c>
      <c r="AO35" s="67">
        <f>J35*0.74740597826087</f>
        <v>0</v>
      </c>
      <c r="AP35" s="67">
        <f>J35*(1-0.74740597826087)</f>
        <v>0</v>
      </c>
      <c r="AQ35" s="16" t="s">
        <v>6</v>
      </c>
      <c r="AV35" s="67">
        <f t="shared" si="12"/>
        <v>0</v>
      </c>
      <c r="AW35" s="67">
        <f t="shared" si="13"/>
        <v>0</v>
      </c>
      <c r="AX35" s="67">
        <f t="shared" si="14"/>
        <v>0</v>
      </c>
      <c r="AY35" s="68" t="s">
        <v>960</v>
      </c>
      <c r="AZ35" s="68" t="s">
        <v>987</v>
      </c>
      <c r="BA35" s="12" t="s">
        <v>996</v>
      </c>
      <c r="BC35" s="67">
        <f t="shared" si="15"/>
        <v>0</v>
      </c>
      <c r="BD35" s="67">
        <f t="shared" si="16"/>
        <v>0</v>
      </c>
      <c r="BE35" s="67">
        <v>0</v>
      </c>
      <c r="BF35" s="67">
        <f>35</f>
        <v>35</v>
      </c>
      <c r="BH35" s="10">
        <f t="shared" si="17"/>
        <v>0</v>
      </c>
      <c r="BI35" s="10">
        <f t="shared" si="18"/>
        <v>0</v>
      </c>
      <c r="BJ35" s="10">
        <f t="shared" si="19"/>
        <v>0</v>
      </c>
    </row>
    <row r="36" spans="1:62" ht="12.75">
      <c r="A36" s="3" t="s">
        <v>24</v>
      </c>
      <c r="B36" s="3" t="s">
        <v>224</v>
      </c>
      <c r="C36" s="143" t="s">
        <v>464</v>
      </c>
      <c r="D36" s="144"/>
      <c r="E36" s="144"/>
      <c r="F36" s="144"/>
      <c r="G36" s="144"/>
      <c r="H36" s="3" t="s">
        <v>854</v>
      </c>
      <c r="I36" s="10">
        <v>3</v>
      </c>
      <c r="J36" s="59">
        <v>0</v>
      </c>
      <c r="K36" s="10">
        <f t="shared" si="0"/>
        <v>0</v>
      </c>
      <c r="L36" s="16" t="s">
        <v>941</v>
      </c>
      <c r="Z36" s="67">
        <f t="shared" si="1"/>
        <v>0</v>
      </c>
      <c r="AB36" s="67">
        <f t="shared" si="2"/>
        <v>0</v>
      </c>
      <c r="AC36" s="67">
        <f t="shared" si="3"/>
        <v>0</v>
      </c>
      <c r="AD36" s="67">
        <f t="shared" si="4"/>
        <v>0</v>
      </c>
      <c r="AE36" s="67">
        <f t="shared" si="5"/>
        <v>0</v>
      </c>
      <c r="AF36" s="67">
        <f t="shared" si="6"/>
        <v>0</v>
      </c>
      <c r="AG36" s="67">
        <f t="shared" si="7"/>
        <v>0</v>
      </c>
      <c r="AH36" s="67">
        <f t="shared" si="8"/>
        <v>0</v>
      </c>
      <c r="AI36" s="12"/>
      <c r="AJ36" s="10">
        <f t="shared" si="9"/>
        <v>0</v>
      </c>
      <c r="AK36" s="10">
        <f t="shared" si="10"/>
        <v>0</v>
      </c>
      <c r="AL36" s="10">
        <f t="shared" si="11"/>
        <v>0</v>
      </c>
      <c r="AN36" s="67">
        <v>15</v>
      </c>
      <c r="AO36" s="67">
        <f>J36*0.840378410638988</f>
        <v>0</v>
      </c>
      <c r="AP36" s="67">
        <f>J36*(1-0.840378410638988)</f>
        <v>0</v>
      </c>
      <c r="AQ36" s="16" t="s">
        <v>6</v>
      </c>
      <c r="AV36" s="67">
        <f t="shared" si="12"/>
        <v>0</v>
      </c>
      <c r="AW36" s="67">
        <f t="shared" si="13"/>
        <v>0</v>
      </c>
      <c r="AX36" s="67">
        <f t="shared" si="14"/>
        <v>0</v>
      </c>
      <c r="AY36" s="68" t="s">
        <v>960</v>
      </c>
      <c r="AZ36" s="68" t="s">
        <v>987</v>
      </c>
      <c r="BA36" s="12" t="s">
        <v>996</v>
      </c>
      <c r="BC36" s="67">
        <f t="shared" si="15"/>
        <v>0</v>
      </c>
      <c r="BD36" s="67">
        <f t="shared" si="16"/>
        <v>0</v>
      </c>
      <c r="BE36" s="67">
        <v>0</v>
      </c>
      <c r="BF36" s="67">
        <f>36</f>
        <v>36</v>
      </c>
      <c r="BH36" s="10">
        <f t="shared" si="17"/>
        <v>0</v>
      </c>
      <c r="BI36" s="10">
        <f t="shared" si="18"/>
        <v>0</v>
      </c>
      <c r="BJ36" s="10">
        <f t="shared" si="19"/>
        <v>0</v>
      </c>
    </row>
    <row r="37" spans="1:62" ht="12.75">
      <c r="A37" s="3" t="s">
        <v>25</v>
      </c>
      <c r="B37" s="3" t="s">
        <v>225</v>
      </c>
      <c r="C37" s="143" t="s">
        <v>1009</v>
      </c>
      <c r="D37" s="144"/>
      <c r="E37" s="144"/>
      <c r="F37" s="144"/>
      <c r="G37" s="144"/>
      <c r="H37" s="3" t="s">
        <v>852</v>
      </c>
      <c r="I37" s="10">
        <v>38.36</v>
      </c>
      <c r="J37" s="59">
        <v>0</v>
      </c>
      <c r="K37" s="10">
        <f t="shared" si="0"/>
        <v>0</v>
      </c>
      <c r="L37" s="16" t="s">
        <v>941</v>
      </c>
      <c r="Z37" s="67">
        <f t="shared" si="1"/>
        <v>0</v>
      </c>
      <c r="AB37" s="67">
        <f t="shared" si="2"/>
        <v>0</v>
      </c>
      <c r="AC37" s="67">
        <f t="shared" si="3"/>
        <v>0</v>
      </c>
      <c r="AD37" s="67">
        <f t="shared" si="4"/>
        <v>0</v>
      </c>
      <c r="AE37" s="67">
        <f t="shared" si="5"/>
        <v>0</v>
      </c>
      <c r="AF37" s="67">
        <f t="shared" si="6"/>
        <v>0</v>
      </c>
      <c r="AG37" s="67">
        <f t="shared" si="7"/>
        <v>0</v>
      </c>
      <c r="AH37" s="67">
        <f t="shared" si="8"/>
        <v>0</v>
      </c>
      <c r="AI37" s="12"/>
      <c r="AJ37" s="10">
        <f t="shared" si="9"/>
        <v>0</v>
      </c>
      <c r="AK37" s="10">
        <f t="shared" si="10"/>
        <v>0</v>
      </c>
      <c r="AL37" s="10">
        <f t="shared" si="11"/>
        <v>0</v>
      </c>
      <c r="AN37" s="67">
        <v>15</v>
      </c>
      <c r="AO37" s="67">
        <f>J37*0.831448574196704</f>
        <v>0</v>
      </c>
      <c r="AP37" s="67">
        <f>J37*(1-0.831448574196704)</f>
        <v>0</v>
      </c>
      <c r="AQ37" s="16" t="s">
        <v>6</v>
      </c>
      <c r="AV37" s="67">
        <f t="shared" si="12"/>
        <v>0</v>
      </c>
      <c r="AW37" s="67">
        <f t="shared" si="13"/>
        <v>0</v>
      </c>
      <c r="AX37" s="67">
        <f t="shared" si="14"/>
        <v>0</v>
      </c>
      <c r="AY37" s="68" t="s">
        <v>960</v>
      </c>
      <c r="AZ37" s="68" t="s">
        <v>987</v>
      </c>
      <c r="BA37" s="12" t="s">
        <v>996</v>
      </c>
      <c r="BC37" s="67">
        <f t="shared" si="15"/>
        <v>0</v>
      </c>
      <c r="BD37" s="67">
        <f t="shared" si="16"/>
        <v>0</v>
      </c>
      <c r="BE37" s="67">
        <v>0</v>
      </c>
      <c r="BF37" s="67">
        <f>37</f>
        <v>37</v>
      </c>
      <c r="BH37" s="10">
        <f t="shared" si="17"/>
        <v>0</v>
      </c>
      <c r="BI37" s="10">
        <f t="shared" si="18"/>
        <v>0</v>
      </c>
      <c r="BJ37" s="10">
        <f t="shared" si="19"/>
        <v>0</v>
      </c>
    </row>
    <row r="38" spans="1:62" ht="12.75">
      <c r="A38" s="3" t="s">
        <v>26</v>
      </c>
      <c r="B38" s="3" t="s">
        <v>226</v>
      </c>
      <c r="C38" s="143" t="s">
        <v>1010</v>
      </c>
      <c r="D38" s="144"/>
      <c r="E38" s="144"/>
      <c r="F38" s="144"/>
      <c r="G38" s="144"/>
      <c r="H38" s="3" t="s">
        <v>852</v>
      </c>
      <c r="I38" s="10">
        <v>74.46</v>
      </c>
      <c r="J38" s="59">
        <v>0</v>
      </c>
      <c r="K38" s="10">
        <f t="shared" si="0"/>
        <v>0</v>
      </c>
      <c r="L38" s="16" t="s">
        <v>941</v>
      </c>
      <c r="Z38" s="67">
        <f t="shared" si="1"/>
        <v>0</v>
      </c>
      <c r="AB38" s="67">
        <f t="shared" si="2"/>
        <v>0</v>
      </c>
      <c r="AC38" s="67">
        <f t="shared" si="3"/>
        <v>0</v>
      </c>
      <c r="AD38" s="67">
        <f t="shared" si="4"/>
        <v>0</v>
      </c>
      <c r="AE38" s="67">
        <f t="shared" si="5"/>
        <v>0</v>
      </c>
      <c r="AF38" s="67">
        <f t="shared" si="6"/>
        <v>0</v>
      </c>
      <c r="AG38" s="67">
        <f t="shared" si="7"/>
        <v>0</v>
      </c>
      <c r="AH38" s="67">
        <f t="shared" si="8"/>
        <v>0</v>
      </c>
      <c r="AI38" s="12"/>
      <c r="AJ38" s="10">
        <f t="shared" si="9"/>
        <v>0</v>
      </c>
      <c r="AK38" s="10">
        <f t="shared" si="10"/>
        <v>0</v>
      </c>
      <c r="AL38" s="10">
        <f t="shared" si="11"/>
        <v>0</v>
      </c>
      <c r="AN38" s="67">
        <v>15</v>
      </c>
      <c r="AO38" s="67">
        <f>J38*0.83211368241007</f>
        <v>0</v>
      </c>
      <c r="AP38" s="67">
        <f>J38*(1-0.83211368241007)</f>
        <v>0</v>
      </c>
      <c r="AQ38" s="16" t="s">
        <v>6</v>
      </c>
      <c r="AV38" s="67">
        <f t="shared" si="12"/>
        <v>0</v>
      </c>
      <c r="AW38" s="67">
        <f t="shared" si="13"/>
        <v>0</v>
      </c>
      <c r="AX38" s="67">
        <f t="shared" si="14"/>
        <v>0</v>
      </c>
      <c r="AY38" s="68" t="s">
        <v>960</v>
      </c>
      <c r="AZ38" s="68" t="s">
        <v>987</v>
      </c>
      <c r="BA38" s="12" t="s">
        <v>996</v>
      </c>
      <c r="BC38" s="67">
        <f t="shared" si="15"/>
        <v>0</v>
      </c>
      <c r="BD38" s="67">
        <f t="shared" si="16"/>
        <v>0</v>
      </c>
      <c r="BE38" s="67">
        <v>0</v>
      </c>
      <c r="BF38" s="67">
        <f>38</f>
        <v>38</v>
      </c>
      <c r="BH38" s="10">
        <f t="shared" si="17"/>
        <v>0</v>
      </c>
      <c r="BI38" s="10">
        <f t="shared" si="18"/>
        <v>0</v>
      </c>
      <c r="BJ38" s="10">
        <f t="shared" si="19"/>
        <v>0</v>
      </c>
    </row>
    <row r="39" spans="1:62" ht="12.75">
      <c r="A39" s="3" t="s">
        <v>27</v>
      </c>
      <c r="B39" s="3" t="s">
        <v>227</v>
      </c>
      <c r="C39" s="143" t="s">
        <v>1011</v>
      </c>
      <c r="D39" s="144"/>
      <c r="E39" s="144"/>
      <c r="F39" s="144"/>
      <c r="G39" s="144"/>
      <c r="H39" s="3" t="s">
        <v>854</v>
      </c>
      <c r="I39" s="10">
        <v>1</v>
      </c>
      <c r="J39" s="59">
        <v>0</v>
      </c>
      <c r="K39" s="10">
        <f t="shared" si="0"/>
        <v>0</v>
      </c>
      <c r="L39" s="16" t="s">
        <v>941</v>
      </c>
      <c r="Z39" s="67">
        <f t="shared" si="1"/>
        <v>0</v>
      </c>
      <c r="AB39" s="67">
        <f t="shared" si="2"/>
        <v>0</v>
      </c>
      <c r="AC39" s="67">
        <f t="shared" si="3"/>
        <v>0</v>
      </c>
      <c r="AD39" s="67">
        <f t="shared" si="4"/>
        <v>0</v>
      </c>
      <c r="AE39" s="67">
        <f t="shared" si="5"/>
        <v>0</v>
      </c>
      <c r="AF39" s="67">
        <f t="shared" si="6"/>
        <v>0</v>
      </c>
      <c r="AG39" s="67">
        <f t="shared" si="7"/>
        <v>0</v>
      </c>
      <c r="AH39" s="67">
        <f t="shared" si="8"/>
        <v>0</v>
      </c>
      <c r="AI39" s="12"/>
      <c r="AJ39" s="10">
        <f t="shared" si="9"/>
        <v>0</v>
      </c>
      <c r="AK39" s="10">
        <f t="shared" si="10"/>
        <v>0</v>
      </c>
      <c r="AL39" s="10">
        <f t="shared" si="11"/>
        <v>0</v>
      </c>
      <c r="AN39" s="67">
        <v>15</v>
      </c>
      <c r="AO39" s="67">
        <f>J39*0.790977443609023</f>
        <v>0</v>
      </c>
      <c r="AP39" s="67">
        <f>J39*(1-0.790977443609023)</f>
        <v>0</v>
      </c>
      <c r="AQ39" s="16" t="s">
        <v>6</v>
      </c>
      <c r="AV39" s="67">
        <f t="shared" si="12"/>
        <v>0</v>
      </c>
      <c r="AW39" s="67">
        <f t="shared" si="13"/>
        <v>0</v>
      </c>
      <c r="AX39" s="67">
        <f t="shared" si="14"/>
        <v>0</v>
      </c>
      <c r="AY39" s="68" t="s">
        <v>960</v>
      </c>
      <c r="AZ39" s="68" t="s">
        <v>987</v>
      </c>
      <c r="BA39" s="12" t="s">
        <v>996</v>
      </c>
      <c r="BC39" s="67">
        <f t="shared" si="15"/>
        <v>0</v>
      </c>
      <c r="BD39" s="67">
        <f t="shared" si="16"/>
        <v>0</v>
      </c>
      <c r="BE39" s="67">
        <v>0</v>
      </c>
      <c r="BF39" s="67">
        <f>39</f>
        <v>39</v>
      </c>
      <c r="BH39" s="10">
        <f t="shared" si="17"/>
        <v>0</v>
      </c>
      <c r="BI39" s="10">
        <f t="shared" si="18"/>
        <v>0</v>
      </c>
      <c r="BJ39" s="10">
        <f t="shared" si="19"/>
        <v>0</v>
      </c>
    </row>
    <row r="40" spans="1:62" ht="12.75">
      <c r="A40" s="3" t="s">
        <v>28</v>
      </c>
      <c r="B40" s="3" t="s">
        <v>228</v>
      </c>
      <c r="C40" s="143" t="s">
        <v>1012</v>
      </c>
      <c r="D40" s="144"/>
      <c r="E40" s="144"/>
      <c r="F40" s="144"/>
      <c r="G40" s="144"/>
      <c r="H40" s="3" t="s">
        <v>854</v>
      </c>
      <c r="I40" s="10">
        <v>4</v>
      </c>
      <c r="J40" s="59">
        <v>0</v>
      </c>
      <c r="K40" s="10">
        <f t="shared" si="0"/>
        <v>0</v>
      </c>
      <c r="L40" s="16" t="s">
        <v>941</v>
      </c>
      <c r="Z40" s="67">
        <f t="shared" si="1"/>
        <v>0</v>
      </c>
      <c r="AB40" s="67">
        <f t="shared" si="2"/>
        <v>0</v>
      </c>
      <c r="AC40" s="67">
        <f t="shared" si="3"/>
        <v>0</v>
      </c>
      <c r="AD40" s="67">
        <f t="shared" si="4"/>
        <v>0</v>
      </c>
      <c r="AE40" s="67">
        <f t="shared" si="5"/>
        <v>0</v>
      </c>
      <c r="AF40" s="67">
        <f t="shared" si="6"/>
        <v>0</v>
      </c>
      <c r="AG40" s="67">
        <f t="shared" si="7"/>
        <v>0</v>
      </c>
      <c r="AH40" s="67">
        <f t="shared" si="8"/>
        <v>0</v>
      </c>
      <c r="AI40" s="12"/>
      <c r="AJ40" s="10">
        <f t="shared" si="9"/>
        <v>0</v>
      </c>
      <c r="AK40" s="10">
        <f t="shared" si="10"/>
        <v>0</v>
      </c>
      <c r="AL40" s="10">
        <f t="shared" si="11"/>
        <v>0</v>
      </c>
      <c r="AN40" s="67">
        <v>15</v>
      </c>
      <c r="AO40" s="67">
        <f>J40*0.805958714620132</f>
        <v>0</v>
      </c>
      <c r="AP40" s="67">
        <f>J40*(1-0.805958714620132)</f>
        <v>0</v>
      </c>
      <c r="AQ40" s="16" t="s">
        <v>6</v>
      </c>
      <c r="AV40" s="67">
        <f t="shared" si="12"/>
        <v>0</v>
      </c>
      <c r="AW40" s="67">
        <f t="shared" si="13"/>
        <v>0</v>
      </c>
      <c r="AX40" s="67">
        <f t="shared" si="14"/>
        <v>0</v>
      </c>
      <c r="AY40" s="68" t="s">
        <v>960</v>
      </c>
      <c r="AZ40" s="68" t="s">
        <v>987</v>
      </c>
      <c r="BA40" s="12" t="s">
        <v>996</v>
      </c>
      <c r="BC40" s="67">
        <f t="shared" si="15"/>
        <v>0</v>
      </c>
      <c r="BD40" s="67">
        <f t="shared" si="16"/>
        <v>0</v>
      </c>
      <c r="BE40" s="67">
        <v>0</v>
      </c>
      <c r="BF40" s="67">
        <f>40</f>
        <v>40</v>
      </c>
      <c r="BH40" s="10">
        <f t="shared" si="17"/>
        <v>0</v>
      </c>
      <c r="BI40" s="10">
        <f t="shared" si="18"/>
        <v>0</v>
      </c>
      <c r="BJ40" s="10">
        <f t="shared" si="19"/>
        <v>0</v>
      </c>
    </row>
    <row r="41" spans="1:62" ht="12.75">
      <c r="A41" s="3" t="s">
        <v>29</v>
      </c>
      <c r="B41" s="3" t="s">
        <v>229</v>
      </c>
      <c r="C41" s="143" t="s">
        <v>470</v>
      </c>
      <c r="D41" s="144"/>
      <c r="E41" s="144"/>
      <c r="F41" s="144"/>
      <c r="G41" s="144"/>
      <c r="H41" s="3" t="s">
        <v>855</v>
      </c>
      <c r="I41" s="10">
        <v>2</v>
      </c>
      <c r="J41" s="59">
        <v>0</v>
      </c>
      <c r="K41" s="10">
        <f t="shared" si="0"/>
        <v>0</v>
      </c>
      <c r="L41" s="16" t="s">
        <v>941</v>
      </c>
      <c r="Z41" s="67">
        <f t="shared" si="1"/>
        <v>0</v>
      </c>
      <c r="AB41" s="67">
        <f t="shared" si="2"/>
        <v>0</v>
      </c>
      <c r="AC41" s="67">
        <f t="shared" si="3"/>
        <v>0</v>
      </c>
      <c r="AD41" s="67">
        <f t="shared" si="4"/>
        <v>0</v>
      </c>
      <c r="AE41" s="67">
        <f t="shared" si="5"/>
        <v>0</v>
      </c>
      <c r="AF41" s="67">
        <f t="shared" si="6"/>
        <v>0</v>
      </c>
      <c r="AG41" s="67">
        <f t="shared" si="7"/>
        <v>0</v>
      </c>
      <c r="AH41" s="67">
        <f t="shared" si="8"/>
        <v>0</v>
      </c>
      <c r="AI41" s="12"/>
      <c r="AJ41" s="10">
        <f t="shared" si="9"/>
        <v>0</v>
      </c>
      <c r="AK41" s="10">
        <f t="shared" si="10"/>
        <v>0</v>
      </c>
      <c r="AL41" s="10">
        <f t="shared" si="11"/>
        <v>0</v>
      </c>
      <c r="AN41" s="67">
        <v>15</v>
      </c>
      <c r="AO41" s="67">
        <f>J41*0.840790714285714</f>
        <v>0</v>
      </c>
      <c r="AP41" s="67">
        <f>J41*(1-0.840790714285714)</f>
        <v>0</v>
      </c>
      <c r="AQ41" s="16" t="s">
        <v>6</v>
      </c>
      <c r="AV41" s="67">
        <f t="shared" si="12"/>
        <v>0</v>
      </c>
      <c r="AW41" s="67">
        <f t="shared" si="13"/>
        <v>0</v>
      </c>
      <c r="AX41" s="67">
        <f t="shared" si="14"/>
        <v>0</v>
      </c>
      <c r="AY41" s="68" t="s">
        <v>960</v>
      </c>
      <c r="AZ41" s="68" t="s">
        <v>987</v>
      </c>
      <c r="BA41" s="12" t="s">
        <v>996</v>
      </c>
      <c r="BC41" s="67">
        <f t="shared" si="15"/>
        <v>0</v>
      </c>
      <c r="BD41" s="67">
        <f t="shared" si="16"/>
        <v>0</v>
      </c>
      <c r="BE41" s="67">
        <v>0</v>
      </c>
      <c r="BF41" s="67">
        <f>41</f>
        <v>41</v>
      </c>
      <c r="BH41" s="10">
        <f t="shared" si="17"/>
        <v>0</v>
      </c>
      <c r="BI41" s="10">
        <f t="shared" si="18"/>
        <v>0</v>
      </c>
      <c r="BJ41" s="10">
        <f t="shared" si="19"/>
        <v>0</v>
      </c>
    </row>
    <row r="42" spans="1:62" ht="12.75">
      <c r="A42" s="3" t="s">
        <v>30</v>
      </c>
      <c r="B42" s="3" t="s">
        <v>230</v>
      </c>
      <c r="C42" s="143" t="s">
        <v>471</v>
      </c>
      <c r="D42" s="144"/>
      <c r="E42" s="144"/>
      <c r="F42" s="144"/>
      <c r="G42" s="144"/>
      <c r="H42" s="3" t="s">
        <v>855</v>
      </c>
      <c r="I42" s="10">
        <v>1</v>
      </c>
      <c r="J42" s="59">
        <v>0</v>
      </c>
      <c r="K42" s="10">
        <f t="shared" si="0"/>
        <v>0</v>
      </c>
      <c r="L42" s="16" t="s">
        <v>942</v>
      </c>
      <c r="Z42" s="67">
        <f t="shared" si="1"/>
        <v>0</v>
      </c>
      <c r="AB42" s="67">
        <f t="shared" si="2"/>
        <v>0</v>
      </c>
      <c r="AC42" s="67">
        <f t="shared" si="3"/>
        <v>0</v>
      </c>
      <c r="AD42" s="67">
        <f t="shared" si="4"/>
        <v>0</v>
      </c>
      <c r="AE42" s="67">
        <f t="shared" si="5"/>
        <v>0</v>
      </c>
      <c r="AF42" s="67">
        <f t="shared" si="6"/>
        <v>0</v>
      </c>
      <c r="AG42" s="67">
        <f t="shared" si="7"/>
        <v>0</v>
      </c>
      <c r="AH42" s="67">
        <f t="shared" si="8"/>
        <v>0</v>
      </c>
      <c r="AI42" s="12"/>
      <c r="AJ42" s="10">
        <f t="shared" si="9"/>
        <v>0</v>
      </c>
      <c r="AK42" s="10">
        <f t="shared" si="10"/>
        <v>0</v>
      </c>
      <c r="AL42" s="10">
        <f t="shared" si="11"/>
        <v>0</v>
      </c>
      <c r="AN42" s="67">
        <v>15</v>
      </c>
      <c r="AO42" s="67">
        <f>J42*0.840790641025641</f>
        <v>0</v>
      </c>
      <c r="AP42" s="67">
        <f>J42*(1-0.840790641025641)</f>
        <v>0</v>
      </c>
      <c r="AQ42" s="16" t="s">
        <v>6</v>
      </c>
      <c r="AV42" s="67">
        <f t="shared" si="12"/>
        <v>0</v>
      </c>
      <c r="AW42" s="67">
        <f t="shared" si="13"/>
        <v>0</v>
      </c>
      <c r="AX42" s="67">
        <f t="shared" si="14"/>
        <v>0</v>
      </c>
      <c r="AY42" s="68" t="s">
        <v>960</v>
      </c>
      <c r="AZ42" s="68" t="s">
        <v>987</v>
      </c>
      <c r="BA42" s="12" t="s">
        <v>996</v>
      </c>
      <c r="BC42" s="67">
        <f t="shared" si="15"/>
        <v>0</v>
      </c>
      <c r="BD42" s="67">
        <f t="shared" si="16"/>
        <v>0</v>
      </c>
      <c r="BE42" s="67">
        <v>0</v>
      </c>
      <c r="BF42" s="67">
        <f>42</f>
        <v>42</v>
      </c>
      <c r="BH42" s="10">
        <f t="shared" si="17"/>
        <v>0</v>
      </c>
      <c r="BI42" s="10">
        <f t="shared" si="18"/>
        <v>0</v>
      </c>
      <c r="BJ42" s="10">
        <f t="shared" si="19"/>
        <v>0</v>
      </c>
    </row>
    <row r="43" spans="1:62" ht="12.75">
      <c r="A43" s="3" t="s">
        <v>31</v>
      </c>
      <c r="B43" s="3" t="s">
        <v>231</v>
      </c>
      <c r="C43" s="143" t="s">
        <v>472</v>
      </c>
      <c r="D43" s="144"/>
      <c r="E43" s="144"/>
      <c r="F43" s="144"/>
      <c r="G43" s="144"/>
      <c r="H43" s="3" t="s">
        <v>855</v>
      </c>
      <c r="I43" s="10">
        <v>1</v>
      </c>
      <c r="J43" s="59">
        <v>0</v>
      </c>
      <c r="K43" s="10">
        <f t="shared" si="0"/>
        <v>0</v>
      </c>
      <c r="L43" s="16" t="s">
        <v>942</v>
      </c>
      <c r="Z43" s="67">
        <f t="shared" si="1"/>
        <v>0</v>
      </c>
      <c r="AB43" s="67">
        <f t="shared" si="2"/>
        <v>0</v>
      </c>
      <c r="AC43" s="67">
        <f t="shared" si="3"/>
        <v>0</v>
      </c>
      <c r="AD43" s="67">
        <f t="shared" si="4"/>
        <v>0</v>
      </c>
      <c r="AE43" s="67">
        <f t="shared" si="5"/>
        <v>0</v>
      </c>
      <c r="AF43" s="67">
        <f t="shared" si="6"/>
        <v>0</v>
      </c>
      <c r="AG43" s="67">
        <f t="shared" si="7"/>
        <v>0</v>
      </c>
      <c r="AH43" s="67">
        <f t="shared" si="8"/>
        <v>0</v>
      </c>
      <c r="AI43" s="12"/>
      <c r="AJ43" s="10">
        <f t="shared" si="9"/>
        <v>0</v>
      </c>
      <c r="AK43" s="10">
        <f t="shared" si="10"/>
        <v>0</v>
      </c>
      <c r="AL43" s="10">
        <f t="shared" si="11"/>
        <v>0</v>
      </c>
      <c r="AN43" s="67">
        <v>15</v>
      </c>
      <c r="AO43" s="67">
        <f>J43*0.8688456</f>
        <v>0</v>
      </c>
      <c r="AP43" s="67">
        <f>J43*(1-0.8688456)</f>
        <v>0</v>
      </c>
      <c r="AQ43" s="16" t="s">
        <v>6</v>
      </c>
      <c r="AV43" s="67">
        <f t="shared" si="12"/>
        <v>0</v>
      </c>
      <c r="AW43" s="67">
        <f t="shared" si="13"/>
        <v>0</v>
      </c>
      <c r="AX43" s="67">
        <f t="shared" si="14"/>
        <v>0</v>
      </c>
      <c r="AY43" s="68" t="s">
        <v>960</v>
      </c>
      <c r="AZ43" s="68" t="s">
        <v>987</v>
      </c>
      <c r="BA43" s="12" t="s">
        <v>996</v>
      </c>
      <c r="BC43" s="67">
        <f t="shared" si="15"/>
        <v>0</v>
      </c>
      <c r="BD43" s="67">
        <f t="shared" si="16"/>
        <v>0</v>
      </c>
      <c r="BE43" s="67">
        <v>0</v>
      </c>
      <c r="BF43" s="67">
        <f>43</f>
        <v>43</v>
      </c>
      <c r="BH43" s="10">
        <f t="shared" si="17"/>
        <v>0</v>
      </c>
      <c r="BI43" s="10">
        <f t="shared" si="18"/>
        <v>0</v>
      </c>
      <c r="BJ43" s="10">
        <f t="shared" si="19"/>
        <v>0</v>
      </c>
    </row>
    <row r="44" spans="1:62" ht="12.75">
      <c r="A44" s="3" t="s">
        <v>32</v>
      </c>
      <c r="B44" s="3" t="s">
        <v>232</v>
      </c>
      <c r="C44" s="143" t="s">
        <v>473</v>
      </c>
      <c r="D44" s="144"/>
      <c r="E44" s="144"/>
      <c r="F44" s="144"/>
      <c r="G44" s="144"/>
      <c r="H44" s="3" t="s">
        <v>851</v>
      </c>
      <c r="I44" s="10">
        <v>4.14</v>
      </c>
      <c r="J44" s="59">
        <v>0</v>
      </c>
      <c r="K44" s="10">
        <f t="shared" si="0"/>
        <v>0</v>
      </c>
      <c r="L44" s="16" t="s">
        <v>941</v>
      </c>
      <c r="Z44" s="67">
        <f t="shared" si="1"/>
        <v>0</v>
      </c>
      <c r="AB44" s="67">
        <f t="shared" si="2"/>
        <v>0</v>
      </c>
      <c r="AC44" s="67">
        <f t="shared" si="3"/>
        <v>0</v>
      </c>
      <c r="AD44" s="67">
        <f t="shared" si="4"/>
        <v>0</v>
      </c>
      <c r="AE44" s="67">
        <f t="shared" si="5"/>
        <v>0</v>
      </c>
      <c r="AF44" s="67">
        <f t="shared" si="6"/>
        <v>0</v>
      </c>
      <c r="AG44" s="67">
        <f t="shared" si="7"/>
        <v>0</v>
      </c>
      <c r="AH44" s="67">
        <f t="shared" si="8"/>
        <v>0</v>
      </c>
      <c r="AI44" s="12"/>
      <c r="AJ44" s="10">
        <f t="shared" si="9"/>
        <v>0</v>
      </c>
      <c r="AK44" s="10">
        <f t="shared" si="10"/>
        <v>0</v>
      </c>
      <c r="AL44" s="10">
        <f t="shared" si="11"/>
        <v>0</v>
      </c>
      <c r="AN44" s="67">
        <v>15</v>
      </c>
      <c r="AO44" s="67">
        <f>J44*0.650583507388622</f>
        <v>0</v>
      </c>
      <c r="AP44" s="67">
        <f>J44*(1-0.650583507388622)</f>
        <v>0</v>
      </c>
      <c r="AQ44" s="16" t="s">
        <v>6</v>
      </c>
      <c r="AV44" s="67">
        <f t="shared" si="12"/>
        <v>0</v>
      </c>
      <c r="AW44" s="67">
        <f t="shared" si="13"/>
        <v>0</v>
      </c>
      <c r="AX44" s="67">
        <f t="shared" si="14"/>
        <v>0</v>
      </c>
      <c r="AY44" s="68" t="s">
        <v>960</v>
      </c>
      <c r="AZ44" s="68" t="s">
        <v>987</v>
      </c>
      <c r="BA44" s="12" t="s">
        <v>996</v>
      </c>
      <c r="BC44" s="67">
        <f t="shared" si="15"/>
        <v>0</v>
      </c>
      <c r="BD44" s="67">
        <f t="shared" si="16"/>
        <v>0</v>
      </c>
      <c r="BE44" s="67">
        <v>0</v>
      </c>
      <c r="BF44" s="67">
        <f>44</f>
        <v>44</v>
      </c>
      <c r="BH44" s="10">
        <f t="shared" si="17"/>
        <v>0</v>
      </c>
      <c r="BI44" s="10">
        <f t="shared" si="18"/>
        <v>0</v>
      </c>
      <c r="BJ44" s="10">
        <f t="shared" si="19"/>
        <v>0</v>
      </c>
    </row>
    <row r="45" spans="1:62" ht="12.75">
      <c r="A45" s="3" t="s">
        <v>33</v>
      </c>
      <c r="B45" s="3" t="s">
        <v>233</v>
      </c>
      <c r="C45" s="143" t="s">
        <v>475</v>
      </c>
      <c r="D45" s="144"/>
      <c r="E45" s="144"/>
      <c r="F45" s="144"/>
      <c r="G45" s="144"/>
      <c r="H45" s="3" t="s">
        <v>851</v>
      </c>
      <c r="I45" s="10">
        <v>3.35</v>
      </c>
      <c r="J45" s="59">
        <v>0</v>
      </c>
      <c r="K45" s="10">
        <f t="shared" si="0"/>
        <v>0</v>
      </c>
      <c r="L45" s="16" t="s">
        <v>941</v>
      </c>
      <c r="Z45" s="67">
        <f t="shared" si="1"/>
        <v>0</v>
      </c>
      <c r="AB45" s="67">
        <f t="shared" si="2"/>
        <v>0</v>
      </c>
      <c r="AC45" s="67">
        <f t="shared" si="3"/>
        <v>0</v>
      </c>
      <c r="AD45" s="67">
        <f t="shared" si="4"/>
        <v>0</v>
      </c>
      <c r="AE45" s="67">
        <f t="shared" si="5"/>
        <v>0</v>
      </c>
      <c r="AF45" s="67">
        <f t="shared" si="6"/>
        <v>0</v>
      </c>
      <c r="AG45" s="67">
        <f t="shared" si="7"/>
        <v>0</v>
      </c>
      <c r="AH45" s="67">
        <f t="shared" si="8"/>
        <v>0</v>
      </c>
      <c r="AI45" s="12"/>
      <c r="AJ45" s="10">
        <f t="shared" si="9"/>
        <v>0</v>
      </c>
      <c r="AK45" s="10">
        <f t="shared" si="10"/>
        <v>0</v>
      </c>
      <c r="AL45" s="10">
        <f t="shared" si="11"/>
        <v>0</v>
      </c>
      <c r="AN45" s="67">
        <v>15</v>
      </c>
      <c r="AO45" s="67">
        <f>J45*0.633476581909858</f>
        <v>0</v>
      </c>
      <c r="AP45" s="67">
        <f>J45*(1-0.633476581909858)</f>
        <v>0</v>
      </c>
      <c r="AQ45" s="16" t="s">
        <v>6</v>
      </c>
      <c r="AV45" s="67">
        <f t="shared" si="12"/>
        <v>0</v>
      </c>
      <c r="AW45" s="67">
        <f t="shared" si="13"/>
        <v>0</v>
      </c>
      <c r="AX45" s="67">
        <f t="shared" si="14"/>
        <v>0</v>
      </c>
      <c r="AY45" s="68" t="s">
        <v>960</v>
      </c>
      <c r="AZ45" s="68" t="s">
        <v>987</v>
      </c>
      <c r="BA45" s="12" t="s">
        <v>996</v>
      </c>
      <c r="BC45" s="67">
        <f t="shared" si="15"/>
        <v>0</v>
      </c>
      <c r="BD45" s="67">
        <f t="shared" si="16"/>
        <v>0</v>
      </c>
      <c r="BE45" s="67">
        <v>0</v>
      </c>
      <c r="BF45" s="67">
        <f>45</f>
        <v>45</v>
      </c>
      <c r="BH45" s="10">
        <f t="shared" si="17"/>
        <v>0</v>
      </c>
      <c r="BI45" s="10">
        <f t="shared" si="18"/>
        <v>0</v>
      </c>
      <c r="BJ45" s="10">
        <f t="shared" si="19"/>
        <v>0</v>
      </c>
    </row>
    <row r="46" spans="1:62" ht="12.75">
      <c r="A46" s="3" t="s">
        <v>34</v>
      </c>
      <c r="B46" s="3" t="s">
        <v>234</v>
      </c>
      <c r="C46" s="143" t="s">
        <v>484</v>
      </c>
      <c r="D46" s="144"/>
      <c r="E46" s="144"/>
      <c r="F46" s="144"/>
      <c r="G46" s="144"/>
      <c r="H46" s="3" t="s">
        <v>851</v>
      </c>
      <c r="I46" s="10">
        <v>2.3</v>
      </c>
      <c r="J46" s="59">
        <v>0</v>
      </c>
      <c r="K46" s="10">
        <f t="shared" si="0"/>
        <v>0</v>
      </c>
      <c r="L46" s="16" t="s">
        <v>941</v>
      </c>
      <c r="Z46" s="67">
        <f t="shared" si="1"/>
        <v>0</v>
      </c>
      <c r="AB46" s="67">
        <f t="shared" si="2"/>
        <v>0</v>
      </c>
      <c r="AC46" s="67">
        <f t="shared" si="3"/>
        <v>0</v>
      </c>
      <c r="AD46" s="67">
        <f t="shared" si="4"/>
        <v>0</v>
      </c>
      <c r="AE46" s="67">
        <f t="shared" si="5"/>
        <v>0</v>
      </c>
      <c r="AF46" s="67">
        <f t="shared" si="6"/>
        <v>0</v>
      </c>
      <c r="AG46" s="67">
        <f t="shared" si="7"/>
        <v>0</v>
      </c>
      <c r="AH46" s="67">
        <f t="shared" si="8"/>
        <v>0</v>
      </c>
      <c r="AI46" s="12"/>
      <c r="AJ46" s="10">
        <f t="shared" si="9"/>
        <v>0</v>
      </c>
      <c r="AK46" s="10">
        <f t="shared" si="10"/>
        <v>0</v>
      </c>
      <c r="AL46" s="10">
        <f t="shared" si="11"/>
        <v>0</v>
      </c>
      <c r="AN46" s="67">
        <v>15</v>
      </c>
      <c r="AO46" s="67">
        <f>J46*0.668484837209302</f>
        <v>0</v>
      </c>
      <c r="AP46" s="67">
        <f>J46*(1-0.668484837209302)</f>
        <v>0</v>
      </c>
      <c r="AQ46" s="16" t="s">
        <v>6</v>
      </c>
      <c r="AV46" s="67">
        <f t="shared" si="12"/>
        <v>0</v>
      </c>
      <c r="AW46" s="67">
        <f t="shared" si="13"/>
        <v>0</v>
      </c>
      <c r="AX46" s="67">
        <f t="shared" si="14"/>
        <v>0</v>
      </c>
      <c r="AY46" s="68" t="s">
        <v>960</v>
      </c>
      <c r="AZ46" s="68" t="s">
        <v>987</v>
      </c>
      <c r="BA46" s="12" t="s">
        <v>996</v>
      </c>
      <c r="BC46" s="67">
        <f t="shared" si="15"/>
        <v>0</v>
      </c>
      <c r="BD46" s="67">
        <f t="shared" si="16"/>
        <v>0</v>
      </c>
      <c r="BE46" s="67">
        <v>0</v>
      </c>
      <c r="BF46" s="67">
        <f>46</f>
        <v>46</v>
      </c>
      <c r="BH46" s="10">
        <f t="shared" si="17"/>
        <v>0</v>
      </c>
      <c r="BI46" s="10">
        <f t="shared" si="18"/>
        <v>0</v>
      </c>
      <c r="BJ46" s="10">
        <f t="shared" si="19"/>
        <v>0</v>
      </c>
    </row>
    <row r="47" spans="1:62" ht="12.75">
      <c r="A47" s="3" t="s">
        <v>35</v>
      </c>
      <c r="B47" s="3" t="s">
        <v>235</v>
      </c>
      <c r="C47" s="143" t="s">
        <v>486</v>
      </c>
      <c r="D47" s="144"/>
      <c r="E47" s="144"/>
      <c r="F47" s="144"/>
      <c r="G47" s="144"/>
      <c r="H47" s="3" t="s">
        <v>854</v>
      </c>
      <c r="I47" s="10">
        <v>84</v>
      </c>
      <c r="J47" s="59">
        <v>0</v>
      </c>
      <c r="K47" s="10">
        <f t="shared" si="0"/>
        <v>0</v>
      </c>
      <c r="L47" s="16" t="s">
        <v>941</v>
      </c>
      <c r="Z47" s="67">
        <f t="shared" si="1"/>
        <v>0</v>
      </c>
      <c r="AB47" s="67">
        <f t="shared" si="2"/>
        <v>0</v>
      </c>
      <c r="AC47" s="67">
        <f t="shared" si="3"/>
        <v>0</v>
      </c>
      <c r="AD47" s="67">
        <f t="shared" si="4"/>
        <v>0</v>
      </c>
      <c r="AE47" s="67">
        <f t="shared" si="5"/>
        <v>0</v>
      </c>
      <c r="AF47" s="67">
        <f t="shared" si="6"/>
        <v>0</v>
      </c>
      <c r="AG47" s="67">
        <f t="shared" si="7"/>
        <v>0</v>
      </c>
      <c r="AH47" s="67">
        <f t="shared" si="8"/>
        <v>0</v>
      </c>
      <c r="AI47" s="12"/>
      <c r="AJ47" s="10">
        <f t="shared" si="9"/>
        <v>0</v>
      </c>
      <c r="AK47" s="10">
        <f t="shared" si="10"/>
        <v>0</v>
      </c>
      <c r="AL47" s="10">
        <f t="shared" si="11"/>
        <v>0</v>
      </c>
      <c r="AN47" s="67">
        <v>15</v>
      </c>
      <c r="AO47" s="67">
        <f>J47*0.294981439685237</f>
        <v>0</v>
      </c>
      <c r="AP47" s="67">
        <f>J47*(1-0.294981439685237)</f>
        <v>0</v>
      </c>
      <c r="AQ47" s="16" t="s">
        <v>6</v>
      </c>
      <c r="AV47" s="67">
        <f t="shared" si="12"/>
        <v>0</v>
      </c>
      <c r="AW47" s="67">
        <f t="shared" si="13"/>
        <v>0</v>
      </c>
      <c r="AX47" s="67">
        <f t="shared" si="14"/>
        <v>0</v>
      </c>
      <c r="AY47" s="68" t="s">
        <v>960</v>
      </c>
      <c r="AZ47" s="68" t="s">
        <v>987</v>
      </c>
      <c r="BA47" s="12" t="s">
        <v>996</v>
      </c>
      <c r="BC47" s="67">
        <f t="shared" si="15"/>
        <v>0</v>
      </c>
      <c r="BD47" s="67">
        <f t="shared" si="16"/>
        <v>0</v>
      </c>
      <c r="BE47" s="67">
        <v>0</v>
      </c>
      <c r="BF47" s="67">
        <f>47</f>
        <v>47</v>
      </c>
      <c r="BH47" s="10">
        <f t="shared" si="17"/>
        <v>0</v>
      </c>
      <c r="BI47" s="10">
        <f t="shared" si="18"/>
        <v>0</v>
      </c>
      <c r="BJ47" s="10">
        <f t="shared" si="19"/>
        <v>0</v>
      </c>
    </row>
    <row r="48" spans="1:47" ht="12.75">
      <c r="A48" s="50"/>
      <c r="B48" s="4" t="s">
        <v>39</v>
      </c>
      <c r="C48" s="145" t="s">
        <v>488</v>
      </c>
      <c r="D48" s="146"/>
      <c r="E48" s="146"/>
      <c r="F48" s="146"/>
      <c r="G48" s="146"/>
      <c r="H48" s="50" t="s">
        <v>927</v>
      </c>
      <c r="I48" s="50" t="s">
        <v>927</v>
      </c>
      <c r="J48" s="60" t="s">
        <v>927</v>
      </c>
      <c r="K48" s="70">
        <f>SUM(K49:K51)</f>
        <v>0</v>
      </c>
      <c r="L48" s="12"/>
      <c r="AI48" s="12"/>
      <c r="AS48" s="70">
        <f>SUM(AJ49:AJ51)</f>
        <v>0</v>
      </c>
      <c r="AT48" s="70">
        <f>SUM(AK49:AK51)</f>
        <v>0</v>
      </c>
      <c r="AU48" s="70">
        <f>SUM(AL49:AL51)</f>
        <v>0</v>
      </c>
    </row>
    <row r="49" spans="1:62" ht="12.75">
      <c r="A49" s="3" t="s">
        <v>36</v>
      </c>
      <c r="B49" s="3" t="s">
        <v>236</v>
      </c>
      <c r="C49" s="143" t="s">
        <v>1013</v>
      </c>
      <c r="D49" s="144"/>
      <c r="E49" s="144"/>
      <c r="F49" s="144"/>
      <c r="G49" s="144"/>
      <c r="H49" s="3" t="s">
        <v>852</v>
      </c>
      <c r="I49" s="10">
        <v>80.17</v>
      </c>
      <c r="J49" s="59">
        <v>0</v>
      </c>
      <c r="K49" s="10">
        <f>I49*J49</f>
        <v>0</v>
      </c>
      <c r="L49" s="16" t="s">
        <v>941</v>
      </c>
      <c r="Z49" s="67">
        <f>IF(AQ49="5",BJ49,0)</f>
        <v>0</v>
      </c>
      <c r="AB49" s="67">
        <f>IF(AQ49="1",BH49,0)</f>
        <v>0</v>
      </c>
      <c r="AC49" s="67">
        <f>IF(AQ49="1",BI49,0)</f>
        <v>0</v>
      </c>
      <c r="AD49" s="67">
        <f>IF(AQ49="7",BH49,0)</f>
        <v>0</v>
      </c>
      <c r="AE49" s="67">
        <f>IF(AQ49="7",BI49,0)</f>
        <v>0</v>
      </c>
      <c r="AF49" s="67">
        <f>IF(AQ49="2",BH49,0)</f>
        <v>0</v>
      </c>
      <c r="AG49" s="67">
        <f>IF(AQ49="2",BI49,0)</f>
        <v>0</v>
      </c>
      <c r="AH49" s="67">
        <f>IF(AQ49="0",BJ49,0)</f>
        <v>0</v>
      </c>
      <c r="AI49" s="12"/>
      <c r="AJ49" s="10">
        <f>IF(AN49=0,K49,0)</f>
        <v>0</v>
      </c>
      <c r="AK49" s="10">
        <f>IF(AN49=15,K49,0)</f>
        <v>0</v>
      </c>
      <c r="AL49" s="10">
        <f>IF(AN49=21,K49,0)</f>
        <v>0</v>
      </c>
      <c r="AN49" s="67">
        <v>15</v>
      </c>
      <c r="AO49" s="67">
        <f>J49*0.719191794494599</f>
        <v>0</v>
      </c>
      <c r="AP49" s="67">
        <f>J49*(1-0.719191794494599)</f>
        <v>0</v>
      </c>
      <c r="AQ49" s="16" t="s">
        <v>6</v>
      </c>
      <c r="AV49" s="67">
        <f>AW49+AX49</f>
        <v>0</v>
      </c>
      <c r="AW49" s="67">
        <f>I49*AO49</f>
        <v>0</v>
      </c>
      <c r="AX49" s="67">
        <f>I49*AP49</f>
        <v>0</v>
      </c>
      <c r="AY49" s="68" t="s">
        <v>961</v>
      </c>
      <c r="AZ49" s="68" t="s">
        <v>987</v>
      </c>
      <c r="BA49" s="12" t="s">
        <v>996</v>
      </c>
      <c r="BC49" s="67">
        <f>AW49+AX49</f>
        <v>0</v>
      </c>
      <c r="BD49" s="67">
        <f>J49/(100-BE49)*100</f>
        <v>0</v>
      </c>
      <c r="BE49" s="67">
        <v>0</v>
      </c>
      <c r="BF49" s="67">
        <f>49</f>
        <v>49</v>
      </c>
      <c r="BH49" s="10">
        <f>I49*AO49</f>
        <v>0</v>
      </c>
      <c r="BI49" s="10">
        <f>I49*AP49</f>
        <v>0</v>
      </c>
      <c r="BJ49" s="10">
        <f>I49*J49</f>
        <v>0</v>
      </c>
    </row>
    <row r="50" spans="1:62" ht="12.75">
      <c r="A50" s="3" t="s">
        <v>37</v>
      </c>
      <c r="B50" s="3" t="s">
        <v>237</v>
      </c>
      <c r="C50" s="143" t="s">
        <v>1014</v>
      </c>
      <c r="D50" s="144"/>
      <c r="E50" s="144"/>
      <c r="F50" s="144"/>
      <c r="G50" s="144"/>
      <c r="H50" s="3" t="s">
        <v>854</v>
      </c>
      <c r="I50" s="10">
        <v>1</v>
      </c>
      <c r="J50" s="59">
        <v>0</v>
      </c>
      <c r="K50" s="10">
        <f>I50*J50</f>
        <v>0</v>
      </c>
      <c r="L50" s="16" t="s">
        <v>941</v>
      </c>
      <c r="Z50" s="67">
        <f>IF(AQ50="5",BJ50,0)</f>
        <v>0</v>
      </c>
      <c r="AB50" s="67">
        <f>IF(AQ50="1",BH50,0)</f>
        <v>0</v>
      </c>
      <c r="AC50" s="67">
        <f>IF(AQ50="1",BI50,0)</f>
        <v>0</v>
      </c>
      <c r="AD50" s="67">
        <f>IF(AQ50="7",BH50,0)</f>
        <v>0</v>
      </c>
      <c r="AE50" s="67">
        <f>IF(AQ50="7",BI50,0)</f>
        <v>0</v>
      </c>
      <c r="AF50" s="67">
        <f>IF(AQ50="2",BH50,0)</f>
        <v>0</v>
      </c>
      <c r="AG50" s="67">
        <f>IF(AQ50="2",BI50,0)</f>
        <v>0</v>
      </c>
      <c r="AH50" s="67">
        <f>IF(AQ50="0",BJ50,0)</f>
        <v>0</v>
      </c>
      <c r="AI50" s="12"/>
      <c r="AJ50" s="10">
        <f>IF(AN50=0,K50,0)</f>
        <v>0</v>
      </c>
      <c r="AK50" s="10">
        <f>IF(AN50=15,K50,0)</f>
        <v>0</v>
      </c>
      <c r="AL50" s="10">
        <f>IF(AN50=21,K50,0)</f>
        <v>0</v>
      </c>
      <c r="AN50" s="67">
        <v>15</v>
      </c>
      <c r="AO50" s="67">
        <f>J50*0.859340758928571</f>
        <v>0</v>
      </c>
      <c r="AP50" s="67">
        <f>J50*(1-0.859340758928571)</f>
        <v>0</v>
      </c>
      <c r="AQ50" s="16" t="s">
        <v>6</v>
      </c>
      <c r="AV50" s="67">
        <f>AW50+AX50</f>
        <v>0</v>
      </c>
      <c r="AW50" s="67">
        <f>I50*AO50</f>
        <v>0</v>
      </c>
      <c r="AX50" s="67">
        <f>I50*AP50</f>
        <v>0</v>
      </c>
      <c r="AY50" s="68" t="s">
        <v>961</v>
      </c>
      <c r="AZ50" s="68" t="s">
        <v>987</v>
      </c>
      <c r="BA50" s="12" t="s">
        <v>996</v>
      </c>
      <c r="BC50" s="67">
        <f>AW50+AX50</f>
        <v>0</v>
      </c>
      <c r="BD50" s="67">
        <f>J50/(100-BE50)*100</f>
        <v>0</v>
      </c>
      <c r="BE50" s="67">
        <v>0</v>
      </c>
      <c r="BF50" s="67">
        <f>50</f>
        <v>50</v>
      </c>
      <c r="BH50" s="10">
        <f>I50*AO50</f>
        <v>0</v>
      </c>
      <c r="BI50" s="10">
        <f>I50*AP50</f>
        <v>0</v>
      </c>
      <c r="BJ50" s="10">
        <f>I50*J50</f>
        <v>0</v>
      </c>
    </row>
    <row r="51" spans="1:62" ht="12.75">
      <c r="A51" s="3" t="s">
        <v>38</v>
      </c>
      <c r="B51" s="3" t="s">
        <v>238</v>
      </c>
      <c r="C51" s="143" t="s">
        <v>492</v>
      </c>
      <c r="D51" s="144"/>
      <c r="E51" s="144"/>
      <c r="F51" s="144"/>
      <c r="G51" s="144"/>
      <c r="H51" s="3" t="s">
        <v>854</v>
      </c>
      <c r="I51" s="10">
        <v>3</v>
      </c>
      <c r="J51" s="59">
        <v>0</v>
      </c>
      <c r="K51" s="10">
        <f>I51*J51</f>
        <v>0</v>
      </c>
      <c r="L51" s="16" t="s">
        <v>941</v>
      </c>
      <c r="Z51" s="67">
        <f>IF(AQ51="5",BJ51,0)</f>
        <v>0</v>
      </c>
      <c r="AB51" s="67">
        <f>IF(AQ51="1",BH51,0)</f>
        <v>0</v>
      </c>
      <c r="AC51" s="67">
        <f>IF(AQ51="1",BI51,0)</f>
        <v>0</v>
      </c>
      <c r="AD51" s="67">
        <f>IF(AQ51="7",BH51,0)</f>
        <v>0</v>
      </c>
      <c r="AE51" s="67">
        <f>IF(AQ51="7",BI51,0)</f>
        <v>0</v>
      </c>
      <c r="AF51" s="67">
        <f>IF(AQ51="2",BH51,0)</f>
        <v>0</v>
      </c>
      <c r="AG51" s="67">
        <f>IF(AQ51="2",BI51,0)</f>
        <v>0</v>
      </c>
      <c r="AH51" s="67">
        <f>IF(AQ51="0",BJ51,0)</f>
        <v>0</v>
      </c>
      <c r="AI51" s="12"/>
      <c r="AJ51" s="10">
        <f>IF(AN51=0,K51,0)</f>
        <v>0</v>
      </c>
      <c r="AK51" s="10">
        <f>IF(AN51=15,K51,0)</f>
        <v>0</v>
      </c>
      <c r="AL51" s="10">
        <f>IF(AN51=21,K51,0)</f>
        <v>0</v>
      </c>
      <c r="AN51" s="67">
        <v>15</v>
      </c>
      <c r="AO51" s="67">
        <f>J51*0.904367408263508</f>
        <v>0</v>
      </c>
      <c r="AP51" s="67">
        <f>J51*(1-0.904367408263508)</f>
        <v>0</v>
      </c>
      <c r="AQ51" s="16" t="s">
        <v>6</v>
      </c>
      <c r="AV51" s="67">
        <f>AW51+AX51</f>
        <v>0</v>
      </c>
      <c r="AW51" s="67">
        <f>I51*AO51</f>
        <v>0</v>
      </c>
      <c r="AX51" s="67">
        <f>I51*AP51</f>
        <v>0</v>
      </c>
      <c r="AY51" s="68" t="s">
        <v>961</v>
      </c>
      <c r="AZ51" s="68" t="s">
        <v>987</v>
      </c>
      <c r="BA51" s="12" t="s">
        <v>996</v>
      </c>
      <c r="BC51" s="67">
        <f>AW51+AX51</f>
        <v>0</v>
      </c>
      <c r="BD51" s="67">
        <f>J51/(100-BE51)*100</f>
        <v>0</v>
      </c>
      <c r="BE51" s="67">
        <v>0</v>
      </c>
      <c r="BF51" s="67">
        <f>51</f>
        <v>51</v>
      </c>
      <c r="BH51" s="10">
        <f>I51*AO51</f>
        <v>0</v>
      </c>
      <c r="BI51" s="10">
        <f>I51*AP51</f>
        <v>0</v>
      </c>
      <c r="BJ51" s="10">
        <f>I51*J51</f>
        <v>0</v>
      </c>
    </row>
    <row r="52" spans="1:47" ht="12.75">
      <c r="A52" s="50"/>
      <c r="B52" s="4" t="s">
        <v>46</v>
      </c>
      <c r="C52" s="145" t="s">
        <v>493</v>
      </c>
      <c r="D52" s="146"/>
      <c r="E52" s="146"/>
      <c r="F52" s="146"/>
      <c r="G52" s="146"/>
      <c r="H52" s="50" t="s">
        <v>927</v>
      </c>
      <c r="I52" s="50" t="s">
        <v>927</v>
      </c>
      <c r="J52" s="60" t="s">
        <v>927</v>
      </c>
      <c r="K52" s="70">
        <f>SUM(K53:K74)</f>
        <v>0</v>
      </c>
      <c r="L52" s="12"/>
      <c r="AI52" s="12"/>
      <c r="AS52" s="70">
        <f>SUM(AJ53:AJ74)</f>
        <v>0</v>
      </c>
      <c r="AT52" s="70">
        <f>SUM(AK53:AK74)</f>
        <v>0</v>
      </c>
      <c r="AU52" s="70">
        <f>SUM(AL53:AL74)</f>
        <v>0</v>
      </c>
    </row>
    <row r="53" spans="1:62" ht="12.75">
      <c r="A53" s="3" t="s">
        <v>39</v>
      </c>
      <c r="B53" s="3" t="s">
        <v>239</v>
      </c>
      <c r="C53" s="143" t="s">
        <v>494</v>
      </c>
      <c r="D53" s="144"/>
      <c r="E53" s="144"/>
      <c r="F53" s="144"/>
      <c r="G53" s="144"/>
      <c r="H53" s="3" t="s">
        <v>856</v>
      </c>
      <c r="I53" s="10">
        <v>16</v>
      </c>
      <c r="J53" s="59">
        <v>0</v>
      </c>
      <c r="K53" s="10">
        <f aca="true" t="shared" si="20" ref="K53:K74">I53*J53</f>
        <v>0</v>
      </c>
      <c r="L53" s="16" t="s">
        <v>941</v>
      </c>
      <c r="Z53" s="67">
        <f aca="true" t="shared" si="21" ref="Z53:Z74">IF(AQ53="5",BJ53,0)</f>
        <v>0</v>
      </c>
      <c r="AB53" s="67">
        <f aca="true" t="shared" si="22" ref="AB53:AB74">IF(AQ53="1",BH53,0)</f>
        <v>0</v>
      </c>
      <c r="AC53" s="67">
        <f aca="true" t="shared" si="23" ref="AC53:AC74">IF(AQ53="1",BI53,0)</f>
        <v>0</v>
      </c>
      <c r="AD53" s="67">
        <f aca="true" t="shared" si="24" ref="AD53:AD74">IF(AQ53="7",BH53,0)</f>
        <v>0</v>
      </c>
      <c r="AE53" s="67">
        <f aca="true" t="shared" si="25" ref="AE53:AE74">IF(AQ53="7",BI53,0)</f>
        <v>0</v>
      </c>
      <c r="AF53" s="67">
        <f aca="true" t="shared" si="26" ref="AF53:AF74">IF(AQ53="2",BH53,0)</f>
        <v>0</v>
      </c>
      <c r="AG53" s="67">
        <f aca="true" t="shared" si="27" ref="AG53:AG74">IF(AQ53="2",BI53,0)</f>
        <v>0</v>
      </c>
      <c r="AH53" s="67">
        <f aca="true" t="shared" si="28" ref="AH53:AH74">IF(AQ53="0",BJ53,0)</f>
        <v>0</v>
      </c>
      <c r="AI53" s="12"/>
      <c r="AJ53" s="10">
        <f aca="true" t="shared" si="29" ref="AJ53:AJ74">IF(AN53=0,K53,0)</f>
        <v>0</v>
      </c>
      <c r="AK53" s="10">
        <f aca="true" t="shared" si="30" ref="AK53:AK74">IF(AN53=15,K53,0)</f>
        <v>0</v>
      </c>
      <c r="AL53" s="10">
        <f aca="true" t="shared" si="31" ref="AL53:AL74">IF(AN53=21,K53,0)</f>
        <v>0</v>
      </c>
      <c r="AN53" s="67">
        <v>15</v>
      </c>
      <c r="AO53" s="67">
        <f>J53*0.109937151519526</f>
        <v>0</v>
      </c>
      <c r="AP53" s="67">
        <f>J53*(1-0.109937151519526)</f>
        <v>0</v>
      </c>
      <c r="AQ53" s="16" t="s">
        <v>6</v>
      </c>
      <c r="AV53" s="67">
        <f aca="true" t="shared" si="32" ref="AV53:AV74">AW53+AX53</f>
        <v>0</v>
      </c>
      <c r="AW53" s="67">
        <f aca="true" t="shared" si="33" ref="AW53:AW74">I53*AO53</f>
        <v>0</v>
      </c>
      <c r="AX53" s="67">
        <f aca="true" t="shared" si="34" ref="AX53:AX74">I53*AP53</f>
        <v>0</v>
      </c>
      <c r="AY53" s="68" t="s">
        <v>962</v>
      </c>
      <c r="AZ53" s="68" t="s">
        <v>988</v>
      </c>
      <c r="BA53" s="12" t="s">
        <v>996</v>
      </c>
      <c r="BC53" s="67">
        <f aca="true" t="shared" si="35" ref="BC53:BC74">AW53+AX53</f>
        <v>0</v>
      </c>
      <c r="BD53" s="67">
        <f aca="true" t="shared" si="36" ref="BD53:BD74">J53/(100-BE53)*100</f>
        <v>0</v>
      </c>
      <c r="BE53" s="67">
        <v>0</v>
      </c>
      <c r="BF53" s="67">
        <f>53</f>
        <v>53</v>
      </c>
      <c r="BH53" s="10">
        <f aca="true" t="shared" si="37" ref="BH53:BH74">I53*AO53</f>
        <v>0</v>
      </c>
      <c r="BI53" s="10">
        <f aca="true" t="shared" si="38" ref="BI53:BI74">I53*AP53</f>
        <v>0</v>
      </c>
      <c r="BJ53" s="10">
        <f aca="true" t="shared" si="39" ref="BJ53:BJ74">I53*J53</f>
        <v>0</v>
      </c>
    </row>
    <row r="54" spans="1:62" ht="12.75">
      <c r="A54" s="3" t="s">
        <v>40</v>
      </c>
      <c r="B54" s="3" t="s">
        <v>240</v>
      </c>
      <c r="C54" s="143" t="s">
        <v>496</v>
      </c>
      <c r="D54" s="144"/>
      <c r="E54" s="144"/>
      <c r="F54" s="144"/>
      <c r="G54" s="144"/>
      <c r="H54" s="3" t="s">
        <v>857</v>
      </c>
      <c r="I54" s="10">
        <v>3.67</v>
      </c>
      <c r="J54" s="59">
        <v>0</v>
      </c>
      <c r="K54" s="10">
        <f t="shared" si="20"/>
        <v>0</v>
      </c>
      <c r="L54" s="16" t="s">
        <v>941</v>
      </c>
      <c r="Z54" s="67">
        <f t="shared" si="21"/>
        <v>0</v>
      </c>
      <c r="AB54" s="67">
        <f t="shared" si="22"/>
        <v>0</v>
      </c>
      <c r="AC54" s="67">
        <f t="shared" si="23"/>
        <v>0</v>
      </c>
      <c r="AD54" s="67">
        <f t="shared" si="24"/>
        <v>0</v>
      </c>
      <c r="AE54" s="67">
        <f t="shared" si="25"/>
        <v>0</v>
      </c>
      <c r="AF54" s="67">
        <f t="shared" si="26"/>
        <v>0</v>
      </c>
      <c r="AG54" s="67">
        <f t="shared" si="27"/>
        <v>0</v>
      </c>
      <c r="AH54" s="67">
        <f t="shared" si="28"/>
        <v>0</v>
      </c>
      <c r="AI54" s="12"/>
      <c r="AJ54" s="10">
        <f t="shared" si="29"/>
        <v>0</v>
      </c>
      <c r="AK54" s="10">
        <f t="shared" si="30"/>
        <v>0</v>
      </c>
      <c r="AL54" s="10">
        <f t="shared" si="31"/>
        <v>0</v>
      </c>
      <c r="AN54" s="67">
        <v>15</v>
      </c>
      <c r="AO54" s="67">
        <f>J54*0.747111214045982</f>
        <v>0</v>
      </c>
      <c r="AP54" s="67">
        <f>J54*(1-0.747111214045982)</f>
        <v>0</v>
      </c>
      <c r="AQ54" s="16" t="s">
        <v>6</v>
      </c>
      <c r="AV54" s="67">
        <f t="shared" si="32"/>
        <v>0</v>
      </c>
      <c r="AW54" s="67">
        <f t="shared" si="33"/>
        <v>0</v>
      </c>
      <c r="AX54" s="67">
        <f t="shared" si="34"/>
        <v>0</v>
      </c>
      <c r="AY54" s="68" t="s">
        <v>962</v>
      </c>
      <c r="AZ54" s="68" t="s">
        <v>988</v>
      </c>
      <c r="BA54" s="12" t="s">
        <v>996</v>
      </c>
      <c r="BC54" s="67">
        <f t="shared" si="35"/>
        <v>0</v>
      </c>
      <c r="BD54" s="67">
        <f t="shared" si="36"/>
        <v>0</v>
      </c>
      <c r="BE54" s="67">
        <v>0</v>
      </c>
      <c r="BF54" s="67">
        <f>54</f>
        <v>54</v>
      </c>
      <c r="BH54" s="10">
        <f t="shared" si="37"/>
        <v>0</v>
      </c>
      <c r="BI54" s="10">
        <f t="shared" si="38"/>
        <v>0</v>
      </c>
      <c r="BJ54" s="10">
        <f t="shared" si="39"/>
        <v>0</v>
      </c>
    </row>
    <row r="55" spans="1:62" ht="12.75">
      <c r="A55" s="3" t="s">
        <v>41</v>
      </c>
      <c r="B55" s="3" t="s">
        <v>241</v>
      </c>
      <c r="C55" s="143" t="s">
        <v>498</v>
      </c>
      <c r="D55" s="144"/>
      <c r="E55" s="144"/>
      <c r="F55" s="144"/>
      <c r="G55" s="144"/>
      <c r="H55" s="3" t="s">
        <v>852</v>
      </c>
      <c r="I55" s="10">
        <v>141.62</v>
      </c>
      <c r="J55" s="59">
        <v>0</v>
      </c>
      <c r="K55" s="10">
        <f t="shared" si="20"/>
        <v>0</v>
      </c>
      <c r="L55" s="16" t="s">
        <v>941</v>
      </c>
      <c r="Z55" s="67">
        <f t="shared" si="21"/>
        <v>0</v>
      </c>
      <c r="AB55" s="67">
        <f t="shared" si="22"/>
        <v>0</v>
      </c>
      <c r="AC55" s="67">
        <f t="shared" si="23"/>
        <v>0</v>
      </c>
      <c r="AD55" s="67">
        <f t="shared" si="24"/>
        <v>0</v>
      </c>
      <c r="AE55" s="67">
        <f t="shared" si="25"/>
        <v>0</v>
      </c>
      <c r="AF55" s="67">
        <f t="shared" si="26"/>
        <v>0</v>
      </c>
      <c r="AG55" s="67">
        <f t="shared" si="27"/>
        <v>0</v>
      </c>
      <c r="AH55" s="67">
        <f t="shared" si="28"/>
        <v>0</v>
      </c>
      <c r="AI55" s="12"/>
      <c r="AJ55" s="10">
        <f t="shared" si="29"/>
        <v>0</v>
      </c>
      <c r="AK55" s="10">
        <f t="shared" si="30"/>
        <v>0</v>
      </c>
      <c r="AL55" s="10">
        <f t="shared" si="31"/>
        <v>0</v>
      </c>
      <c r="AN55" s="67">
        <v>15</v>
      </c>
      <c r="AO55" s="67">
        <f>J55*0.898216358798978</f>
        <v>0</v>
      </c>
      <c r="AP55" s="67">
        <f>J55*(1-0.898216358798978)</f>
        <v>0</v>
      </c>
      <c r="AQ55" s="16" t="s">
        <v>6</v>
      </c>
      <c r="AV55" s="67">
        <f t="shared" si="32"/>
        <v>0</v>
      </c>
      <c r="AW55" s="67">
        <f t="shared" si="33"/>
        <v>0</v>
      </c>
      <c r="AX55" s="67">
        <f t="shared" si="34"/>
        <v>0</v>
      </c>
      <c r="AY55" s="68" t="s">
        <v>962</v>
      </c>
      <c r="AZ55" s="68" t="s">
        <v>988</v>
      </c>
      <c r="BA55" s="12" t="s">
        <v>996</v>
      </c>
      <c r="BC55" s="67">
        <f t="shared" si="35"/>
        <v>0</v>
      </c>
      <c r="BD55" s="67">
        <f t="shared" si="36"/>
        <v>0</v>
      </c>
      <c r="BE55" s="67">
        <v>0</v>
      </c>
      <c r="BF55" s="67">
        <f>55</f>
        <v>55</v>
      </c>
      <c r="BH55" s="10">
        <f t="shared" si="37"/>
        <v>0</v>
      </c>
      <c r="BI55" s="10">
        <f t="shared" si="38"/>
        <v>0</v>
      </c>
      <c r="BJ55" s="10">
        <f t="shared" si="39"/>
        <v>0</v>
      </c>
    </row>
    <row r="56" spans="1:62" ht="12.75">
      <c r="A56" s="3" t="s">
        <v>42</v>
      </c>
      <c r="B56" s="3" t="s">
        <v>242</v>
      </c>
      <c r="C56" s="143" t="s">
        <v>500</v>
      </c>
      <c r="D56" s="144"/>
      <c r="E56" s="144"/>
      <c r="F56" s="144"/>
      <c r="G56" s="144"/>
      <c r="H56" s="3" t="s">
        <v>851</v>
      </c>
      <c r="I56" s="10">
        <v>11.93</v>
      </c>
      <c r="J56" s="59">
        <v>0</v>
      </c>
      <c r="K56" s="10">
        <f t="shared" si="20"/>
        <v>0</v>
      </c>
      <c r="L56" s="16" t="s">
        <v>941</v>
      </c>
      <c r="Z56" s="67">
        <f t="shared" si="21"/>
        <v>0</v>
      </c>
      <c r="AB56" s="67">
        <f t="shared" si="22"/>
        <v>0</v>
      </c>
      <c r="AC56" s="67">
        <f t="shared" si="23"/>
        <v>0</v>
      </c>
      <c r="AD56" s="67">
        <f t="shared" si="24"/>
        <v>0</v>
      </c>
      <c r="AE56" s="67">
        <f t="shared" si="25"/>
        <v>0</v>
      </c>
      <c r="AF56" s="67">
        <f t="shared" si="26"/>
        <v>0</v>
      </c>
      <c r="AG56" s="67">
        <f t="shared" si="27"/>
        <v>0</v>
      </c>
      <c r="AH56" s="67">
        <f t="shared" si="28"/>
        <v>0</v>
      </c>
      <c r="AI56" s="12"/>
      <c r="AJ56" s="10">
        <f t="shared" si="29"/>
        <v>0</v>
      </c>
      <c r="AK56" s="10">
        <f t="shared" si="30"/>
        <v>0</v>
      </c>
      <c r="AL56" s="10">
        <f t="shared" si="31"/>
        <v>0</v>
      </c>
      <c r="AN56" s="67">
        <v>15</v>
      </c>
      <c r="AO56" s="67">
        <f>J56*0.840189578832595</f>
        <v>0</v>
      </c>
      <c r="AP56" s="67">
        <f>J56*(1-0.840189578832595)</f>
        <v>0</v>
      </c>
      <c r="AQ56" s="16" t="s">
        <v>6</v>
      </c>
      <c r="AV56" s="67">
        <f t="shared" si="32"/>
        <v>0</v>
      </c>
      <c r="AW56" s="67">
        <f t="shared" si="33"/>
        <v>0</v>
      </c>
      <c r="AX56" s="67">
        <f t="shared" si="34"/>
        <v>0</v>
      </c>
      <c r="AY56" s="68" t="s">
        <v>962</v>
      </c>
      <c r="AZ56" s="68" t="s">
        <v>988</v>
      </c>
      <c r="BA56" s="12" t="s">
        <v>996</v>
      </c>
      <c r="BC56" s="67">
        <f t="shared" si="35"/>
        <v>0</v>
      </c>
      <c r="BD56" s="67">
        <f t="shared" si="36"/>
        <v>0</v>
      </c>
      <c r="BE56" s="67">
        <v>0</v>
      </c>
      <c r="BF56" s="67">
        <f>56</f>
        <v>56</v>
      </c>
      <c r="BH56" s="10">
        <f t="shared" si="37"/>
        <v>0</v>
      </c>
      <c r="BI56" s="10">
        <f t="shared" si="38"/>
        <v>0</v>
      </c>
      <c r="BJ56" s="10">
        <f t="shared" si="39"/>
        <v>0</v>
      </c>
    </row>
    <row r="57" spans="1:62" ht="12.75">
      <c r="A57" s="3" t="s">
        <v>43</v>
      </c>
      <c r="B57" s="3" t="s">
        <v>243</v>
      </c>
      <c r="C57" s="143" t="s">
        <v>502</v>
      </c>
      <c r="D57" s="144"/>
      <c r="E57" s="144"/>
      <c r="F57" s="144"/>
      <c r="G57" s="144"/>
      <c r="H57" s="3" t="s">
        <v>857</v>
      </c>
      <c r="I57" s="10">
        <v>0.45</v>
      </c>
      <c r="J57" s="59">
        <v>0</v>
      </c>
      <c r="K57" s="10">
        <f t="shared" si="20"/>
        <v>0</v>
      </c>
      <c r="L57" s="16" t="s">
        <v>941</v>
      </c>
      <c r="Z57" s="67">
        <f t="shared" si="21"/>
        <v>0</v>
      </c>
      <c r="AB57" s="67">
        <f t="shared" si="22"/>
        <v>0</v>
      </c>
      <c r="AC57" s="67">
        <f t="shared" si="23"/>
        <v>0</v>
      </c>
      <c r="AD57" s="67">
        <f t="shared" si="24"/>
        <v>0</v>
      </c>
      <c r="AE57" s="67">
        <f t="shared" si="25"/>
        <v>0</v>
      </c>
      <c r="AF57" s="67">
        <f t="shared" si="26"/>
        <v>0</v>
      </c>
      <c r="AG57" s="67">
        <f t="shared" si="27"/>
        <v>0</v>
      </c>
      <c r="AH57" s="67">
        <f t="shared" si="28"/>
        <v>0</v>
      </c>
      <c r="AI57" s="12"/>
      <c r="AJ57" s="10">
        <f t="shared" si="29"/>
        <v>0</v>
      </c>
      <c r="AK57" s="10">
        <f t="shared" si="30"/>
        <v>0</v>
      </c>
      <c r="AL57" s="10">
        <f t="shared" si="31"/>
        <v>0</v>
      </c>
      <c r="AN57" s="67">
        <v>15</v>
      </c>
      <c r="AO57" s="67">
        <f>J57*0.817518146800291</f>
        <v>0</v>
      </c>
      <c r="AP57" s="67">
        <f>J57*(1-0.817518146800291)</f>
        <v>0</v>
      </c>
      <c r="AQ57" s="16" t="s">
        <v>6</v>
      </c>
      <c r="AV57" s="67">
        <f t="shared" si="32"/>
        <v>0</v>
      </c>
      <c r="AW57" s="67">
        <f t="shared" si="33"/>
        <v>0</v>
      </c>
      <c r="AX57" s="67">
        <f t="shared" si="34"/>
        <v>0</v>
      </c>
      <c r="AY57" s="68" t="s">
        <v>962</v>
      </c>
      <c r="AZ57" s="68" t="s">
        <v>988</v>
      </c>
      <c r="BA57" s="12" t="s">
        <v>996</v>
      </c>
      <c r="BC57" s="67">
        <f t="shared" si="35"/>
        <v>0</v>
      </c>
      <c r="BD57" s="67">
        <f t="shared" si="36"/>
        <v>0</v>
      </c>
      <c r="BE57" s="67">
        <v>0</v>
      </c>
      <c r="BF57" s="67">
        <f>57</f>
        <v>57</v>
      </c>
      <c r="BH57" s="10">
        <f t="shared" si="37"/>
        <v>0</v>
      </c>
      <c r="BI57" s="10">
        <f t="shared" si="38"/>
        <v>0</v>
      </c>
      <c r="BJ57" s="10">
        <f t="shared" si="39"/>
        <v>0</v>
      </c>
    </row>
    <row r="58" spans="1:62" ht="12.75">
      <c r="A58" s="3" t="s">
        <v>44</v>
      </c>
      <c r="B58" s="3" t="s">
        <v>244</v>
      </c>
      <c r="C58" s="143" t="s">
        <v>504</v>
      </c>
      <c r="D58" s="144"/>
      <c r="E58" s="144"/>
      <c r="F58" s="144"/>
      <c r="G58" s="144"/>
      <c r="H58" s="3" t="s">
        <v>857</v>
      </c>
      <c r="I58" s="10">
        <v>0.05</v>
      </c>
      <c r="J58" s="59">
        <v>0</v>
      </c>
      <c r="K58" s="10">
        <f t="shared" si="20"/>
        <v>0</v>
      </c>
      <c r="L58" s="16" t="s">
        <v>941</v>
      </c>
      <c r="Z58" s="67">
        <f t="shared" si="21"/>
        <v>0</v>
      </c>
      <c r="AB58" s="67">
        <f t="shared" si="22"/>
        <v>0</v>
      </c>
      <c r="AC58" s="67">
        <f t="shared" si="23"/>
        <v>0</v>
      </c>
      <c r="AD58" s="67">
        <f t="shared" si="24"/>
        <v>0</v>
      </c>
      <c r="AE58" s="67">
        <f t="shared" si="25"/>
        <v>0</v>
      </c>
      <c r="AF58" s="67">
        <f t="shared" si="26"/>
        <v>0</v>
      </c>
      <c r="AG58" s="67">
        <f t="shared" si="27"/>
        <v>0</v>
      </c>
      <c r="AH58" s="67">
        <f t="shared" si="28"/>
        <v>0</v>
      </c>
      <c r="AI58" s="12"/>
      <c r="AJ58" s="10">
        <f t="shared" si="29"/>
        <v>0</v>
      </c>
      <c r="AK58" s="10">
        <f t="shared" si="30"/>
        <v>0</v>
      </c>
      <c r="AL58" s="10">
        <f t="shared" si="31"/>
        <v>0</v>
      </c>
      <c r="AN58" s="67">
        <v>15</v>
      </c>
      <c r="AO58" s="67">
        <f>J58*0.655134803134182</f>
        <v>0</v>
      </c>
      <c r="AP58" s="67">
        <f>J58*(1-0.655134803134182)</f>
        <v>0</v>
      </c>
      <c r="AQ58" s="16" t="s">
        <v>6</v>
      </c>
      <c r="AV58" s="67">
        <f t="shared" si="32"/>
        <v>0</v>
      </c>
      <c r="AW58" s="67">
        <f t="shared" si="33"/>
        <v>0</v>
      </c>
      <c r="AX58" s="67">
        <f t="shared" si="34"/>
        <v>0</v>
      </c>
      <c r="AY58" s="68" t="s">
        <v>962</v>
      </c>
      <c r="AZ58" s="68" t="s">
        <v>988</v>
      </c>
      <c r="BA58" s="12" t="s">
        <v>996</v>
      </c>
      <c r="BC58" s="67">
        <f t="shared" si="35"/>
        <v>0</v>
      </c>
      <c r="BD58" s="67">
        <f t="shared" si="36"/>
        <v>0</v>
      </c>
      <c r="BE58" s="67">
        <v>0</v>
      </c>
      <c r="BF58" s="67">
        <f>58</f>
        <v>58</v>
      </c>
      <c r="BH58" s="10">
        <f t="shared" si="37"/>
        <v>0</v>
      </c>
      <c r="BI58" s="10">
        <f t="shared" si="38"/>
        <v>0</v>
      </c>
      <c r="BJ58" s="10">
        <f t="shared" si="39"/>
        <v>0</v>
      </c>
    </row>
    <row r="59" spans="1:62" ht="12.75">
      <c r="A59" s="3" t="s">
        <v>45</v>
      </c>
      <c r="B59" s="3" t="s">
        <v>245</v>
      </c>
      <c r="C59" s="143" t="s">
        <v>506</v>
      </c>
      <c r="D59" s="144"/>
      <c r="E59" s="144"/>
      <c r="F59" s="144"/>
      <c r="G59" s="144"/>
      <c r="H59" s="3" t="s">
        <v>851</v>
      </c>
      <c r="I59" s="10">
        <v>35.53</v>
      </c>
      <c r="J59" s="59">
        <v>0</v>
      </c>
      <c r="K59" s="10">
        <f t="shared" si="20"/>
        <v>0</v>
      </c>
      <c r="L59" s="16" t="s">
        <v>941</v>
      </c>
      <c r="Z59" s="67">
        <f t="shared" si="21"/>
        <v>0</v>
      </c>
      <c r="AB59" s="67">
        <f t="shared" si="22"/>
        <v>0</v>
      </c>
      <c r="AC59" s="67">
        <f t="shared" si="23"/>
        <v>0</v>
      </c>
      <c r="AD59" s="67">
        <f t="shared" si="24"/>
        <v>0</v>
      </c>
      <c r="AE59" s="67">
        <f t="shared" si="25"/>
        <v>0</v>
      </c>
      <c r="AF59" s="67">
        <f t="shared" si="26"/>
        <v>0</v>
      </c>
      <c r="AG59" s="67">
        <f t="shared" si="27"/>
        <v>0</v>
      </c>
      <c r="AH59" s="67">
        <f t="shared" si="28"/>
        <v>0</v>
      </c>
      <c r="AI59" s="12"/>
      <c r="AJ59" s="10">
        <f t="shared" si="29"/>
        <v>0</v>
      </c>
      <c r="AK59" s="10">
        <f t="shared" si="30"/>
        <v>0</v>
      </c>
      <c r="AL59" s="10">
        <f t="shared" si="31"/>
        <v>0</v>
      </c>
      <c r="AN59" s="67">
        <v>15</v>
      </c>
      <c r="AO59" s="67">
        <f>J59*0</f>
        <v>0</v>
      </c>
      <c r="AP59" s="67">
        <f>J59*(1-0)</f>
        <v>0</v>
      </c>
      <c r="AQ59" s="16" t="s">
        <v>6</v>
      </c>
      <c r="AV59" s="67">
        <f t="shared" si="32"/>
        <v>0</v>
      </c>
      <c r="AW59" s="67">
        <f t="shared" si="33"/>
        <v>0</v>
      </c>
      <c r="AX59" s="67">
        <f t="shared" si="34"/>
        <v>0</v>
      </c>
      <c r="AY59" s="68" t="s">
        <v>962</v>
      </c>
      <c r="AZ59" s="68" t="s">
        <v>988</v>
      </c>
      <c r="BA59" s="12" t="s">
        <v>996</v>
      </c>
      <c r="BC59" s="67">
        <f t="shared" si="35"/>
        <v>0</v>
      </c>
      <c r="BD59" s="67">
        <f t="shared" si="36"/>
        <v>0</v>
      </c>
      <c r="BE59" s="67">
        <v>0</v>
      </c>
      <c r="BF59" s="67">
        <f>59</f>
        <v>59</v>
      </c>
      <c r="BH59" s="10">
        <f t="shared" si="37"/>
        <v>0</v>
      </c>
      <c r="BI59" s="10">
        <f t="shared" si="38"/>
        <v>0</v>
      </c>
      <c r="BJ59" s="10">
        <f t="shared" si="39"/>
        <v>0</v>
      </c>
    </row>
    <row r="60" spans="1:62" ht="12.75">
      <c r="A60" s="3" t="s">
        <v>46</v>
      </c>
      <c r="B60" s="3" t="s">
        <v>246</v>
      </c>
      <c r="C60" s="143" t="s">
        <v>511</v>
      </c>
      <c r="D60" s="144"/>
      <c r="E60" s="144"/>
      <c r="F60" s="144"/>
      <c r="G60" s="144"/>
      <c r="H60" s="3" t="s">
        <v>852</v>
      </c>
      <c r="I60" s="10">
        <v>117</v>
      </c>
      <c r="J60" s="59">
        <v>0</v>
      </c>
      <c r="K60" s="10">
        <f t="shared" si="20"/>
        <v>0</v>
      </c>
      <c r="L60" s="16" t="s">
        <v>941</v>
      </c>
      <c r="Z60" s="67">
        <f t="shared" si="21"/>
        <v>0</v>
      </c>
      <c r="AB60" s="67">
        <f t="shared" si="22"/>
        <v>0</v>
      </c>
      <c r="AC60" s="67">
        <f t="shared" si="23"/>
        <v>0</v>
      </c>
      <c r="AD60" s="67">
        <f t="shared" si="24"/>
        <v>0</v>
      </c>
      <c r="AE60" s="67">
        <f t="shared" si="25"/>
        <v>0</v>
      </c>
      <c r="AF60" s="67">
        <f t="shared" si="26"/>
        <v>0</v>
      </c>
      <c r="AG60" s="67">
        <f t="shared" si="27"/>
        <v>0</v>
      </c>
      <c r="AH60" s="67">
        <f t="shared" si="28"/>
        <v>0</v>
      </c>
      <c r="AI60" s="12"/>
      <c r="AJ60" s="10">
        <f t="shared" si="29"/>
        <v>0</v>
      </c>
      <c r="AK60" s="10">
        <f t="shared" si="30"/>
        <v>0</v>
      </c>
      <c r="AL60" s="10">
        <f t="shared" si="31"/>
        <v>0</v>
      </c>
      <c r="AN60" s="67">
        <v>15</v>
      </c>
      <c r="AO60" s="67">
        <f>J60*0.102544554701067</f>
        <v>0</v>
      </c>
      <c r="AP60" s="67">
        <f>J60*(1-0.102544554701067)</f>
        <v>0</v>
      </c>
      <c r="AQ60" s="16" t="s">
        <v>6</v>
      </c>
      <c r="AV60" s="67">
        <f t="shared" si="32"/>
        <v>0</v>
      </c>
      <c r="AW60" s="67">
        <f t="shared" si="33"/>
        <v>0</v>
      </c>
      <c r="AX60" s="67">
        <f t="shared" si="34"/>
        <v>0</v>
      </c>
      <c r="AY60" s="68" t="s">
        <v>962</v>
      </c>
      <c r="AZ60" s="68" t="s">
        <v>988</v>
      </c>
      <c r="BA60" s="12" t="s">
        <v>996</v>
      </c>
      <c r="BC60" s="67">
        <f t="shared" si="35"/>
        <v>0</v>
      </c>
      <c r="BD60" s="67">
        <f t="shared" si="36"/>
        <v>0</v>
      </c>
      <c r="BE60" s="67">
        <v>0</v>
      </c>
      <c r="BF60" s="67">
        <f>60</f>
        <v>60</v>
      </c>
      <c r="BH60" s="10">
        <f t="shared" si="37"/>
        <v>0</v>
      </c>
      <c r="BI60" s="10">
        <f t="shared" si="38"/>
        <v>0</v>
      </c>
      <c r="BJ60" s="10">
        <f t="shared" si="39"/>
        <v>0</v>
      </c>
    </row>
    <row r="61" spans="1:62" ht="12.75">
      <c r="A61" s="3" t="s">
        <v>47</v>
      </c>
      <c r="B61" s="3" t="s">
        <v>247</v>
      </c>
      <c r="C61" s="143" t="s">
        <v>513</v>
      </c>
      <c r="D61" s="144"/>
      <c r="E61" s="144"/>
      <c r="F61" s="144"/>
      <c r="G61" s="144"/>
      <c r="H61" s="3" t="s">
        <v>852</v>
      </c>
      <c r="I61" s="10">
        <v>117</v>
      </c>
      <c r="J61" s="59">
        <v>0</v>
      </c>
      <c r="K61" s="10">
        <f t="shared" si="20"/>
        <v>0</v>
      </c>
      <c r="L61" s="16" t="s">
        <v>941</v>
      </c>
      <c r="Z61" s="67">
        <f t="shared" si="21"/>
        <v>0</v>
      </c>
      <c r="AB61" s="67">
        <f t="shared" si="22"/>
        <v>0</v>
      </c>
      <c r="AC61" s="67">
        <f t="shared" si="23"/>
        <v>0</v>
      </c>
      <c r="AD61" s="67">
        <f t="shared" si="24"/>
        <v>0</v>
      </c>
      <c r="AE61" s="67">
        <f t="shared" si="25"/>
        <v>0</v>
      </c>
      <c r="AF61" s="67">
        <f t="shared" si="26"/>
        <v>0</v>
      </c>
      <c r="AG61" s="67">
        <f t="shared" si="27"/>
        <v>0</v>
      </c>
      <c r="AH61" s="67">
        <f t="shared" si="28"/>
        <v>0</v>
      </c>
      <c r="AI61" s="12"/>
      <c r="AJ61" s="10">
        <f t="shared" si="29"/>
        <v>0</v>
      </c>
      <c r="AK61" s="10">
        <f t="shared" si="30"/>
        <v>0</v>
      </c>
      <c r="AL61" s="10">
        <f t="shared" si="31"/>
        <v>0</v>
      </c>
      <c r="AN61" s="67">
        <v>15</v>
      </c>
      <c r="AO61" s="67">
        <f>J61*0</f>
        <v>0</v>
      </c>
      <c r="AP61" s="67">
        <f>J61*(1-0)</f>
        <v>0</v>
      </c>
      <c r="AQ61" s="16" t="s">
        <v>6</v>
      </c>
      <c r="AV61" s="67">
        <f t="shared" si="32"/>
        <v>0</v>
      </c>
      <c r="AW61" s="67">
        <f t="shared" si="33"/>
        <v>0</v>
      </c>
      <c r="AX61" s="67">
        <f t="shared" si="34"/>
        <v>0</v>
      </c>
      <c r="AY61" s="68" t="s">
        <v>962</v>
      </c>
      <c r="AZ61" s="68" t="s">
        <v>988</v>
      </c>
      <c r="BA61" s="12" t="s">
        <v>996</v>
      </c>
      <c r="BC61" s="67">
        <f t="shared" si="35"/>
        <v>0</v>
      </c>
      <c r="BD61" s="67">
        <f t="shared" si="36"/>
        <v>0</v>
      </c>
      <c r="BE61" s="67">
        <v>0</v>
      </c>
      <c r="BF61" s="67">
        <f>61</f>
        <v>61</v>
      </c>
      <c r="BH61" s="10">
        <f t="shared" si="37"/>
        <v>0</v>
      </c>
      <c r="BI61" s="10">
        <f t="shared" si="38"/>
        <v>0</v>
      </c>
      <c r="BJ61" s="10">
        <f t="shared" si="39"/>
        <v>0</v>
      </c>
    </row>
    <row r="62" spans="1:62" ht="12.75">
      <c r="A62" s="3" t="s">
        <v>48</v>
      </c>
      <c r="B62" s="3" t="s">
        <v>248</v>
      </c>
      <c r="C62" s="143" t="s">
        <v>514</v>
      </c>
      <c r="D62" s="144"/>
      <c r="E62" s="144"/>
      <c r="F62" s="144"/>
      <c r="G62" s="144"/>
      <c r="H62" s="3" t="s">
        <v>851</v>
      </c>
      <c r="I62" s="10">
        <v>5.1</v>
      </c>
      <c r="J62" s="59">
        <v>0</v>
      </c>
      <c r="K62" s="10">
        <f t="shared" si="20"/>
        <v>0</v>
      </c>
      <c r="L62" s="16" t="s">
        <v>941</v>
      </c>
      <c r="Z62" s="67">
        <f t="shared" si="21"/>
        <v>0</v>
      </c>
      <c r="AB62" s="67">
        <f t="shared" si="22"/>
        <v>0</v>
      </c>
      <c r="AC62" s="67">
        <f t="shared" si="23"/>
        <v>0</v>
      </c>
      <c r="AD62" s="67">
        <f t="shared" si="24"/>
        <v>0</v>
      </c>
      <c r="AE62" s="67">
        <f t="shared" si="25"/>
        <v>0</v>
      </c>
      <c r="AF62" s="67">
        <f t="shared" si="26"/>
        <v>0</v>
      </c>
      <c r="AG62" s="67">
        <f t="shared" si="27"/>
        <v>0</v>
      </c>
      <c r="AH62" s="67">
        <f t="shared" si="28"/>
        <v>0</v>
      </c>
      <c r="AI62" s="12"/>
      <c r="AJ62" s="10">
        <f t="shared" si="29"/>
        <v>0</v>
      </c>
      <c r="AK62" s="10">
        <f t="shared" si="30"/>
        <v>0</v>
      </c>
      <c r="AL62" s="10">
        <f t="shared" si="31"/>
        <v>0</v>
      </c>
      <c r="AN62" s="67">
        <v>15</v>
      </c>
      <c r="AO62" s="67">
        <f>J62*0.802651027255143</f>
        <v>0</v>
      </c>
      <c r="AP62" s="67">
        <f>J62*(1-0.802651027255143)</f>
        <v>0</v>
      </c>
      <c r="AQ62" s="16" t="s">
        <v>6</v>
      </c>
      <c r="AV62" s="67">
        <f t="shared" si="32"/>
        <v>0</v>
      </c>
      <c r="AW62" s="67">
        <f t="shared" si="33"/>
        <v>0</v>
      </c>
      <c r="AX62" s="67">
        <f t="shared" si="34"/>
        <v>0</v>
      </c>
      <c r="AY62" s="68" t="s">
        <v>962</v>
      </c>
      <c r="AZ62" s="68" t="s">
        <v>988</v>
      </c>
      <c r="BA62" s="12" t="s">
        <v>996</v>
      </c>
      <c r="BC62" s="67">
        <f t="shared" si="35"/>
        <v>0</v>
      </c>
      <c r="BD62" s="67">
        <f t="shared" si="36"/>
        <v>0</v>
      </c>
      <c r="BE62" s="67">
        <v>0</v>
      </c>
      <c r="BF62" s="67">
        <f>62</f>
        <v>62</v>
      </c>
      <c r="BH62" s="10">
        <f t="shared" si="37"/>
        <v>0</v>
      </c>
      <c r="BI62" s="10">
        <f t="shared" si="38"/>
        <v>0</v>
      </c>
      <c r="BJ62" s="10">
        <f t="shared" si="39"/>
        <v>0</v>
      </c>
    </row>
    <row r="63" spans="1:62" ht="12.75">
      <c r="A63" s="3" t="s">
        <v>49</v>
      </c>
      <c r="B63" s="3" t="s">
        <v>249</v>
      </c>
      <c r="C63" s="143" t="s">
        <v>520</v>
      </c>
      <c r="D63" s="144"/>
      <c r="E63" s="144"/>
      <c r="F63" s="144"/>
      <c r="G63" s="144"/>
      <c r="H63" s="3" t="s">
        <v>852</v>
      </c>
      <c r="I63" s="10">
        <v>31.06</v>
      </c>
      <c r="J63" s="59">
        <v>0</v>
      </c>
      <c r="K63" s="10">
        <f t="shared" si="20"/>
        <v>0</v>
      </c>
      <c r="L63" s="16" t="s">
        <v>941</v>
      </c>
      <c r="Z63" s="67">
        <f t="shared" si="21"/>
        <v>0</v>
      </c>
      <c r="AB63" s="67">
        <f t="shared" si="22"/>
        <v>0</v>
      </c>
      <c r="AC63" s="67">
        <f t="shared" si="23"/>
        <v>0</v>
      </c>
      <c r="AD63" s="67">
        <f t="shared" si="24"/>
        <v>0</v>
      </c>
      <c r="AE63" s="67">
        <f t="shared" si="25"/>
        <v>0</v>
      </c>
      <c r="AF63" s="67">
        <f t="shared" si="26"/>
        <v>0</v>
      </c>
      <c r="AG63" s="67">
        <f t="shared" si="27"/>
        <v>0</v>
      </c>
      <c r="AH63" s="67">
        <f t="shared" si="28"/>
        <v>0</v>
      </c>
      <c r="AI63" s="12"/>
      <c r="AJ63" s="10">
        <f t="shared" si="29"/>
        <v>0</v>
      </c>
      <c r="AK63" s="10">
        <f t="shared" si="30"/>
        <v>0</v>
      </c>
      <c r="AL63" s="10">
        <f t="shared" si="31"/>
        <v>0</v>
      </c>
      <c r="AN63" s="67">
        <v>15</v>
      </c>
      <c r="AO63" s="67">
        <f>J63*0.229886164159425</f>
        <v>0</v>
      </c>
      <c r="AP63" s="67">
        <f>J63*(1-0.229886164159425)</f>
        <v>0</v>
      </c>
      <c r="AQ63" s="16" t="s">
        <v>6</v>
      </c>
      <c r="AV63" s="67">
        <f t="shared" si="32"/>
        <v>0</v>
      </c>
      <c r="AW63" s="67">
        <f t="shared" si="33"/>
        <v>0</v>
      </c>
      <c r="AX63" s="67">
        <f t="shared" si="34"/>
        <v>0</v>
      </c>
      <c r="AY63" s="68" t="s">
        <v>962</v>
      </c>
      <c r="AZ63" s="68" t="s">
        <v>988</v>
      </c>
      <c r="BA63" s="12" t="s">
        <v>996</v>
      </c>
      <c r="BC63" s="67">
        <f t="shared" si="35"/>
        <v>0</v>
      </c>
      <c r="BD63" s="67">
        <f t="shared" si="36"/>
        <v>0</v>
      </c>
      <c r="BE63" s="67">
        <v>0</v>
      </c>
      <c r="BF63" s="67">
        <f>63</f>
        <v>63</v>
      </c>
      <c r="BH63" s="10">
        <f t="shared" si="37"/>
        <v>0</v>
      </c>
      <c r="BI63" s="10">
        <f t="shared" si="38"/>
        <v>0</v>
      </c>
      <c r="BJ63" s="10">
        <f t="shared" si="39"/>
        <v>0</v>
      </c>
    </row>
    <row r="64" spans="1:62" ht="12.75">
      <c r="A64" s="3" t="s">
        <v>50</v>
      </c>
      <c r="B64" s="3" t="s">
        <v>250</v>
      </c>
      <c r="C64" s="143" t="s">
        <v>525</v>
      </c>
      <c r="D64" s="144"/>
      <c r="E64" s="144"/>
      <c r="F64" s="144"/>
      <c r="G64" s="144"/>
      <c r="H64" s="3" t="s">
        <v>852</v>
      </c>
      <c r="I64" s="10">
        <v>31.06</v>
      </c>
      <c r="J64" s="59">
        <v>0</v>
      </c>
      <c r="K64" s="10">
        <f t="shared" si="20"/>
        <v>0</v>
      </c>
      <c r="L64" s="16" t="s">
        <v>941</v>
      </c>
      <c r="Z64" s="67">
        <f t="shared" si="21"/>
        <v>0</v>
      </c>
      <c r="AB64" s="67">
        <f t="shared" si="22"/>
        <v>0</v>
      </c>
      <c r="AC64" s="67">
        <f t="shared" si="23"/>
        <v>0</v>
      </c>
      <c r="AD64" s="67">
        <f t="shared" si="24"/>
        <v>0</v>
      </c>
      <c r="AE64" s="67">
        <f t="shared" si="25"/>
        <v>0</v>
      </c>
      <c r="AF64" s="67">
        <f t="shared" si="26"/>
        <v>0</v>
      </c>
      <c r="AG64" s="67">
        <f t="shared" si="27"/>
        <v>0</v>
      </c>
      <c r="AH64" s="67">
        <f t="shared" si="28"/>
        <v>0</v>
      </c>
      <c r="AI64" s="12"/>
      <c r="AJ64" s="10">
        <f t="shared" si="29"/>
        <v>0</v>
      </c>
      <c r="AK64" s="10">
        <f t="shared" si="30"/>
        <v>0</v>
      </c>
      <c r="AL64" s="10">
        <f t="shared" si="31"/>
        <v>0</v>
      </c>
      <c r="AN64" s="67">
        <v>15</v>
      </c>
      <c r="AO64" s="67">
        <f>J64*0</f>
        <v>0</v>
      </c>
      <c r="AP64" s="67">
        <f>J64*(1-0)</f>
        <v>0</v>
      </c>
      <c r="AQ64" s="16" t="s">
        <v>6</v>
      </c>
      <c r="AV64" s="67">
        <f t="shared" si="32"/>
        <v>0</v>
      </c>
      <c r="AW64" s="67">
        <f t="shared" si="33"/>
        <v>0</v>
      </c>
      <c r="AX64" s="67">
        <f t="shared" si="34"/>
        <v>0</v>
      </c>
      <c r="AY64" s="68" t="s">
        <v>962</v>
      </c>
      <c r="AZ64" s="68" t="s">
        <v>988</v>
      </c>
      <c r="BA64" s="12" t="s">
        <v>996</v>
      </c>
      <c r="BC64" s="67">
        <f t="shared" si="35"/>
        <v>0</v>
      </c>
      <c r="BD64" s="67">
        <f t="shared" si="36"/>
        <v>0</v>
      </c>
      <c r="BE64" s="67">
        <v>0</v>
      </c>
      <c r="BF64" s="67">
        <f>64</f>
        <v>64</v>
      </c>
      <c r="BH64" s="10">
        <f t="shared" si="37"/>
        <v>0</v>
      </c>
      <c r="BI64" s="10">
        <f t="shared" si="38"/>
        <v>0</v>
      </c>
      <c r="BJ64" s="10">
        <f t="shared" si="39"/>
        <v>0</v>
      </c>
    </row>
    <row r="65" spans="1:62" ht="12.75">
      <c r="A65" s="3" t="s">
        <v>51</v>
      </c>
      <c r="B65" s="3" t="s">
        <v>251</v>
      </c>
      <c r="C65" s="143" t="s">
        <v>527</v>
      </c>
      <c r="D65" s="144"/>
      <c r="E65" s="144"/>
      <c r="F65" s="144"/>
      <c r="G65" s="144"/>
      <c r="H65" s="3" t="s">
        <v>854</v>
      </c>
      <c r="I65" s="10">
        <v>8</v>
      </c>
      <c r="J65" s="59">
        <v>0</v>
      </c>
      <c r="K65" s="10">
        <f t="shared" si="20"/>
        <v>0</v>
      </c>
      <c r="L65" s="16" t="s">
        <v>941</v>
      </c>
      <c r="Z65" s="67">
        <f t="shared" si="21"/>
        <v>0</v>
      </c>
      <c r="AB65" s="67">
        <f t="shared" si="22"/>
        <v>0</v>
      </c>
      <c r="AC65" s="67">
        <f t="shared" si="23"/>
        <v>0</v>
      </c>
      <c r="AD65" s="67">
        <f t="shared" si="24"/>
        <v>0</v>
      </c>
      <c r="AE65" s="67">
        <f t="shared" si="25"/>
        <v>0</v>
      </c>
      <c r="AF65" s="67">
        <f t="shared" si="26"/>
        <v>0</v>
      </c>
      <c r="AG65" s="67">
        <f t="shared" si="27"/>
        <v>0</v>
      </c>
      <c r="AH65" s="67">
        <f t="shared" si="28"/>
        <v>0</v>
      </c>
      <c r="AI65" s="12"/>
      <c r="AJ65" s="10">
        <f t="shared" si="29"/>
        <v>0</v>
      </c>
      <c r="AK65" s="10">
        <f t="shared" si="30"/>
        <v>0</v>
      </c>
      <c r="AL65" s="10">
        <f t="shared" si="31"/>
        <v>0</v>
      </c>
      <c r="AN65" s="67">
        <v>15</v>
      </c>
      <c r="AO65" s="67">
        <f>J65*0.463675529572546</f>
        <v>0</v>
      </c>
      <c r="AP65" s="67">
        <f>J65*(1-0.463675529572546)</f>
        <v>0</v>
      </c>
      <c r="AQ65" s="16" t="s">
        <v>6</v>
      </c>
      <c r="AV65" s="67">
        <f t="shared" si="32"/>
        <v>0</v>
      </c>
      <c r="AW65" s="67">
        <f t="shared" si="33"/>
        <v>0</v>
      </c>
      <c r="AX65" s="67">
        <f t="shared" si="34"/>
        <v>0</v>
      </c>
      <c r="AY65" s="68" t="s">
        <v>962</v>
      </c>
      <c r="AZ65" s="68" t="s">
        <v>988</v>
      </c>
      <c r="BA65" s="12" t="s">
        <v>996</v>
      </c>
      <c r="BC65" s="67">
        <f t="shared" si="35"/>
        <v>0</v>
      </c>
      <c r="BD65" s="67">
        <f t="shared" si="36"/>
        <v>0</v>
      </c>
      <c r="BE65" s="67">
        <v>0</v>
      </c>
      <c r="BF65" s="67">
        <f>65</f>
        <v>65</v>
      </c>
      <c r="BH65" s="10">
        <f t="shared" si="37"/>
        <v>0</v>
      </c>
      <c r="BI65" s="10">
        <f t="shared" si="38"/>
        <v>0</v>
      </c>
      <c r="BJ65" s="10">
        <f t="shared" si="39"/>
        <v>0</v>
      </c>
    </row>
    <row r="66" spans="1:62" ht="12.75">
      <c r="A66" s="3" t="s">
        <v>52</v>
      </c>
      <c r="B66" s="3" t="s">
        <v>252</v>
      </c>
      <c r="C66" s="143" t="s">
        <v>529</v>
      </c>
      <c r="D66" s="144"/>
      <c r="E66" s="144"/>
      <c r="F66" s="144"/>
      <c r="G66" s="144"/>
      <c r="H66" s="3" t="s">
        <v>857</v>
      </c>
      <c r="I66" s="10">
        <v>0.53</v>
      </c>
      <c r="J66" s="59">
        <v>0</v>
      </c>
      <c r="K66" s="10">
        <f t="shared" si="20"/>
        <v>0</v>
      </c>
      <c r="L66" s="16" t="s">
        <v>941</v>
      </c>
      <c r="Z66" s="67">
        <f t="shared" si="21"/>
        <v>0</v>
      </c>
      <c r="AB66" s="67">
        <f t="shared" si="22"/>
        <v>0</v>
      </c>
      <c r="AC66" s="67">
        <f t="shared" si="23"/>
        <v>0</v>
      </c>
      <c r="AD66" s="67">
        <f t="shared" si="24"/>
        <v>0</v>
      </c>
      <c r="AE66" s="67">
        <f t="shared" si="25"/>
        <v>0</v>
      </c>
      <c r="AF66" s="67">
        <f t="shared" si="26"/>
        <v>0</v>
      </c>
      <c r="AG66" s="67">
        <f t="shared" si="27"/>
        <v>0</v>
      </c>
      <c r="AH66" s="67">
        <f t="shared" si="28"/>
        <v>0</v>
      </c>
      <c r="AI66" s="12"/>
      <c r="AJ66" s="10">
        <f t="shared" si="29"/>
        <v>0</v>
      </c>
      <c r="AK66" s="10">
        <f t="shared" si="30"/>
        <v>0</v>
      </c>
      <c r="AL66" s="10">
        <f t="shared" si="31"/>
        <v>0</v>
      </c>
      <c r="AN66" s="67">
        <v>15</v>
      </c>
      <c r="AO66" s="67">
        <f>J66*0.639876168768965</f>
        <v>0</v>
      </c>
      <c r="AP66" s="67">
        <f>J66*(1-0.639876168768965)</f>
        <v>0</v>
      </c>
      <c r="AQ66" s="16" t="s">
        <v>6</v>
      </c>
      <c r="AV66" s="67">
        <f t="shared" si="32"/>
        <v>0</v>
      </c>
      <c r="AW66" s="67">
        <f t="shared" si="33"/>
        <v>0</v>
      </c>
      <c r="AX66" s="67">
        <f t="shared" si="34"/>
        <v>0</v>
      </c>
      <c r="AY66" s="68" t="s">
        <v>962</v>
      </c>
      <c r="AZ66" s="68" t="s">
        <v>988</v>
      </c>
      <c r="BA66" s="12" t="s">
        <v>996</v>
      </c>
      <c r="BC66" s="67">
        <f t="shared" si="35"/>
        <v>0</v>
      </c>
      <c r="BD66" s="67">
        <f t="shared" si="36"/>
        <v>0</v>
      </c>
      <c r="BE66" s="67">
        <v>0</v>
      </c>
      <c r="BF66" s="67">
        <f>66</f>
        <v>66</v>
      </c>
      <c r="BH66" s="10">
        <f t="shared" si="37"/>
        <v>0</v>
      </c>
      <c r="BI66" s="10">
        <f t="shared" si="38"/>
        <v>0</v>
      </c>
      <c r="BJ66" s="10">
        <f t="shared" si="39"/>
        <v>0</v>
      </c>
    </row>
    <row r="67" spans="1:62" ht="12.75">
      <c r="A67" s="3" t="s">
        <v>53</v>
      </c>
      <c r="B67" s="3" t="s">
        <v>253</v>
      </c>
      <c r="C67" s="143" t="s">
        <v>535</v>
      </c>
      <c r="D67" s="144"/>
      <c r="E67" s="144"/>
      <c r="F67" s="144"/>
      <c r="G67" s="144"/>
      <c r="H67" s="3" t="s">
        <v>854</v>
      </c>
      <c r="I67" s="10">
        <v>43</v>
      </c>
      <c r="J67" s="59">
        <v>0</v>
      </c>
      <c r="K67" s="10">
        <f t="shared" si="20"/>
        <v>0</v>
      </c>
      <c r="L67" s="16" t="s">
        <v>941</v>
      </c>
      <c r="Z67" s="67">
        <f t="shared" si="21"/>
        <v>0</v>
      </c>
      <c r="AB67" s="67">
        <f t="shared" si="22"/>
        <v>0</v>
      </c>
      <c r="AC67" s="67">
        <f t="shared" si="23"/>
        <v>0</v>
      </c>
      <c r="AD67" s="67">
        <f t="shared" si="24"/>
        <v>0</v>
      </c>
      <c r="AE67" s="67">
        <f t="shared" si="25"/>
        <v>0</v>
      </c>
      <c r="AF67" s="67">
        <f t="shared" si="26"/>
        <v>0</v>
      </c>
      <c r="AG67" s="67">
        <f t="shared" si="27"/>
        <v>0</v>
      </c>
      <c r="AH67" s="67">
        <f t="shared" si="28"/>
        <v>0</v>
      </c>
      <c r="AI67" s="12"/>
      <c r="AJ67" s="10">
        <f t="shared" si="29"/>
        <v>0</v>
      </c>
      <c r="AK67" s="10">
        <f t="shared" si="30"/>
        <v>0</v>
      </c>
      <c r="AL67" s="10">
        <f t="shared" si="31"/>
        <v>0</v>
      </c>
      <c r="AN67" s="67">
        <v>15</v>
      </c>
      <c r="AO67" s="67">
        <f>J67*0.397896339707999</f>
        <v>0</v>
      </c>
      <c r="AP67" s="67">
        <f>J67*(1-0.397896339707999)</f>
        <v>0</v>
      </c>
      <c r="AQ67" s="16" t="s">
        <v>6</v>
      </c>
      <c r="AV67" s="67">
        <f t="shared" si="32"/>
        <v>0</v>
      </c>
      <c r="AW67" s="67">
        <f t="shared" si="33"/>
        <v>0</v>
      </c>
      <c r="AX67" s="67">
        <f t="shared" si="34"/>
        <v>0</v>
      </c>
      <c r="AY67" s="68" t="s">
        <v>962</v>
      </c>
      <c r="AZ67" s="68" t="s">
        <v>988</v>
      </c>
      <c r="BA67" s="12" t="s">
        <v>996</v>
      </c>
      <c r="BC67" s="67">
        <f t="shared" si="35"/>
        <v>0</v>
      </c>
      <c r="BD67" s="67">
        <f t="shared" si="36"/>
        <v>0</v>
      </c>
      <c r="BE67" s="67">
        <v>0</v>
      </c>
      <c r="BF67" s="67">
        <f>67</f>
        <v>67</v>
      </c>
      <c r="BH67" s="10">
        <f t="shared" si="37"/>
        <v>0</v>
      </c>
      <c r="BI67" s="10">
        <f t="shared" si="38"/>
        <v>0</v>
      </c>
      <c r="BJ67" s="10">
        <f t="shared" si="39"/>
        <v>0</v>
      </c>
    </row>
    <row r="68" spans="1:62" ht="12.75">
      <c r="A68" s="3" t="s">
        <v>54</v>
      </c>
      <c r="B68" s="3" t="s">
        <v>254</v>
      </c>
      <c r="C68" s="143" t="s">
        <v>537</v>
      </c>
      <c r="D68" s="144"/>
      <c r="E68" s="144"/>
      <c r="F68" s="144"/>
      <c r="G68" s="144"/>
      <c r="H68" s="3" t="s">
        <v>854</v>
      </c>
      <c r="I68" s="10">
        <v>41</v>
      </c>
      <c r="J68" s="59">
        <v>0</v>
      </c>
      <c r="K68" s="10">
        <f t="shared" si="20"/>
        <v>0</v>
      </c>
      <c r="L68" s="16" t="s">
        <v>941</v>
      </c>
      <c r="Z68" s="67">
        <f t="shared" si="21"/>
        <v>0</v>
      </c>
      <c r="AB68" s="67">
        <f t="shared" si="22"/>
        <v>0</v>
      </c>
      <c r="AC68" s="67">
        <f t="shared" si="23"/>
        <v>0</v>
      </c>
      <c r="AD68" s="67">
        <f t="shared" si="24"/>
        <v>0</v>
      </c>
      <c r="AE68" s="67">
        <f t="shared" si="25"/>
        <v>0</v>
      </c>
      <c r="AF68" s="67">
        <f t="shared" si="26"/>
        <v>0</v>
      </c>
      <c r="AG68" s="67">
        <f t="shared" si="27"/>
        <v>0</v>
      </c>
      <c r="AH68" s="67">
        <f t="shared" si="28"/>
        <v>0</v>
      </c>
      <c r="AI68" s="12"/>
      <c r="AJ68" s="10">
        <f t="shared" si="29"/>
        <v>0</v>
      </c>
      <c r="AK68" s="10">
        <f t="shared" si="30"/>
        <v>0</v>
      </c>
      <c r="AL68" s="10">
        <f t="shared" si="31"/>
        <v>0</v>
      </c>
      <c r="AN68" s="67">
        <v>15</v>
      </c>
      <c r="AO68" s="67">
        <f>J68*0.39256</f>
        <v>0</v>
      </c>
      <c r="AP68" s="67">
        <f>J68*(1-0.39256)</f>
        <v>0</v>
      </c>
      <c r="AQ68" s="16" t="s">
        <v>6</v>
      </c>
      <c r="AV68" s="67">
        <f t="shared" si="32"/>
        <v>0</v>
      </c>
      <c r="AW68" s="67">
        <f t="shared" si="33"/>
        <v>0</v>
      </c>
      <c r="AX68" s="67">
        <f t="shared" si="34"/>
        <v>0</v>
      </c>
      <c r="AY68" s="68" t="s">
        <v>962</v>
      </c>
      <c r="AZ68" s="68" t="s">
        <v>988</v>
      </c>
      <c r="BA68" s="12" t="s">
        <v>996</v>
      </c>
      <c r="BC68" s="67">
        <f t="shared" si="35"/>
        <v>0</v>
      </c>
      <c r="BD68" s="67">
        <f t="shared" si="36"/>
        <v>0</v>
      </c>
      <c r="BE68" s="67">
        <v>0</v>
      </c>
      <c r="BF68" s="67">
        <f>68</f>
        <v>68</v>
      </c>
      <c r="BH68" s="10">
        <f t="shared" si="37"/>
        <v>0</v>
      </c>
      <c r="BI68" s="10">
        <f t="shared" si="38"/>
        <v>0</v>
      </c>
      <c r="BJ68" s="10">
        <f t="shared" si="39"/>
        <v>0</v>
      </c>
    </row>
    <row r="69" spans="1:62" ht="12.75" hidden="1">
      <c r="A69" s="3" t="s">
        <v>55</v>
      </c>
      <c r="B69" s="3"/>
      <c r="C69" s="143" t="s">
        <v>1000</v>
      </c>
      <c r="D69" s="144"/>
      <c r="E69" s="144"/>
      <c r="F69" s="144"/>
      <c r="G69" s="144"/>
      <c r="H69" s="3"/>
      <c r="I69" s="10">
        <v>0</v>
      </c>
      <c r="J69" s="59">
        <v>0</v>
      </c>
      <c r="K69" s="10">
        <f t="shared" si="20"/>
        <v>0</v>
      </c>
      <c r="L69" s="16" t="s">
        <v>941</v>
      </c>
      <c r="Z69" s="67">
        <f t="shared" si="21"/>
        <v>0</v>
      </c>
      <c r="AB69" s="67">
        <f t="shared" si="22"/>
        <v>0</v>
      </c>
      <c r="AC69" s="67">
        <f t="shared" si="23"/>
        <v>0</v>
      </c>
      <c r="AD69" s="67">
        <f t="shared" si="24"/>
        <v>0</v>
      </c>
      <c r="AE69" s="67">
        <f t="shared" si="25"/>
        <v>0</v>
      </c>
      <c r="AF69" s="67">
        <f t="shared" si="26"/>
        <v>0</v>
      </c>
      <c r="AG69" s="67">
        <f t="shared" si="27"/>
        <v>0</v>
      </c>
      <c r="AH69" s="67">
        <f t="shared" si="28"/>
        <v>0</v>
      </c>
      <c r="AI69" s="12"/>
      <c r="AJ69" s="10">
        <f t="shared" si="29"/>
        <v>0</v>
      </c>
      <c r="AK69" s="10">
        <f t="shared" si="30"/>
        <v>0</v>
      </c>
      <c r="AL69" s="10">
        <f t="shared" si="31"/>
        <v>0</v>
      </c>
      <c r="AN69" s="67">
        <v>15</v>
      </c>
      <c r="AO69" s="67">
        <f>J69*0.425571171591909</f>
        <v>0</v>
      </c>
      <c r="AP69" s="67">
        <f>J69*(1-0.425571171591909)</f>
        <v>0</v>
      </c>
      <c r="AQ69" s="16" t="s">
        <v>6</v>
      </c>
      <c r="AV69" s="67">
        <f t="shared" si="32"/>
        <v>0</v>
      </c>
      <c r="AW69" s="67">
        <f t="shared" si="33"/>
        <v>0</v>
      </c>
      <c r="AX69" s="67">
        <f t="shared" si="34"/>
        <v>0</v>
      </c>
      <c r="AY69" s="68" t="s">
        <v>962</v>
      </c>
      <c r="AZ69" s="68" t="s">
        <v>988</v>
      </c>
      <c r="BA69" s="12" t="s">
        <v>996</v>
      </c>
      <c r="BC69" s="67">
        <f t="shared" si="35"/>
        <v>0</v>
      </c>
      <c r="BD69" s="67">
        <f t="shared" si="36"/>
        <v>0</v>
      </c>
      <c r="BE69" s="67">
        <v>0</v>
      </c>
      <c r="BF69" s="67">
        <f>69</f>
        <v>69</v>
      </c>
      <c r="BH69" s="10">
        <f t="shared" si="37"/>
        <v>0</v>
      </c>
      <c r="BI69" s="10">
        <f t="shared" si="38"/>
        <v>0</v>
      </c>
      <c r="BJ69" s="10">
        <f t="shared" si="39"/>
        <v>0</v>
      </c>
    </row>
    <row r="70" spans="1:62" ht="12.75" hidden="1">
      <c r="A70" s="3" t="s">
        <v>56</v>
      </c>
      <c r="B70" s="3"/>
      <c r="C70" s="143" t="s">
        <v>1000</v>
      </c>
      <c r="D70" s="144"/>
      <c r="E70" s="144"/>
      <c r="F70" s="144"/>
      <c r="G70" s="144"/>
      <c r="H70" s="3"/>
      <c r="I70" s="10">
        <v>0</v>
      </c>
      <c r="J70" s="59">
        <v>0</v>
      </c>
      <c r="K70" s="10">
        <f t="shared" si="20"/>
        <v>0</v>
      </c>
      <c r="L70" s="16" t="s">
        <v>941</v>
      </c>
      <c r="Z70" s="67">
        <f t="shared" si="21"/>
        <v>0</v>
      </c>
      <c r="AB70" s="67">
        <f t="shared" si="22"/>
        <v>0</v>
      </c>
      <c r="AC70" s="67">
        <f t="shared" si="23"/>
        <v>0</v>
      </c>
      <c r="AD70" s="67">
        <f t="shared" si="24"/>
        <v>0</v>
      </c>
      <c r="AE70" s="67">
        <f t="shared" si="25"/>
        <v>0</v>
      </c>
      <c r="AF70" s="67">
        <f t="shared" si="26"/>
        <v>0</v>
      </c>
      <c r="AG70" s="67">
        <f t="shared" si="27"/>
        <v>0</v>
      </c>
      <c r="AH70" s="67">
        <f t="shared" si="28"/>
        <v>0</v>
      </c>
      <c r="AI70" s="12"/>
      <c r="AJ70" s="10">
        <f t="shared" si="29"/>
        <v>0</v>
      </c>
      <c r="AK70" s="10">
        <f t="shared" si="30"/>
        <v>0</v>
      </c>
      <c r="AL70" s="10">
        <f t="shared" si="31"/>
        <v>0</v>
      </c>
      <c r="AN70" s="67">
        <v>15</v>
      </c>
      <c r="AO70" s="67">
        <f>J70*0.476882956604598</f>
        <v>0</v>
      </c>
      <c r="AP70" s="67">
        <f>J70*(1-0.476882956604598)</f>
        <v>0</v>
      </c>
      <c r="AQ70" s="16" t="s">
        <v>6</v>
      </c>
      <c r="AV70" s="67">
        <f t="shared" si="32"/>
        <v>0</v>
      </c>
      <c r="AW70" s="67">
        <f t="shared" si="33"/>
        <v>0</v>
      </c>
      <c r="AX70" s="67">
        <f t="shared" si="34"/>
        <v>0</v>
      </c>
      <c r="AY70" s="68" t="s">
        <v>962</v>
      </c>
      <c r="AZ70" s="68" t="s">
        <v>988</v>
      </c>
      <c r="BA70" s="12" t="s">
        <v>996</v>
      </c>
      <c r="BC70" s="67">
        <f t="shared" si="35"/>
        <v>0</v>
      </c>
      <c r="BD70" s="67">
        <f t="shared" si="36"/>
        <v>0</v>
      </c>
      <c r="BE70" s="67">
        <v>0</v>
      </c>
      <c r="BF70" s="67">
        <f>70</f>
        <v>70</v>
      </c>
      <c r="BH70" s="10">
        <f t="shared" si="37"/>
        <v>0</v>
      </c>
      <c r="BI70" s="10">
        <f t="shared" si="38"/>
        <v>0</v>
      </c>
      <c r="BJ70" s="10">
        <f t="shared" si="39"/>
        <v>0</v>
      </c>
    </row>
    <row r="71" spans="1:62" ht="12.75">
      <c r="A71" s="3" t="s">
        <v>57</v>
      </c>
      <c r="B71" s="3" t="s">
        <v>257</v>
      </c>
      <c r="C71" s="143" t="s">
        <v>544</v>
      </c>
      <c r="D71" s="144"/>
      <c r="E71" s="144"/>
      <c r="F71" s="144"/>
      <c r="G71" s="144"/>
      <c r="H71" s="3" t="s">
        <v>852</v>
      </c>
      <c r="I71" s="10">
        <v>155.92</v>
      </c>
      <c r="J71" s="59">
        <v>0</v>
      </c>
      <c r="K71" s="10">
        <f t="shared" si="20"/>
        <v>0</v>
      </c>
      <c r="L71" s="16" t="s">
        <v>941</v>
      </c>
      <c r="Z71" s="67">
        <f t="shared" si="21"/>
        <v>0</v>
      </c>
      <c r="AB71" s="67">
        <f t="shared" si="22"/>
        <v>0</v>
      </c>
      <c r="AC71" s="67">
        <f t="shared" si="23"/>
        <v>0</v>
      </c>
      <c r="AD71" s="67">
        <f t="shared" si="24"/>
        <v>0</v>
      </c>
      <c r="AE71" s="67">
        <f t="shared" si="25"/>
        <v>0</v>
      </c>
      <c r="AF71" s="67">
        <f t="shared" si="26"/>
        <v>0</v>
      </c>
      <c r="AG71" s="67">
        <f t="shared" si="27"/>
        <v>0</v>
      </c>
      <c r="AH71" s="67">
        <f t="shared" si="28"/>
        <v>0</v>
      </c>
      <c r="AI71" s="12"/>
      <c r="AJ71" s="10">
        <f t="shared" si="29"/>
        <v>0</v>
      </c>
      <c r="AK71" s="10">
        <f t="shared" si="30"/>
        <v>0</v>
      </c>
      <c r="AL71" s="10">
        <f t="shared" si="31"/>
        <v>0</v>
      </c>
      <c r="AN71" s="67">
        <v>15</v>
      </c>
      <c r="AO71" s="67">
        <f>J71*0.403967583518107</f>
        <v>0</v>
      </c>
      <c r="AP71" s="67">
        <f>J71*(1-0.403967583518107)</f>
        <v>0</v>
      </c>
      <c r="AQ71" s="16" t="s">
        <v>6</v>
      </c>
      <c r="AV71" s="67">
        <f t="shared" si="32"/>
        <v>0</v>
      </c>
      <c r="AW71" s="67">
        <f t="shared" si="33"/>
        <v>0</v>
      </c>
      <c r="AX71" s="67">
        <f t="shared" si="34"/>
        <v>0</v>
      </c>
      <c r="AY71" s="68" t="s">
        <v>962</v>
      </c>
      <c r="AZ71" s="68" t="s">
        <v>988</v>
      </c>
      <c r="BA71" s="12" t="s">
        <v>996</v>
      </c>
      <c r="BC71" s="67">
        <f t="shared" si="35"/>
        <v>0</v>
      </c>
      <c r="BD71" s="67">
        <f t="shared" si="36"/>
        <v>0</v>
      </c>
      <c r="BE71" s="67">
        <v>0</v>
      </c>
      <c r="BF71" s="67">
        <f>71</f>
        <v>71</v>
      </c>
      <c r="BH71" s="10">
        <f t="shared" si="37"/>
        <v>0</v>
      </c>
      <c r="BI71" s="10">
        <f t="shared" si="38"/>
        <v>0</v>
      </c>
      <c r="BJ71" s="10">
        <f t="shared" si="39"/>
        <v>0</v>
      </c>
    </row>
    <row r="72" spans="1:62" ht="12.75">
      <c r="A72" s="3" t="s">
        <v>58</v>
      </c>
      <c r="B72" s="3" t="s">
        <v>258</v>
      </c>
      <c r="C72" s="143" t="s">
        <v>546</v>
      </c>
      <c r="D72" s="144"/>
      <c r="E72" s="144"/>
      <c r="F72" s="144"/>
      <c r="G72" s="144"/>
      <c r="H72" s="3" t="s">
        <v>852</v>
      </c>
      <c r="I72" s="10">
        <v>19.8</v>
      </c>
      <c r="J72" s="59">
        <v>0</v>
      </c>
      <c r="K72" s="10">
        <f t="shared" si="20"/>
        <v>0</v>
      </c>
      <c r="L72" s="16" t="s">
        <v>941</v>
      </c>
      <c r="Z72" s="67">
        <f t="shared" si="21"/>
        <v>0</v>
      </c>
      <c r="AB72" s="67">
        <f t="shared" si="22"/>
        <v>0</v>
      </c>
      <c r="AC72" s="67">
        <f t="shared" si="23"/>
        <v>0</v>
      </c>
      <c r="AD72" s="67">
        <f t="shared" si="24"/>
        <v>0</v>
      </c>
      <c r="AE72" s="67">
        <f t="shared" si="25"/>
        <v>0</v>
      </c>
      <c r="AF72" s="67">
        <f t="shared" si="26"/>
        <v>0</v>
      </c>
      <c r="AG72" s="67">
        <f t="shared" si="27"/>
        <v>0</v>
      </c>
      <c r="AH72" s="67">
        <f t="shared" si="28"/>
        <v>0</v>
      </c>
      <c r="AI72" s="12"/>
      <c r="AJ72" s="10">
        <f t="shared" si="29"/>
        <v>0</v>
      </c>
      <c r="AK72" s="10">
        <f t="shared" si="30"/>
        <v>0</v>
      </c>
      <c r="AL72" s="10">
        <f t="shared" si="31"/>
        <v>0</v>
      </c>
      <c r="AN72" s="67">
        <v>15</v>
      </c>
      <c r="AO72" s="67">
        <f>J72*0.436378947282219</f>
        <v>0</v>
      </c>
      <c r="AP72" s="67">
        <f>J72*(1-0.436378947282219)</f>
        <v>0</v>
      </c>
      <c r="AQ72" s="16" t="s">
        <v>6</v>
      </c>
      <c r="AV72" s="67">
        <f t="shared" si="32"/>
        <v>0</v>
      </c>
      <c r="AW72" s="67">
        <f t="shared" si="33"/>
        <v>0</v>
      </c>
      <c r="AX72" s="67">
        <f t="shared" si="34"/>
        <v>0</v>
      </c>
      <c r="AY72" s="68" t="s">
        <v>962</v>
      </c>
      <c r="AZ72" s="68" t="s">
        <v>988</v>
      </c>
      <c r="BA72" s="12" t="s">
        <v>996</v>
      </c>
      <c r="BC72" s="67">
        <f t="shared" si="35"/>
        <v>0</v>
      </c>
      <c r="BD72" s="67">
        <f t="shared" si="36"/>
        <v>0</v>
      </c>
      <c r="BE72" s="67">
        <v>0</v>
      </c>
      <c r="BF72" s="67">
        <f>72</f>
        <v>72</v>
      </c>
      <c r="BH72" s="10">
        <f t="shared" si="37"/>
        <v>0</v>
      </c>
      <c r="BI72" s="10">
        <f t="shared" si="38"/>
        <v>0</v>
      </c>
      <c r="BJ72" s="10">
        <f t="shared" si="39"/>
        <v>0</v>
      </c>
    </row>
    <row r="73" spans="1:62" ht="12.75">
      <c r="A73" s="3" t="s">
        <v>59</v>
      </c>
      <c r="B73" s="3" t="s">
        <v>259</v>
      </c>
      <c r="C73" s="143" t="s">
        <v>548</v>
      </c>
      <c r="D73" s="144"/>
      <c r="E73" s="144"/>
      <c r="F73" s="144"/>
      <c r="G73" s="144"/>
      <c r="H73" s="3" t="s">
        <v>852</v>
      </c>
      <c r="I73" s="10">
        <v>256.51</v>
      </c>
      <c r="J73" s="59">
        <v>0</v>
      </c>
      <c r="K73" s="10">
        <f t="shared" si="20"/>
        <v>0</v>
      </c>
      <c r="L73" s="16" t="s">
        <v>941</v>
      </c>
      <c r="Z73" s="67">
        <f t="shared" si="21"/>
        <v>0</v>
      </c>
      <c r="AB73" s="67">
        <f t="shared" si="22"/>
        <v>0</v>
      </c>
      <c r="AC73" s="67">
        <f t="shared" si="23"/>
        <v>0</v>
      </c>
      <c r="AD73" s="67">
        <f t="shared" si="24"/>
        <v>0</v>
      </c>
      <c r="AE73" s="67">
        <f t="shared" si="25"/>
        <v>0</v>
      </c>
      <c r="AF73" s="67">
        <f t="shared" si="26"/>
        <v>0</v>
      </c>
      <c r="AG73" s="67">
        <f t="shared" si="27"/>
        <v>0</v>
      </c>
      <c r="AH73" s="67">
        <f t="shared" si="28"/>
        <v>0</v>
      </c>
      <c r="AI73" s="12"/>
      <c r="AJ73" s="10">
        <f t="shared" si="29"/>
        <v>0</v>
      </c>
      <c r="AK73" s="10">
        <f t="shared" si="30"/>
        <v>0</v>
      </c>
      <c r="AL73" s="10">
        <f t="shared" si="31"/>
        <v>0</v>
      </c>
      <c r="AN73" s="67">
        <v>15</v>
      </c>
      <c r="AO73" s="67">
        <f>J73*0.0288464067844926</f>
        <v>0</v>
      </c>
      <c r="AP73" s="67">
        <f>J73*(1-0.0288464067844926)</f>
        <v>0</v>
      </c>
      <c r="AQ73" s="16" t="s">
        <v>6</v>
      </c>
      <c r="AV73" s="67">
        <f t="shared" si="32"/>
        <v>0</v>
      </c>
      <c r="AW73" s="67">
        <f t="shared" si="33"/>
        <v>0</v>
      </c>
      <c r="AX73" s="67">
        <f t="shared" si="34"/>
        <v>0</v>
      </c>
      <c r="AY73" s="68" t="s">
        <v>962</v>
      </c>
      <c r="AZ73" s="68" t="s">
        <v>988</v>
      </c>
      <c r="BA73" s="12" t="s">
        <v>996</v>
      </c>
      <c r="BC73" s="67">
        <f t="shared" si="35"/>
        <v>0</v>
      </c>
      <c r="BD73" s="67">
        <f t="shared" si="36"/>
        <v>0</v>
      </c>
      <c r="BE73" s="67">
        <v>0</v>
      </c>
      <c r="BF73" s="67">
        <f>73</f>
        <v>73</v>
      </c>
      <c r="BH73" s="10">
        <f t="shared" si="37"/>
        <v>0</v>
      </c>
      <c r="BI73" s="10">
        <f t="shared" si="38"/>
        <v>0</v>
      </c>
      <c r="BJ73" s="10">
        <f t="shared" si="39"/>
        <v>0</v>
      </c>
    </row>
    <row r="74" spans="1:62" ht="12.75">
      <c r="A74" s="5" t="s">
        <v>60</v>
      </c>
      <c r="B74" s="5" t="s">
        <v>260</v>
      </c>
      <c r="C74" s="147" t="s">
        <v>551</v>
      </c>
      <c r="D74" s="148"/>
      <c r="E74" s="148"/>
      <c r="F74" s="148"/>
      <c r="G74" s="148"/>
      <c r="H74" s="5" t="s">
        <v>852</v>
      </c>
      <c r="I74" s="13">
        <v>307.81</v>
      </c>
      <c r="J74" s="61">
        <v>0</v>
      </c>
      <c r="K74" s="13">
        <f t="shared" si="20"/>
        <v>0</v>
      </c>
      <c r="L74" s="17" t="s">
        <v>941</v>
      </c>
      <c r="Z74" s="67">
        <f t="shared" si="21"/>
        <v>0</v>
      </c>
      <c r="AB74" s="67">
        <f t="shared" si="22"/>
        <v>0</v>
      </c>
      <c r="AC74" s="67">
        <f t="shared" si="23"/>
        <v>0</v>
      </c>
      <c r="AD74" s="67">
        <f t="shared" si="24"/>
        <v>0</v>
      </c>
      <c r="AE74" s="67">
        <f t="shared" si="25"/>
        <v>0</v>
      </c>
      <c r="AF74" s="67">
        <f t="shared" si="26"/>
        <v>0</v>
      </c>
      <c r="AG74" s="67">
        <f t="shared" si="27"/>
        <v>0</v>
      </c>
      <c r="AH74" s="67">
        <f t="shared" si="28"/>
        <v>0</v>
      </c>
      <c r="AI74" s="12"/>
      <c r="AJ74" s="13">
        <f t="shared" si="29"/>
        <v>0</v>
      </c>
      <c r="AK74" s="13">
        <f t="shared" si="30"/>
        <v>0</v>
      </c>
      <c r="AL74" s="13">
        <f t="shared" si="31"/>
        <v>0</v>
      </c>
      <c r="AN74" s="67">
        <v>15</v>
      </c>
      <c r="AO74" s="67">
        <f>J74*1</f>
        <v>0</v>
      </c>
      <c r="AP74" s="67">
        <f>J74*(1-1)</f>
        <v>0</v>
      </c>
      <c r="AQ74" s="17" t="s">
        <v>6</v>
      </c>
      <c r="AV74" s="67">
        <f t="shared" si="32"/>
        <v>0</v>
      </c>
      <c r="AW74" s="67">
        <f t="shared" si="33"/>
        <v>0</v>
      </c>
      <c r="AX74" s="67">
        <f t="shared" si="34"/>
        <v>0</v>
      </c>
      <c r="AY74" s="68" t="s">
        <v>962</v>
      </c>
      <c r="AZ74" s="68" t="s">
        <v>988</v>
      </c>
      <c r="BA74" s="12" t="s">
        <v>996</v>
      </c>
      <c r="BC74" s="67">
        <f t="shared" si="35"/>
        <v>0</v>
      </c>
      <c r="BD74" s="67">
        <f t="shared" si="36"/>
        <v>0</v>
      </c>
      <c r="BE74" s="67">
        <v>0</v>
      </c>
      <c r="BF74" s="67">
        <f>74</f>
        <v>74</v>
      </c>
      <c r="BH74" s="13">
        <f t="shared" si="37"/>
        <v>0</v>
      </c>
      <c r="BI74" s="13">
        <f t="shared" si="38"/>
        <v>0</v>
      </c>
      <c r="BJ74" s="13">
        <f t="shared" si="39"/>
        <v>0</v>
      </c>
    </row>
    <row r="75" spans="1:47" ht="12.75">
      <c r="A75" s="50"/>
      <c r="B75" s="4" t="s">
        <v>48</v>
      </c>
      <c r="C75" s="145" t="s">
        <v>553</v>
      </c>
      <c r="D75" s="146"/>
      <c r="E75" s="146"/>
      <c r="F75" s="146"/>
      <c r="G75" s="146"/>
      <c r="H75" s="50" t="s">
        <v>927</v>
      </c>
      <c r="I75" s="50" t="s">
        <v>927</v>
      </c>
      <c r="J75" s="60" t="s">
        <v>927</v>
      </c>
      <c r="K75" s="70">
        <f>SUM(K76:K81)</f>
        <v>0</v>
      </c>
      <c r="L75" s="12"/>
      <c r="AI75" s="12"/>
      <c r="AS75" s="70">
        <f>SUM(AJ76:AJ81)</f>
        <v>0</v>
      </c>
      <c r="AT75" s="70">
        <f>SUM(AK76:AK81)</f>
        <v>0</v>
      </c>
      <c r="AU75" s="70">
        <f>SUM(AL76:AL81)</f>
        <v>0</v>
      </c>
    </row>
    <row r="76" spans="1:62" ht="12.75">
      <c r="A76" s="3" t="s">
        <v>61</v>
      </c>
      <c r="B76" s="3" t="s">
        <v>261</v>
      </c>
      <c r="C76" s="143" t="s">
        <v>554</v>
      </c>
      <c r="D76" s="144"/>
      <c r="E76" s="144"/>
      <c r="F76" s="144"/>
      <c r="G76" s="144"/>
      <c r="H76" s="3" t="s">
        <v>852</v>
      </c>
      <c r="I76" s="10">
        <v>1.2</v>
      </c>
      <c r="J76" s="59">
        <v>0</v>
      </c>
      <c r="K76" s="10">
        <f aca="true" t="shared" si="40" ref="K76:K81">I76*J76</f>
        <v>0</v>
      </c>
      <c r="L76" s="16" t="s">
        <v>941</v>
      </c>
      <c r="Z76" s="67">
        <f aca="true" t="shared" si="41" ref="Z76:Z81">IF(AQ76="5",BJ76,0)</f>
        <v>0</v>
      </c>
      <c r="AB76" s="67">
        <f aca="true" t="shared" si="42" ref="AB76:AB81">IF(AQ76="1",BH76,0)</f>
        <v>0</v>
      </c>
      <c r="AC76" s="67">
        <f aca="true" t="shared" si="43" ref="AC76:AC81">IF(AQ76="1",BI76,0)</f>
        <v>0</v>
      </c>
      <c r="AD76" s="67">
        <f aca="true" t="shared" si="44" ref="AD76:AD81">IF(AQ76="7",BH76,0)</f>
        <v>0</v>
      </c>
      <c r="AE76" s="67">
        <f aca="true" t="shared" si="45" ref="AE76:AE81">IF(AQ76="7",BI76,0)</f>
        <v>0</v>
      </c>
      <c r="AF76" s="67">
        <f aca="true" t="shared" si="46" ref="AF76:AF81">IF(AQ76="2",BH76,0)</f>
        <v>0</v>
      </c>
      <c r="AG76" s="67">
        <f aca="true" t="shared" si="47" ref="AG76:AG81">IF(AQ76="2",BI76,0)</f>
        <v>0</v>
      </c>
      <c r="AH76" s="67">
        <f aca="true" t="shared" si="48" ref="AH76:AH81">IF(AQ76="0",BJ76,0)</f>
        <v>0</v>
      </c>
      <c r="AI76" s="12"/>
      <c r="AJ76" s="10">
        <f aca="true" t="shared" si="49" ref="AJ76:AJ81">IF(AN76=0,K76,0)</f>
        <v>0</v>
      </c>
      <c r="AK76" s="10">
        <f aca="true" t="shared" si="50" ref="AK76:AK81">IF(AN76=15,K76,0)</f>
        <v>0</v>
      </c>
      <c r="AL76" s="10">
        <f aca="true" t="shared" si="51" ref="AL76:AL81">IF(AN76=21,K76,0)</f>
        <v>0</v>
      </c>
      <c r="AN76" s="67">
        <v>15</v>
      </c>
      <c r="AO76" s="67">
        <f>J76*0.291511119482048</f>
        <v>0</v>
      </c>
      <c r="AP76" s="67">
        <f>J76*(1-0.291511119482048)</f>
        <v>0</v>
      </c>
      <c r="AQ76" s="16" t="s">
        <v>6</v>
      </c>
      <c r="AV76" s="67">
        <f aca="true" t="shared" si="52" ref="AV76:AV81">AW76+AX76</f>
        <v>0</v>
      </c>
      <c r="AW76" s="67">
        <f aca="true" t="shared" si="53" ref="AW76:AW81">I76*AO76</f>
        <v>0</v>
      </c>
      <c r="AX76" s="67">
        <f aca="true" t="shared" si="54" ref="AX76:AX81">I76*AP76</f>
        <v>0</v>
      </c>
      <c r="AY76" s="68" t="s">
        <v>963</v>
      </c>
      <c r="AZ76" s="68" t="s">
        <v>988</v>
      </c>
      <c r="BA76" s="12" t="s">
        <v>996</v>
      </c>
      <c r="BC76" s="67">
        <f aca="true" t="shared" si="55" ref="BC76:BC81">AW76+AX76</f>
        <v>0</v>
      </c>
      <c r="BD76" s="67">
        <f aca="true" t="shared" si="56" ref="BD76:BD81">J76/(100-BE76)*100</f>
        <v>0</v>
      </c>
      <c r="BE76" s="67">
        <v>0</v>
      </c>
      <c r="BF76" s="67">
        <f>76</f>
        <v>76</v>
      </c>
      <c r="BH76" s="10">
        <f aca="true" t="shared" si="57" ref="BH76:BH81">I76*AO76</f>
        <v>0</v>
      </c>
      <c r="BI76" s="10">
        <f aca="true" t="shared" si="58" ref="BI76:BI81">I76*AP76</f>
        <v>0</v>
      </c>
      <c r="BJ76" s="10">
        <f aca="true" t="shared" si="59" ref="BJ76:BJ81">I76*J76</f>
        <v>0</v>
      </c>
    </row>
    <row r="77" spans="1:62" ht="12.75">
      <c r="A77" s="3" t="s">
        <v>62</v>
      </c>
      <c r="B77" s="3" t="s">
        <v>262</v>
      </c>
      <c r="C77" s="143" t="s">
        <v>556</v>
      </c>
      <c r="D77" s="144"/>
      <c r="E77" s="144"/>
      <c r="F77" s="144"/>
      <c r="G77" s="144"/>
      <c r="H77" s="3" t="s">
        <v>852</v>
      </c>
      <c r="I77" s="10">
        <v>1.2</v>
      </c>
      <c r="J77" s="59">
        <v>0</v>
      </c>
      <c r="K77" s="10">
        <f t="shared" si="40"/>
        <v>0</v>
      </c>
      <c r="L77" s="16" t="s">
        <v>941</v>
      </c>
      <c r="Z77" s="67">
        <f t="shared" si="41"/>
        <v>0</v>
      </c>
      <c r="AB77" s="67">
        <f t="shared" si="42"/>
        <v>0</v>
      </c>
      <c r="AC77" s="67">
        <f t="shared" si="43"/>
        <v>0</v>
      </c>
      <c r="AD77" s="67">
        <f t="shared" si="44"/>
        <v>0</v>
      </c>
      <c r="AE77" s="67">
        <f t="shared" si="45"/>
        <v>0</v>
      </c>
      <c r="AF77" s="67">
        <f t="shared" si="46"/>
        <v>0</v>
      </c>
      <c r="AG77" s="67">
        <f t="shared" si="47"/>
        <v>0</v>
      </c>
      <c r="AH77" s="67">
        <f t="shared" si="48"/>
        <v>0</v>
      </c>
      <c r="AI77" s="12"/>
      <c r="AJ77" s="10">
        <f t="shared" si="49"/>
        <v>0</v>
      </c>
      <c r="AK77" s="10">
        <f t="shared" si="50"/>
        <v>0</v>
      </c>
      <c r="AL77" s="10">
        <f t="shared" si="51"/>
        <v>0</v>
      </c>
      <c r="AN77" s="67">
        <v>15</v>
      </c>
      <c r="AO77" s="67">
        <f>J77*0</f>
        <v>0</v>
      </c>
      <c r="AP77" s="67">
        <f>J77*(1-0)</f>
        <v>0</v>
      </c>
      <c r="AQ77" s="16" t="s">
        <v>6</v>
      </c>
      <c r="AV77" s="67">
        <f t="shared" si="52"/>
        <v>0</v>
      </c>
      <c r="AW77" s="67">
        <f t="shared" si="53"/>
        <v>0</v>
      </c>
      <c r="AX77" s="67">
        <f t="shared" si="54"/>
        <v>0</v>
      </c>
      <c r="AY77" s="68" t="s">
        <v>963</v>
      </c>
      <c r="AZ77" s="68" t="s">
        <v>988</v>
      </c>
      <c r="BA77" s="12" t="s">
        <v>996</v>
      </c>
      <c r="BC77" s="67">
        <f t="shared" si="55"/>
        <v>0</v>
      </c>
      <c r="BD77" s="67">
        <f t="shared" si="56"/>
        <v>0</v>
      </c>
      <c r="BE77" s="67">
        <v>0</v>
      </c>
      <c r="BF77" s="67">
        <f>77</f>
        <v>77</v>
      </c>
      <c r="BH77" s="10">
        <f t="shared" si="57"/>
        <v>0</v>
      </c>
      <c r="BI77" s="10">
        <f t="shared" si="58"/>
        <v>0</v>
      </c>
      <c r="BJ77" s="10">
        <f t="shared" si="59"/>
        <v>0</v>
      </c>
    </row>
    <row r="78" spans="1:62" ht="12.75">
      <c r="A78" s="3" t="s">
        <v>63</v>
      </c>
      <c r="B78" s="3" t="s">
        <v>263</v>
      </c>
      <c r="C78" s="143" t="s">
        <v>558</v>
      </c>
      <c r="D78" s="144"/>
      <c r="E78" s="144"/>
      <c r="F78" s="144"/>
      <c r="G78" s="144"/>
      <c r="H78" s="3" t="s">
        <v>852</v>
      </c>
      <c r="I78" s="10">
        <v>0.54</v>
      </c>
      <c r="J78" s="59">
        <v>0</v>
      </c>
      <c r="K78" s="10">
        <f t="shared" si="40"/>
        <v>0</v>
      </c>
      <c r="L78" s="16" t="s">
        <v>941</v>
      </c>
      <c r="Z78" s="67">
        <f t="shared" si="41"/>
        <v>0</v>
      </c>
      <c r="AB78" s="67">
        <f t="shared" si="42"/>
        <v>0</v>
      </c>
      <c r="AC78" s="67">
        <f t="shared" si="43"/>
        <v>0</v>
      </c>
      <c r="AD78" s="67">
        <f t="shared" si="44"/>
        <v>0</v>
      </c>
      <c r="AE78" s="67">
        <f t="shared" si="45"/>
        <v>0</v>
      </c>
      <c r="AF78" s="67">
        <f t="shared" si="46"/>
        <v>0</v>
      </c>
      <c r="AG78" s="67">
        <f t="shared" si="47"/>
        <v>0</v>
      </c>
      <c r="AH78" s="67">
        <f t="shared" si="48"/>
        <v>0</v>
      </c>
      <c r="AI78" s="12"/>
      <c r="AJ78" s="10">
        <f t="shared" si="49"/>
        <v>0</v>
      </c>
      <c r="AK78" s="10">
        <f t="shared" si="50"/>
        <v>0</v>
      </c>
      <c r="AL78" s="10">
        <f t="shared" si="51"/>
        <v>0</v>
      </c>
      <c r="AN78" s="67">
        <v>15</v>
      </c>
      <c r="AO78" s="67">
        <f>J78*0.433698589830508</f>
        <v>0</v>
      </c>
      <c r="AP78" s="67">
        <f>J78*(1-0.433698589830508)</f>
        <v>0</v>
      </c>
      <c r="AQ78" s="16" t="s">
        <v>6</v>
      </c>
      <c r="AV78" s="67">
        <f t="shared" si="52"/>
        <v>0</v>
      </c>
      <c r="AW78" s="67">
        <f t="shared" si="53"/>
        <v>0</v>
      </c>
      <c r="AX78" s="67">
        <f t="shared" si="54"/>
        <v>0</v>
      </c>
      <c r="AY78" s="68" t="s">
        <v>963</v>
      </c>
      <c r="AZ78" s="68" t="s">
        <v>988</v>
      </c>
      <c r="BA78" s="12" t="s">
        <v>996</v>
      </c>
      <c r="BC78" s="67">
        <f t="shared" si="55"/>
        <v>0</v>
      </c>
      <c r="BD78" s="67">
        <f t="shared" si="56"/>
        <v>0</v>
      </c>
      <c r="BE78" s="67">
        <v>0</v>
      </c>
      <c r="BF78" s="67">
        <f>78</f>
        <v>78</v>
      </c>
      <c r="BH78" s="10">
        <f t="shared" si="57"/>
        <v>0</v>
      </c>
      <c r="BI78" s="10">
        <f t="shared" si="58"/>
        <v>0</v>
      </c>
      <c r="BJ78" s="10">
        <f t="shared" si="59"/>
        <v>0</v>
      </c>
    </row>
    <row r="79" spans="1:62" ht="12.75">
      <c r="A79" s="3" t="s">
        <v>64</v>
      </c>
      <c r="B79" s="3" t="s">
        <v>264</v>
      </c>
      <c r="C79" s="143" t="s">
        <v>560</v>
      </c>
      <c r="D79" s="144"/>
      <c r="E79" s="144"/>
      <c r="F79" s="144"/>
      <c r="G79" s="144"/>
      <c r="H79" s="3" t="s">
        <v>852</v>
      </c>
      <c r="I79" s="10">
        <v>0.54</v>
      </c>
      <c r="J79" s="59">
        <v>0</v>
      </c>
      <c r="K79" s="10">
        <f t="shared" si="40"/>
        <v>0</v>
      </c>
      <c r="L79" s="16" t="s">
        <v>941</v>
      </c>
      <c r="Z79" s="67">
        <f t="shared" si="41"/>
        <v>0</v>
      </c>
      <c r="AB79" s="67">
        <f t="shared" si="42"/>
        <v>0</v>
      </c>
      <c r="AC79" s="67">
        <f t="shared" si="43"/>
        <v>0</v>
      </c>
      <c r="AD79" s="67">
        <f t="shared" si="44"/>
        <v>0</v>
      </c>
      <c r="AE79" s="67">
        <f t="shared" si="45"/>
        <v>0</v>
      </c>
      <c r="AF79" s="67">
        <f t="shared" si="46"/>
        <v>0</v>
      </c>
      <c r="AG79" s="67">
        <f t="shared" si="47"/>
        <v>0</v>
      </c>
      <c r="AH79" s="67">
        <f t="shared" si="48"/>
        <v>0</v>
      </c>
      <c r="AI79" s="12"/>
      <c r="AJ79" s="10">
        <f t="shared" si="49"/>
        <v>0</v>
      </c>
      <c r="AK79" s="10">
        <f t="shared" si="50"/>
        <v>0</v>
      </c>
      <c r="AL79" s="10">
        <f t="shared" si="51"/>
        <v>0</v>
      </c>
      <c r="AN79" s="67">
        <v>15</v>
      </c>
      <c r="AO79" s="67">
        <f>J79*0</f>
        <v>0</v>
      </c>
      <c r="AP79" s="67">
        <f>J79*(1-0)</f>
        <v>0</v>
      </c>
      <c r="AQ79" s="16" t="s">
        <v>6</v>
      </c>
      <c r="AV79" s="67">
        <f t="shared" si="52"/>
        <v>0</v>
      </c>
      <c r="AW79" s="67">
        <f t="shared" si="53"/>
        <v>0</v>
      </c>
      <c r="AX79" s="67">
        <f t="shared" si="54"/>
        <v>0</v>
      </c>
      <c r="AY79" s="68" t="s">
        <v>963</v>
      </c>
      <c r="AZ79" s="68" t="s">
        <v>988</v>
      </c>
      <c r="BA79" s="12" t="s">
        <v>996</v>
      </c>
      <c r="BC79" s="67">
        <f t="shared" si="55"/>
        <v>0</v>
      </c>
      <c r="BD79" s="67">
        <f t="shared" si="56"/>
        <v>0</v>
      </c>
      <c r="BE79" s="67">
        <v>0</v>
      </c>
      <c r="BF79" s="67">
        <f>79</f>
        <v>79</v>
      </c>
      <c r="BH79" s="10">
        <f t="shared" si="57"/>
        <v>0</v>
      </c>
      <c r="BI79" s="10">
        <f t="shared" si="58"/>
        <v>0</v>
      </c>
      <c r="BJ79" s="10">
        <f t="shared" si="59"/>
        <v>0</v>
      </c>
    </row>
    <row r="80" spans="1:62" ht="12.75">
      <c r="A80" s="3" t="s">
        <v>65</v>
      </c>
      <c r="B80" s="3" t="s">
        <v>265</v>
      </c>
      <c r="C80" s="143" t="s">
        <v>562</v>
      </c>
      <c r="D80" s="144"/>
      <c r="E80" s="144"/>
      <c r="F80" s="144"/>
      <c r="G80" s="144"/>
      <c r="H80" s="3" t="s">
        <v>857</v>
      </c>
      <c r="I80" s="10">
        <v>0.02</v>
      </c>
      <c r="J80" s="59">
        <v>0</v>
      </c>
      <c r="K80" s="10">
        <f t="shared" si="40"/>
        <v>0</v>
      </c>
      <c r="L80" s="16" t="s">
        <v>941</v>
      </c>
      <c r="Z80" s="67">
        <f t="shared" si="41"/>
        <v>0</v>
      </c>
      <c r="AB80" s="67">
        <f t="shared" si="42"/>
        <v>0</v>
      </c>
      <c r="AC80" s="67">
        <f t="shared" si="43"/>
        <v>0</v>
      </c>
      <c r="AD80" s="67">
        <f t="shared" si="44"/>
        <v>0</v>
      </c>
      <c r="AE80" s="67">
        <f t="shared" si="45"/>
        <v>0</v>
      </c>
      <c r="AF80" s="67">
        <f t="shared" si="46"/>
        <v>0</v>
      </c>
      <c r="AG80" s="67">
        <f t="shared" si="47"/>
        <v>0</v>
      </c>
      <c r="AH80" s="67">
        <f t="shared" si="48"/>
        <v>0</v>
      </c>
      <c r="AI80" s="12"/>
      <c r="AJ80" s="10">
        <f t="shared" si="49"/>
        <v>0</v>
      </c>
      <c r="AK80" s="10">
        <f t="shared" si="50"/>
        <v>0</v>
      </c>
      <c r="AL80" s="10">
        <f t="shared" si="51"/>
        <v>0</v>
      </c>
      <c r="AN80" s="67">
        <v>15</v>
      </c>
      <c r="AO80" s="67">
        <f>J80*0.749418105651672</f>
        <v>0</v>
      </c>
      <c r="AP80" s="67">
        <f>J80*(1-0.749418105651672)</f>
        <v>0</v>
      </c>
      <c r="AQ80" s="16" t="s">
        <v>6</v>
      </c>
      <c r="AV80" s="67">
        <f t="shared" si="52"/>
        <v>0</v>
      </c>
      <c r="AW80" s="67">
        <f t="shared" si="53"/>
        <v>0</v>
      </c>
      <c r="AX80" s="67">
        <f t="shared" si="54"/>
        <v>0</v>
      </c>
      <c r="AY80" s="68" t="s">
        <v>963</v>
      </c>
      <c r="AZ80" s="68" t="s">
        <v>988</v>
      </c>
      <c r="BA80" s="12" t="s">
        <v>996</v>
      </c>
      <c r="BC80" s="67">
        <f t="shared" si="55"/>
        <v>0</v>
      </c>
      <c r="BD80" s="67">
        <f t="shared" si="56"/>
        <v>0</v>
      </c>
      <c r="BE80" s="67">
        <v>0</v>
      </c>
      <c r="BF80" s="67">
        <f>80</f>
        <v>80</v>
      </c>
      <c r="BH80" s="10">
        <f t="shared" si="57"/>
        <v>0</v>
      </c>
      <c r="BI80" s="10">
        <f t="shared" si="58"/>
        <v>0</v>
      </c>
      <c r="BJ80" s="10">
        <f t="shared" si="59"/>
        <v>0</v>
      </c>
    </row>
    <row r="81" spans="1:62" ht="12.75">
      <c r="A81" s="3" t="s">
        <v>66</v>
      </c>
      <c r="B81" s="3" t="s">
        <v>266</v>
      </c>
      <c r="C81" s="143" t="s">
        <v>564</v>
      </c>
      <c r="D81" s="144"/>
      <c r="E81" s="144"/>
      <c r="F81" s="144"/>
      <c r="G81" s="144"/>
      <c r="H81" s="3" t="s">
        <v>851</v>
      </c>
      <c r="I81" s="10">
        <v>1.05</v>
      </c>
      <c r="J81" s="59">
        <v>0</v>
      </c>
      <c r="K81" s="10">
        <f t="shared" si="40"/>
        <v>0</v>
      </c>
      <c r="L81" s="16" t="s">
        <v>941</v>
      </c>
      <c r="Z81" s="67">
        <f t="shared" si="41"/>
        <v>0</v>
      </c>
      <c r="AB81" s="67">
        <f t="shared" si="42"/>
        <v>0</v>
      </c>
      <c r="AC81" s="67">
        <f t="shared" si="43"/>
        <v>0</v>
      </c>
      <c r="AD81" s="67">
        <f t="shared" si="44"/>
        <v>0</v>
      </c>
      <c r="AE81" s="67">
        <f t="shared" si="45"/>
        <v>0</v>
      </c>
      <c r="AF81" s="67">
        <f t="shared" si="46"/>
        <v>0</v>
      </c>
      <c r="AG81" s="67">
        <f t="shared" si="47"/>
        <v>0</v>
      </c>
      <c r="AH81" s="67">
        <f t="shared" si="48"/>
        <v>0</v>
      </c>
      <c r="AI81" s="12"/>
      <c r="AJ81" s="10">
        <f t="shared" si="49"/>
        <v>0</v>
      </c>
      <c r="AK81" s="10">
        <f t="shared" si="50"/>
        <v>0</v>
      </c>
      <c r="AL81" s="10">
        <f t="shared" si="51"/>
        <v>0</v>
      </c>
      <c r="AN81" s="67">
        <v>15</v>
      </c>
      <c r="AO81" s="67">
        <f>J81*0.608335213497729</f>
        <v>0</v>
      </c>
      <c r="AP81" s="67">
        <f>J81*(1-0.608335213497729)</f>
        <v>0</v>
      </c>
      <c r="AQ81" s="16" t="s">
        <v>6</v>
      </c>
      <c r="AV81" s="67">
        <f t="shared" si="52"/>
        <v>0</v>
      </c>
      <c r="AW81" s="67">
        <f t="shared" si="53"/>
        <v>0</v>
      </c>
      <c r="AX81" s="67">
        <f t="shared" si="54"/>
        <v>0</v>
      </c>
      <c r="AY81" s="68" t="s">
        <v>963</v>
      </c>
      <c r="AZ81" s="68" t="s">
        <v>988</v>
      </c>
      <c r="BA81" s="12" t="s">
        <v>996</v>
      </c>
      <c r="BC81" s="67">
        <f t="shared" si="55"/>
        <v>0</v>
      </c>
      <c r="BD81" s="67">
        <f t="shared" si="56"/>
        <v>0</v>
      </c>
      <c r="BE81" s="67">
        <v>0</v>
      </c>
      <c r="BF81" s="67">
        <f>81</f>
        <v>81</v>
      </c>
      <c r="BH81" s="10">
        <f t="shared" si="57"/>
        <v>0</v>
      </c>
      <c r="BI81" s="10">
        <f t="shared" si="58"/>
        <v>0</v>
      </c>
      <c r="BJ81" s="10">
        <f t="shared" si="59"/>
        <v>0</v>
      </c>
    </row>
    <row r="82" spans="1:47" ht="12.75">
      <c r="A82" s="50"/>
      <c r="B82" s="4" t="s">
        <v>62</v>
      </c>
      <c r="C82" s="145" t="s">
        <v>566</v>
      </c>
      <c r="D82" s="146"/>
      <c r="E82" s="146"/>
      <c r="F82" s="146"/>
      <c r="G82" s="146"/>
      <c r="H82" s="50" t="s">
        <v>927</v>
      </c>
      <c r="I82" s="50" t="s">
        <v>927</v>
      </c>
      <c r="J82" s="60" t="s">
        <v>927</v>
      </c>
      <c r="K82" s="70">
        <f>SUM(K83:K91)</f>
        <v>0</v>
      </c>
      <c r="L82" s="12"/>
      <c r="AI82" s="12"/>
      <c r="AS82" s="70">
        <f>SUM(AJ83:AJ91)</f>
        <v>0</v>
      </c>
      <c r="AT82" s="70">
        <f>SUM(AK83:AK91)</f>
        <v>0</v>
      </c>
      <c r="AU82" s="70">
        <f>SUM(AL83:AL91)</f>
        <v>0</v>
      </c>
    </row>
    <row r="83" spans="1:62" ht="12.75">
      <c r="A83" s="3" t="s">
        <v>67</v>
      </c>
      <c r="B83" s="3" t="s">
        <v>267</v>
      </c>
      <c r="C83" s="143" t="s">
        <v>567</v>
      </c>
      <c r="D83" s="144"/>
      <c r="E83" s="144"/>
      <c r="F83" s="144"/>
      <c r="G83" s="144"/>
      <c r="H83" s="3" t="s">
        <v>852</v>
      </c>
      <c r="I83" s="10">
        <v>24.64</v>
      </c>
      <c r="J83" s="59">
        <v>0</v>
      </c>
      <c r="K83" s="10">
        <f aca="true" t="shared" si="60" ref="K83:K91">I83*J83</f>
        <v>0</v>
      </c>
      <c r="L83" s="16" t="s">
        <v>941</v>
      </c>
      <c r="Z83" s="67">
        <f aca="true" t="shared" si="61" ref="Z83:Z91">IF(AQ83="5",BJ83,0)</f>
        <v>0</v>
      </c>
      <c r="AB83" s="67">
        <f aca="true" t="shared" si="62" ref="AB83:AB91">IF(AQ83="1",BH83,0)</f>
        <v>0</v>
      </c>
      <c r="AC83" s="67">
        <f aca="true" t="shared" si="63" ref="AC83:AC91">IF(AQ83="1",BI83,0)</f>
        <v>0</v>
      </c>
      <c r="AD83" s="67">
        <f aca="true" t="shared" si="64" ref="AD83:AD91">IF(AQ83="7",BH83,0)</f>
        <v>0</v>
      </c>
      <c r="AE83" s="67">
        <f aca="true" t="shared" si="65" ref="AE83:AE91">IF(AQ83="7",BI83,0)</f>
        <v>0</v>
      </c>
      <c r="AF83" s="67">
        <f aca="true" t="shared" si="66" ref="AF83:AF91">IF(AQ83="2",BH83,0)</f>
        <v>0</v>
      </c>
      <c r="AG83" s="67">
        <f aca="true" t="shared" si="67" ref="AG83:AG91">IF(AQ83="2",BI83,0)</f>
        <v>0</v>
      </c>
      <c r="AH83" s="67">
        <f aca="true" t="shared" si="68" ref="AH83:AH91">IF(AQ83="0",BJ83,0)</f>
        <v>0</v>
      </c>
      <c r="AI83" s="12"/>
      <c r="AJ83" s="10">
        <f aca="true" t="shared" si="69" ref="AJ83:AJ91">IF(AN83=0,K83,0)</f>
        <v>0</v>
      </c>
      <c r="AK83" s="10">
        <f aca="true" t="shared" si="70" ref="AK83:AK91">IF(AN83=15,K83,0)</f>
        <v>0</v>
      </c>
      <c r="AL83" s="10">
        <f aca="true" t="shared" si="71" ref="AL83:AL91">IF(AN83=21,K83,0)</f>
        <v>0</v>
      </c>
      <c r="AN83" s="67">
        <v>15</v>
      </c>
      <c r="AO83" s="67">
        <f>J83*0</f>
        <v>0</v>
      </c>
      <c r="AP83" s="67">
        <f>J83*(1-0)</f>
        <v>0</v>
      </c>
      <c r="AQ83" s="16" t="s">
        <v>6</v>
      </c>
      <c r="AV83" s="67">
        <f aca="true" t="shared" si="72" ref="AV83:AV91">AW83+AX83</f>
        <v>0</v>
      </c>
      <c r="AW83" s="67">
        <f aca="true" t="shared" si="73" ref="AW83:AW91">I83*AO83</f>
        <v>0</v>
      </c>
      <c r="AX83" s="67">
        <f aca="true" t="shared" si="74" ref="AX83:AX91">I83*AP83</f>
        <v>0</v>
      </c>
      <c r="AY83" s="68" t="s">
        <v>964</v>
      </c>
      <c r="AZ83" s="68" t="s">
        <v>989</v>
      </c>
      <c r="BA83" s="12" t="s">
        <v>996</v>
      </c>
      <c r="BC83" s="67">
        <f aca="true" t="shared" si="75" ref="BC83:BC91">AW83+AX83</f>
        <v>0</v>
      </c>
      <c r="BD83" s="67">
        <f aca="true" t="shared" si="76" ref="BD83:BD91">J83/(100-BE83)*100</f>
        <v>0</v>
      </c>
      <c r="BE83" s="67">
        <v>0</v>
      </c>
      <c r="BF83" s="67">
        <f>83</f>
        <v>83</v>
      </c>
      <c r="BH83" s="10">
        <f aca="true" t="shared" si="77" ref="BH83:BH91">I83*AO83</f>
        <v>0</v>
      </c>
      <c r="BI83" s="10">
        <f aca="true" t="shared" si="78" ref="BI83:BI91">I83*AP83</f>
        <v>0</v>
      </c>
      <c r="BJ83" s="10">
        <f aca="true" t="shared" si="79" ref="BJ83:BJ91">I83*J83</f>
        <v>0</v>
      </c>
    </row>
    <row r="84" spans="1:62" ht="12.75">
      <c r="A84" s="3" t="s">
        <v>68</v>
      </c>
      <c r="B84" s="3" t="s">
        <v>268</v>
      </c>
      <c r="C84" s="143" t="s">
        <v>569</v>
      </c>
      <c r="D84" s="144"/>
      <c r="E84" s="144"/>
      <c r="F84" s="144"/>
      <c r="G84" s="144"/>
      <c r="H84" s="3" t="s">
        <v>852</v>
      </c>
      <c r="I84" s="10">
        <v>24.64</v>
      </c>
      <c r="J84" s="59">
        <v>0</v>
      </c>
      <c r="K84" s="10">
        <f t="shared" si="60"/>
        <v>0</v>
      </c>
      <c r="L84" s="16" t="s">
        <v>941</v>
      </c>
      <c r="Z84" s="67">
        <f t="shared" si="61"/>
        <v>0</v>
      </c>
      <c r="AB84" s="67">
        <f t="shared" si="62"/>
        <v>0</v>
      </c>
      <c r="AC84" s="67">
        <f t="shared" si="63"/>
        <v>0</v>
      </c>
      <c r="AD84" s="67">
        <f t="shared" si="64"/>
        <v>0</v>
      </c>
      <c r="AE84" s="67">
        <f t="shared" si="65"/>
        <v>0</v>
      </c>
      <c r="AF84" s="67">
        <f t="shared" si="66"/>
        <v>0</v>
      </c>
      <c r="AG84" s="67">
        <f t="shared" si="67"/>
        <v>0</v>
      </c>
      <c r="AH84" s="67">
        <f t="shared" si="68"/>
        <v>0</v>
      </c>
      <c r="AI84" s="12"/>
      <c r="AJ84" s="10">
        <f t="shared" si="69"/>
        <v>0</v>
      </c>
      <c r="AK84" s="10">
        <f t="shared" si="70"/>
        <v>0</v>
      </c>
      <c r="AL84" s="10">
        <f t="shared" si="71"/>
        <v>0</v>
      </c>
      <c r="AN84" s="67">
        <v>15</v>
      </c>
      <c r="AO84" s="67">
        <f>J84*0</f>
        <v>0</v>
      </c>
      <c r="AP84" s="67">
        <f>J84*(1-0)</f>
        <v>0</v>
      </c>
      <c r="AQ84" s="16" t="s">
        <v>6</v>
      </c>
      <c r="AV84" s="67">
        <f t="shared" si="72"/>
        <v>0</v>
      </c>
      <c r="AW84" s="67">
        <f t="shared" si="73"/>
        <v>0</v>
      </c>
      <c r="AX84" s="67">
        <f t="shared" si="74"/>
        <v>0</v>
      </c>
      <c r="AY84" s="68" t="s">
        <v>964</v>
      </c>
      <c r="AZ84" s="68" t="s">
        <v>989</v>
      </c>
      <c r="BA84" s="12" t="s">
        <v>996</v>
      </c>
      <c r="BC84" s="67">
        <f t="shared" si="75"/>
        <v>0</v>
      </c>
      <c r="BD84" s="67">
        <f t="shared" si="76"/>
        <v>0</v>
      </c>
      <c r="BE84" s="67">
        <v>0</v>
      </c>
      <c r="BF84" s="67">
        <f>84</f>
        <v>84</v>
      </c>
      <c r="BH84" s="10">
        <f t="shared" si="77"/>
        <v>0</v>
      </c>
      <c r="BI84" s="10">
        <f t="shared" si="78"/>
        <v>0</v>
      </c>
      <c r="BJ84" s="10">
        <f t="shared" si="79"/>
        <v>0</v>
      </c>
    </row>
    <row r="85" spans="1:62" ht="12.75">
      <c r="A85" s="3" t="s">
        <v>69</v>
      </c>
      <c r="B85" s="3" t="s">
        <v>269</v>
      </c>
      <c r="C85" s="143" t="s">
        <v>570</v>
      </c>
      <c r="D85" s="144"/>
      <c r="E85" s="144"/>
      <c r="F85" s="144"/>
      <c r="G85" s="144"/>
      <c r="H85" s="3" t="s">
        <v>856</v>
      </c>
      <c r="I85" s="10">
        <v>10.8</v>
      </c>
      <c r="J85" s="59">
        <v>0</v>
      </c>
      <c r="K85" s="10">
        <f t="shared" si="60"/>
        <v>0</v>
      </c>
      <c r="L85" s="16" t="s">
        <v>941</v>
      </c>
      <c r="Z85" s="67">
        <f t="shared" si="61"/>
        <v>0</v>
      </c>
      <c r="AB85" s="67">
        <f t="shared" si="62"/>
        <v>0</v>
      </c>
      <c r="AC85" s="67">
        <f t="shared" si="63"/>
        <v>0</v>
      </c>
      <c r="AD85" s="67">
        <f t="shared" si="64"/>
        <v>0</v>
      </c>
      <c r="AE85" s="67">
        <f t="shared" si="65"/>
        <v>0</v>
      </c>
      <c r="AF85" s="67">
        <f t="shared" si="66"/>
        <v>0</v>
      </c>
      <c r="AG85" s="67">
        <f t="shared" si="67"/>
        <v>0</v>
      </c>
      <c r="AH85" s="67">
        <f t="shared" si="68"/>
        <v>0</v>
      </c>
      <c r="AI85" s="12"/>
      <c r="AJ85" s="10">
        <f t="shared" si="69"/>
        <v>0</v>
      </c>
      <c r="AK85" s="10">
        <f t="shared" si="70"/>
        <v>0</v>
      </c>
      <c r="AL85" s="10">
        <f t="shared" si="71"/>
        <v>0</v>
      </c>
      <c r="AN85" s="67">
        <v>15</v>
      </c>
      <c r="AO85" s="67">
        <f>J85*0</f>
        <v>0</v>
      </c>
      <c r="AP85" s="67">
        <f>J85*(1-0)</f>
        <v>0</v>
      </c>
      <c r="AQ85" s="16" t="s">
        <v>6</v>
      </c>
      <c r="AV85" s="67">
        <f t="shared" si="72"/>
        <v>0</v>
      </c>
      <c r="AW85" s="67">
        <f t="shared" si="73"/>
        <v>0</v>
      </c>
      <c r="AX85" s="67">
        <f t="shared" si="74"/>
        <v>0</v>
      </c>
      <c r="AY85" s="68" t="s">
        <v>964</v>
      </c>
      <c r="AZ85" s="68" t="s">
        <v>989</v>
      </c>
      <c r="BA85" s="12" t="s">
        <v>996</v>
      </c>
      <c r="BC85" s="67">
        <f t="shared" si="75"/>
        <v>0</v>
      </c>
      <c r="BD85" s="67">
        <f t="shared" si="76"/>
        <v>0</v>
      </c>
      <c r="BE85" s="67">
        <v>0</v>
      </c>
      <c r="BF85" s="67">
        <f>85</f>
        <v>85</v>
      </c>
      <c r="BH85" s="10">
        <f t="shared" si="77"/>
        <v>0</v>
      </c>
      <c r="BI85" s="10">
        <f t="shared" si="78"/>
        <v>0</v>
      </c>
      <c r="BJ85" s="10">
        <f t="shared" si="79"/>
        <v>0</v>
      </c>
    </row>
    <row r="86" spans="1:62" ht="12.75">
      <c r="A86" s="3" t="s">
        <v>70</v>
      </c>
      <c r="B86" s="3" t="s">
        <v>270</v>
      </c>
      <c r="C86" s="143" t="s">
        <v>572</v>
      </c>
      <c r="D86" s="144"/>
      <c r="E86" s="144"/>
      <c r="F86" s="144"/>
      <c r="G86" s="144"/>
      <c r="H86" s="3" t="s">
        <v>856</v>
      </c>
      <c r="I86" s="10">
        <v>6.8</v>
      </c>
      <c r="J86" s="59">
        <v>0</v>
      </c>
      <c r="K86" s="10">
        <f t="shared" si="60"/>
        <v>0</v>
      </c>
      <c r="L86" s="16" t="s">
        <v>941</v>
      </c>
      <c r="Z86" s="67">
        <f t="shared" si="61"/>
        <v>0</v>
      </c>
      <c r="AB86" s="67">
        <f t="shared" si="62"/>
        <v>0</v>
      </c>
      <c r="AC86" s="67">
        <f t="shared" si="63"/>
        <v>0</v>
      </c>
      <c r="AD86" s="67">
        <f t="shared" si="64"/>
        <v>0</v>
      </c>
      <c r="AE86" s="67">
        <f t="shared" si="65"/>
        <v>0</v>
      </c>
      <c r="AF86" s="67">
        <f t="shared" si="66"/>
        <v>0</v>
      </c>
      <c r="AG86" s="67">
        <f t="shared" si="67"/>
        <v>0</v>
      </c>
      <c r="AH86" s="67">
        <f t="shared" si="68"/>
        <v>0</v>
      </c>
      <c r="AI86" s="12"/>
      <c r="AJ86" s="10">
        <f t="shared" si="69"/>
        <v>0</v>
      </c>
      <c r="AK86" s="10">
        <f t="shared" si="70"/>
        <v>0</v>
      </c>
      <c r="AL86" s="10">
        <f t="shared" si="71"/>
        <v>0</v>
      </c>
      <c r="AN86" s="67">
        <v>15</v>
      </c>
      <c r="AO86" s="67">
        <f>J86*0.6044986039783</f>
        <v>0</v>
      </c>
      <c r="AP86" s="67">
        <f>J86*(1-0.6044986039783)</f>
        <v>0</v>
      </c>
      <c r="AQ86" s="16" t="s">
        <v>6</v>
      </c>
      <c r="AV86" s="67">
        <f t="shared" si="72"/>
        <v>0</v>
      </c>
      <c r="AW86" s="67">
        <f t="shared" si="73"/>
        <v>0</v>
      </c>
      <c r="AX86" s="67">
        <f t="shared" si="74"/>
        <v>0</v>
      </c>
      <c r="AY86" s="68" t="s">
        <v>964</v>
      </c>
      <c r="AZ86" s="68" t="s">
        <v>989</v>
      </c>
      <c r="BA86" s="12" t="s">
        <v>996</v>
      </c>
      <c r="BC86" s="67">
        <f t="shared" si="75"/>
        <v>0</v>
      </c>
      <c r="BD86" s="67">
        <f t="shared" si="76"/>
        <v>0</v>
      </c>
      <c r="BE86" s="67">
        <v>0</v>
      </c>
      <c r="BF86" s="67">
        <f>86</f>
        <v>86</v>
      </c>
      <c r="BH86" s="10">
        <f t="shared" si="77"/>
        <v>0</v>
      </c>
      <c r="BI86" s="10">
        <f t="shared" si="78"/>
        <v>0</v>
      </c>
      <c r="BJ86" s="10">
        <f t="shared" si="79"/>
        <v>0</v>
      </c>
    </row>
    <row r="87" spans="1:62" ht="12.75">
      <c r="A87" s="3" t="s">
        <v>71</v>
      </c>
      <c r="B87" s="3" t="s">
        <v>271</v>
      </c>
      <c r="C87" s="143" t="s">
        <v>574</v>
      </c>
      <c r="D87" s="144"/>
      <c r="E87" s="144"/>
      <c r="F87" s="144"/>
      <c r="G87" s="144"/>
      <c r="H87" s="3" t="s">
        <v>852</v>
      </c>
      <c r="I87" s="10">
        <v>24.64</v>
      </c>
      <c r="J87" s="59">
        <v>0</v>
      </c>
      <c r="K87" s="10">
        <f t="shared" si="60"/>
        <v>0</v>
      </c>
      <c r="L87" s="16" t="s">
        <v>941</v>
      </c>
      <c r="Z87" s="67">
        <f t="shared" si="61"/>
        <v>0</v>
      </c>
      <c r="AB87" s="67">
        <f t="shared" si="62"/>
        <v>0</v>
      </c>
      <c r="AC87" s="67">
        <f t="shared" si="63"/>
        <v>0</v>
      </c>
      <c r="AD87" s="67">
        <f t="shared" si="64"/>
        <v>0</v>
      </c>
      <c r="AE87" s="67">
        <f t="shared" si="65"/>
        <v>0</v>
      </c>
      <c r="AF87" s="67">
        <f t="shared" si="66"/>
        <v>0</v>
      </c>
      <c r="AG87" s="67">
        <f t="shared" si="67"/>
        <v>0</v>
      </c>
      <c r="AH87" s="67">
        <f t="shared" si="68"/>
        <v>0</v>
      </c>
      <c r="AI87" s="12"/>
      <c r="AJ87" s="10">
        <f t="shared" si="69"/>
        <v>0</v>
      </c>
      <c r="AK87" s="10">
        <f t="shared" si="70"/>
        <v>0</v>
      </c>
      <c r="AL87" s="10">
        <f t="shared" si="71"/>
        <v>0</v>
      </c>
      <c r="AN87" s="67">
        <v>15</v>
      </c>
      <c r="AO87" s="67">
        <f>J87*0.882707298949825</f>
        <v>0</v>
      </c>
      <c r="AP87" s="67">
        <f>J87*(1-0.882707298949825)</f>
        <v>0</v>
      </c>
      <c r="AQ87" s="16" t="s">
        <v>6</v>
      </c>
      <c r="AV87" s="67">
        <f t="shared" si="72"/>
        <v>0</v>
      </c>
      <c r="AW87" s="67">
        <f t="shared" si="73"/>
        <v>0</v>
      </c>
      <c r="AX87" s="67">
        <f t="shared" si="74"/>
        <v>0</v>
      </c>
      <c r="AY87" s="68" t="s">
        <v>964</v>
      </c>
      <c r="AZ87" s="68" t="s">
        <v>989</v>
      </c>
      <c r="BA87" s="12" t="s">
        <v>996</v>
      </c>
      <c r="BC87" s="67">
        <f t="shared" si="75"/>
        <v>0</v>
      </c>
      <c r="BD87" s="67">
        <f t="shared" si="76"/>
        <v>0</v>
      </c>
      <c r="BE87" s="67">
        <v>0</v>
      </c>
      <c r="BF87" s="67">
        <f>87</f>
        <v>87</v>
      </c>
      <c r="BH87" s="10">
        <f t="shared" si="77"/>
        <v>0</v>
      </c>
      <c r="BI87" s="10">
        <f t="shared" si="78"/>
        <v>0</v>
      </c>
      <c r="BJ87" s="10">
        <f t="shared" si="79"/>
        <v>0</v>
      </c>
    </row>
    <row r="88" spans="1:62" ht="12.75">
      <c r="A88" s="3" t="s">
        <v>72</v>
      </c>
      <c r="B88" s="3" t="s">
        <v>272</v>
      </c>
      <c r="C88" s="143" t="s">
        <v>575</v>
      </c>
      <c r="D88" s="144"/>
      <c r="E88" s="144"/>
      <c r="F88" s="144"/>
      <c r="G88" s="144"/>
      <c r="H88" s="3" t="s">
        <v>852</v>
      </c>
      <c r="I88" s="10">
        <v>24.64</v>
      </c>
      <c r="J88" s="59">
        <v>0</v>
      </c>
      <c r="K88" s="10">
        <f t="shared" si="60"/>
        <v>0</v>
      </c>
      <c r="L88" s="16" t="s">
        <v>941</v>
      </c>
      <c r="Z88" s="67">
        <f t="shared" si="61"/>
        <v>0</v>
      </c>
      <c r="AB88" s="67">
        <f t="shared" si="62"/>
        <v>0</v>
      </c>
      <c r="AC88" s="67">
        <f t="shared" si="63"/>
        <v>0</v>
      </c>
      <c r="AD88" s="67">
        <f t="shared" si="64"/>
        <v>0</v>
      </c>
      <c r="AE88" s="67">
        <f t="shared" si="65"/>
        <v>0</v>
      </c>
      <c r="AF88" s="67">
        <f t="shared" si="66"/>
        <v>0</v>
      </c>
      <c r="AG88" s="67">
        <f t="shared" si="67"/>
        <v>0</v>
      </c>
      <c r="AH88" s="67">
        <f t="shared" si="68"/>
        <v>0</v>
      </c>
      <c r="AI88" s="12"/>
      <c r="AJ88" s="10">
        <f t="shared" si="69"/>
        <v>0</v>
      </c>
      <c r="AK88" s="10">
        <f t="shared" si="70"/>
        <v>0</v>
      </c>
      <c r="AL88" s="10">
        <f t="shared" si="71"/>
        <v>0</v>
      </c>
      <c r="AN88" s="67">
        <v>15</v>
      </c>
      <c r="AO88" s="67">
        <f>J88*0.777367398640878</f>
        <v>0</v>
      </c>
      <c r="AP88" s="67">
        <f>J88*(1-0.777367398640878)</f>
        <v>0</v>
      </c>
      <c r="AQ88" s="16" t="s">
        <v>6</v>
      </c>
      <c r="AV88" s="67">
        <f t="shared" si="72"/>
        <v>0</v>
      </c>
      <c r="AW88" s="67">
        <f t="shared" si="73"/>
        <v>0</v>
      </c>
      <c r="AX88" s="67">
        <f t="shared" si="74"/>
        <v>0</v>
      </c>
      <c r="AY88" s="68" t="s">
        <v>964</v>
      </c>
      <c r="AZ88" s="68" t="s">
        <v>989</v>
      </c>
      <c r="BA88" s="12" t="s">
        <v>996</v>
      </c>
      <c r="BC88" s="67">
        <f t="shared" si="75"/>
        <v>0</v>
      </c>
      <c r="BD88" s="67">
        <f t="shared" si="76"/>
        <v>0</v>
      </c>
      <c r="BE88" s="67">
        <v>0</v>
      </c>
      <c r="BF88" s="67">
        <f>88</f>
        <v>88</v>
      </c>
      <c r="BH88" s="10">
        <f t="shared" si="77"/>
        <v>0</v>
      </c>
      <c r="BI88" s="10">
        <f t="shared" si="78"/>
        <v>0</v>
      </c>
      <c r="BJ88" s="10">
        <f t="shared" si="79"/>
        <v>0</v>
      </c>
    </row>
    <row r="89" spans="1:62" ht="12.75">
      <c r="A89" s="3" t="s">
        <v>73</v>
      </c>
      <c r="B89" s="3" t="s">
        <v>273</v>
      </c>
      <c r="C89" s="143" t="s">
        <v>576</v>
      </c>
      <c r="D89" s="144"/>
      <c r="E89" s="144"/>
      <c r="F89" s="144"/>
      <c r="G89" s="144"/>
      <c r="H89" s="3" t="s">
        <v>852</v>
      </c>
      <c r="I89" s="10">
        <v>24.64</v>
      </c>
      <c r="J89" s="59">
        <v>0</v>
      </c>
      <c r="K89" s="10">
        <f t="shared" si="60"/>
        <v>0</v>
      </c>
      <c r="L89" s="16" t="s">
        <v>941</v>
      </c>
      <c r="Z89" s="67">
        <f t="shared" si="61"/>
        <v>0</v>
      </c>
      <c r="AB89" s="67">
        <f t="shared" si="62"/>
        <v>0</v>
      </c>
      <c r="AC89" s="67">
        <f t="shared" si="63"/>
        <v>0</v>
      </c>
      <c r="AD89" s="67">
        <f t="shared" si="64"/>
        <v>0</v>
      </c>
      <c r="AE89" s="67">
        <f t="shared" si="65"/>
        <v>0</v>
      </c>
      <c r="AF89" s="67">
        <f t="shared" si="66"/>
        <v>0</v>
      </c>
      <c r="AG89" s="67">
        <f t="shared" si="67"/>
        <v>0</v>
      </c>
      <c r="AH89" s="67">
        <f t="shared" si="68"/>
        <v>0</v>
      </c>
      <c r="AI89" s="12"/>
      <c r="AJ89" s="10">
        <f t="shared" si="69"/>
        <v>0</v>
      </c>
      <c r="AK89" s="10">
        <f t="shared" si="70"/>
        <v>0</v>
      </c>
      <c r="AL89" s="10">
        <f t="shared" si="71"/>
        <v>0</v>
      </c>
      <c r="AN89" s="67">
        <v>15</v>
      </c>
      <c r="AO89" s="67">
        <f>J89*0.749447090745562</f>
        <v>0</v>
      </c>
      <c r="AP89" s="67">
        <f>J89*(1-0.749447090745562)</f>
        <v>0</v>
      </c>
      <c r="AQ89" s="16" t="s">
        <v>6</v>
      </c>
      <c r="AV89" s="67">
        <f t="shared" si="72"/>
        <v>0</v>
      </c>
      <c r="AW89" s="67">
        <f t="shared" si="73"/>
        <v>0</v>
      </c>
      <c r="AX89" s="67">
        <f t="shared" si="74"/>
        <v>0</v>
      </c>
      <c r="AY89" s="68" t="s">
        <v>964</v>
      </c>
      <c r="AZ89" s="68" t="s">
        <v>989</v>
      </c>
      <c r="BA89" s="12" t="s">
        <v>996</v>
      </c>
      <c r="BC89" s="67">
        <f t="shared" si="75"/>
        <v>0</v>
      </c>
      <c r="BD89" s="67">
        <f t="shared" si="76"/>
        <v>0</v>
      </c>
      <c r="BE89" s="67">
        <v>0</v>
      </c>
      <c r="BF89" s="67">
        <f>89</f>
        <v>89</v>
      </c>
      <c r="BH89" s="10">
        <f t="shared" si="77"/>
        <v>0</v>
      </c>
      <c r="BI89" s="10">
        <f t="shared" si="78"/>
        <v>0</v>
      </c>
      <c r="BJ89" s="10">
        <f t="shared" si="79"/>
        <v>0</v>
      </c>
    </row>
    <row r="90" spans="1:62" ht="12.75">
      <c r="A90" s="3" t="s">
        <v>74</v>
      </c>
      <c r="B90" s="3" t="s">
        <v>274</v>
      </c>
      <c r="C90" s="143" t="s">
        <v>577</v>
      </c>
      <c r="D90" s="144"/>
      <c r="E90" s="144"/>
      <c r="F90" s="144"/>
      <c r="G90" s="144"/>
      <c r="H90" s="3" t="s">
        <v>856</v>
      </c>
      <c r="I90" s="10">
        <v>11</v>
      </c>
      <c r="J90" s="59">
        <v>0</v>
      </c>
      <c r="K90" s="10">
        <f t="shared" si="60"/>
        <v>0</v>
      </c>
      <c r="L90" s="16" t="s">
        <v>941</v>
      </c>
      <c r="Z90" s="67">
        <f t="shared" si="61"/>
        <v>0</v>
      </c>
      <c r="AB90" s="67">
        <f t="shared" si="62"/>
        <v>0</v>
      </c>
      <c r="AC90" s="67">
        <f t="shared" si="63"/>
        <v>0</v>
      </c>
      <c r="AD90" s="67">
        <f t="shared" si="64"/>
        <v>0</v>
      </c>
      <c r="AE90" s="67">
        <f t="shared" si="65"/>
        <v>0</v>
      </c>
      <c r="AF90" s="67">
        <f t="shared" si="66"/>
        <v>0</v>
      </c>
      <c r="AG90" s="67">
        <f t="shared" si="67"/>
        <v>0</v>
      </c>
      <c r="AH90" s="67">
        <f t="shared" si="68"/>
        <v>0</v>
      </c>
      <c r="AI90" s="12"/>
      <c r="AJ90" s="10">
        <f t="shared" si="69"/>
        <v>0</v>
      </c>
      <c r="AK90" s="10">
        <f t="shared" si="70"/>
        <v>0</v>
      </c>
      <c r="AL90" s="10">
        <f t="shared" si="71"/>
        <v>0</v>
      </c>
      <c r="AN90" s="67">
        <v>15</v>
      </c>
      <c r="AO90" s="67">
        <f>J90*0.572582699128344</f>
        <v>0</v>
      </c>
      <c r="AP90" s="67">
        <f>J90*(1-0.572582699128344)</f>
        <v>0</v>
      </c>
      <c r="AQ90" s="16" t="s">
        <v>6</v>
      </c>
      <c r="AV90" s="67">
        <f t="shared" si="72"/>
        <v>0</v>
      </c>
      <c r="AW90" s="67">
        <f t="shared" si="73"/>
        <v>0</v>
      </c>
      <c r="AX90" s="67">
        <f t="shared" si="74"/>
        <v>0</v>
      </c>
      <c r="AY90" s="68" t="s">
        <v>964</v>
      </c>
      <c r="AZ90" s="68" t="s">
        <v>989</v>
      </c>
      <c r="BA90" s="12" t="s">
        <v>996</v>
      </c>
      <c r="BC90" s="67">
        <f t="shared" si="75"/>
        <v>0</v>
      </c>
      <c r="BD90" s="67">
        <f t="shared" si="76"/>
        <v>0</v>
      </c>
      <c r="BE90" s="67">
        <v>0</v>
      </c>
      <c r="BF90" s="67">
        <f>90</f>
        <v>90</v>
      </c>
      <c r="BH90" s="10">
        <f t="shared" si="77"/>
        <v>0</v>
      </c>
      <c r="BI90" s="10">
        <f t="shared" si="78"/>
        <v>0</v>
      </c>
      <c r="BJ90" s="10">
        <f t="shared" si="79"/>
        <v>0</v>
      </c>
    </row>
    <row r="91" spans="1:62" ht="12.75">
      <c r="A91" s="5" t="s">
        <v>75</v>
      </c>
      <c r="B91" s="5" t="s">
        <v>275</v>
      </c>
      <c r="C91" s="147" t="s">
        <v>579</v>
      </c>
      <c r="D91" s="148"/>
      <c r="E91" s="148"/>
      <c r="F91" s="148"/>
      <c r="G91" s="148"/>
      <c r="H91" s="5" t="s">
        <v>854</v>
      </c>
      <c r="I91" s="13">
        <v>11</v>
      </c>
      <c r="J91" s="61">
        <v>0</v>
      </c>
      <c r="K91" s="13">
        <f t="shared" si="60"/>
        <v>0</v>
      </c>
      <c r="L91" s="17" t="s">
        <v>941</v>
      </c>
      <c r="Z91" s="67">
        <f t="shared" si="61"/>
        <v>0</v>
      </c>
      <c r="AB91" s="67">
        <f t="shared" si="62"/>
        <v>0</v>
      </c>
      <c r="AC91" s="67">
        <f t="shared" si="63"/>
        <v>0</v>
      </c>
      <c r="AD91" s="67">
        <f t="shared" si="64"/>
        <v>0</v>
      </c>
      <c r="AE91" s="67">
        <f t="shared" si="65"/>
        <v>0</v>
      </c>
      <c r="AF91" s="67">
        <f t="shared" si="66"/>
        <v>0</v>
      </c>
      <c r="AG91" s="67">
        <f t="shared" si="67"/>
        <v>0</v>
      </c>
      <c r="AH91" s="67">
        <f t="shared" si="68"/>
        <v>0</v>
      </c>
      <c r="AI91" s="12"/>
      <c r="AJ91" s="13">
        <f t="shared" si="69"/>
        <v>0</v>
      </c>
      <c r="AK91" s="13">
        <f t="shared" si="70"/>
        <v>0</v>
      </c>
      <c r="AL91" s="13">
        <f t="shared" si="71"/>
        <v>0</v>
      </c>
      <c r="AN91" s="67">
        <v>15</v>
      </c>
      <c r="AO91" s="67">
        <f>J91*1</f>
        <v>0</v>
      </c>
      <c r="AP91" s="67">
        <f>J91*(1-1)</f>
        <v>0</v>
      </c>
      <c r="AQ91" s="17" t="s">
        <v>6</v>
      </c>
      <c r="AV91" s="67">
        <f t="shared" si="72"/>
        <v>0</v>
      </c>
      <c r="AW91" s="67">
        <f t="shared" si="73"/>
        <v>0</v>
      </c>
      <c r="AX91" s="67">
        <f t="shared" si="74"/>
        <v>0</v>
      </c>
      <c r="AY91" s="68" t="s">
        <v>964</v>
      </c>
      <c r="AZ91" s="68" t="s">
        <v>989</v>
      </c>
      <c r="BA91" s="12" t="s">
        <v>996</v>
      </c>
      <c r="BC91" s="67">
        <f t="shared" si="75"/>
        <v>0</v>
      </c>
      <c r="BD91" s="67">
        <f t="shared" si="76"/>
        <v>0</v>
      </c>
      <c r="BE91" s="67">
        <v>0</v>
      </c>
      <c r="BF91" s="67">
        <f>91</f>
        <v>91</v>
      </c>
      <c r="BH91" s="13">
        <f t="shared" si="77"/>
        <v>0</v>
      </c>
      <c r="BI91" s="13">
        <f t="shared" si="78"/>
        <v>0</v>
      </c>
      <c r="BJ91" s="13">
        <f t="shared" si="79"/>
        <v>0</v>
      </c>
    </row>
    <row r="92" spans="1:47" ht="12.75">
      <c r="A92" s="50"/>
      <c r="B92" s="4" t="s">
        <v>66</v>
      </c>
      <c r="C92" s="145" t="s">
        <v>580</v>
      </c>
      <c r="D92" s="146"/>
      <c r="E92" s="146"/>
      <c r="F92" s="146"/>
      <c r="G92" s="146"/>
      <c r="H92" s="50" t="s">
        <v>927</v>
      </c>
      <c r="I92" s="50" t="s">
        <v>927</v>
      </c>
      <c r="J92" s="60" t="s">
        <v>927</v>
      </c>
      <c r="K92" s="70">
        <f>SUM(K93:K103)</f>
        <v>0</v>
      </c>
      <c r="L92" s="12"/>
      <c r="AI92" s="12"/>
      <c r="AS92" s="70">
        <f>SUM(AJ93:AJ103)</f>
        <v>0</v>
      </c>
      <c r="AT92" s="70">
        <f>SUM(AK93:AK103)</f>
        <v>0</v>
      </c>
      <c r="AU92" s="70">
        <f>SUM(AL93:AL103)</f>
        <v>0</v>
      </c>
    </row>
    <row r="93" spans="1:62" ht="12.75">
      <c r="A93" s="3" t="s">
        <v>76</v>
      </c>
      <c r="B93" s="3" t="s">
        <v>276</v>
      </c>
      <c r="C93" s="143" t="s">
        <v>581</v>
      </c>
      <c r="D93" s="144"/>
      <c r="E93" s="144"/>
      <c r="F93" s="144"/>
      <c r="G93" s="144"/>
      <c r="H93" s="3" t="s">
        <v>852</v>
      </c>
      <c r="I93" s="10">
        <v>122.87</v>
      </c>
      <c r="J93" s="59">
        <v>0</v>
      </c>
      <c r="K93" s="10">
        <f aca="true" t="shared" si="80" ref="K93:K103">I93*J93</f>
        <v>0</v>
      </c>
      <c r="L93" s="16" t="s">
        <v>943</v>
      </c>
      <c r="Z93" s="67">
        <f aca="true" t="shared" si="81" ref="Z93:Z103">IF(AQ93="5",BJ93,0)</f>
        <v>0</v>
      </c>
      <c r="AB93" s="67">
        <f aca="true" t="shared" si="82" ref="AB93:AB103">IF(AQ93="1",BH93,0)</f>
        <v>0</v>
      </c>
      <c r="AC93" s="67">
        <f aca="true" t="shared" si="83" ref="AC93:AC103">IF(AQ93="1",BI93,0)</f>
        <v>0</v>
      </c>
      <c r="AD93" s="67">
        <f aca="true" t="shared" si="84" ref="AD93:AD103">IF(AQ93="7",BH93,0)</f>
        <v>0</v>
      </c>
      <c r="AE93" s="67">
        <f aca="true" t="shared" si="85" ref="AE93:AE103">IF(AQ93="7",BI93,0)</f>
        <v>0</v>
      </c>
      <c r="AF93" s="67">
        <f aca="true" t="shared" si="86" ref="AF93:AF103">IF(AQ93="2",BH93,0)</f>
        <v>0</v>
      </c>
      <c r="AG93" s="67">
        <f aca="true" t="shared" si="87" ref="AG93:AG103">IF(AQ93="2",BI93,0)</f>
        <v>0</v>
      </c>
      <c r="AH93" s="67">
        <f aca="true" t="shared" si="88" ref="AH93:AH103">IF(AQ93="0",BJ93,0)</f>
        <v>0</v>
      </c>
      <c r="AI93" s="12"/>
      <c r="AJ93" s="10">
        <f aca="true" t="shared" si="89" ref="AJ93:AJ103">IF(AN93=0,K93,0)</f>
        <v>0</v>
      </c>
      <c r="AK93" s="10">
        <f aca="true" t="shared" si="90" ref="AK93:AK103">IF(AN93=15,K93,0)</f>
        <v>0</v>
      </c>
      <c r="AL93" s="10">
        <f aca="true" t="shared" si="91" ref="AL93:AL103">IF(AN93=21,K93,0)</f>
        <v>0</v>
      </c>
      <c r="AN93" s="67">
        <v>15</v>
      </c>
      <c r="AO93" s="67">
        <f>J93*0.0654629675935995</f>
        <v>0</v>
      </c>
      <c r="AP93" s="67">
        <f>J93*(1-0.0654629675935995)</f>
        <v>0</v>
      </c>
      <c r="AQ93" s="16" t="s">
        <v>6</v>
      </c>
      <c r="AV93" s="67">
        <f aca="true" t="shared" si="92" ref="AV93:AV103">AW93+AX93</f>
        <v>0</v>
      </c>
      <c r="AW93" s="67">
        <f aca="true" t="shared" si="93" ref="AW93:AW103">I93*AO93</f>
        <v>0</v>
      </c>
      <c r="AX93" s="67">
        <f aca="true" t="shared" si="94" ref="AX93:AX103">I93*AP93</f>
        <v>0</v>
      </c>
      <c r="AY93" s="68" t="s">
        <v>965</v>
      </c>
      <c r="AZ93" s="68" t="s">
        <v>990</v>
      </c>
      <c r="BA93" s="12" t="s">
        <v>996</v>
      </c>
      <c r="BC93" s="67">
        <f aca="true" t="shared" si="95" ref="BC93:BC103">AW93+AX93</f>
        <v>0</v>
      </c>
      <c r="BD93" s="67">
        <f aca="true" t="shared" si="96" ref="BD93:BD103">J93/(100-BE93)*100</f>
        <v>0</v>
      </c>
      <c r="BE93" s="67">
        <v>0</v>
      </c>
      <c r="BF93" s="67">
        <f>93</f>
        <v>93</v>
      </c>
      <c r="BH93" s="10">
        <f aca="true" t="shared" si="97" ref="BH93:BH103">I93*AO93</f>
        <v>0</v>
      </c>
      <c r="BI93" s="10">
        <f aca="true" t="shared" si="98" ref="BI93:BI103">I93*AP93</f>
        <v>0</v>
      </c>
      <c r="BJ93" s="10">
        <f aca="true" t="shared" si="99" ref="BJ93:BJ103">I93*J93</f>
        <v>0</v>
      </c>
    </row>
    <row r="94" spans="1:62" ht="12.75">
      <c r="A94" s="3" t="s">
        <v>77</v>
      </c>
      <c r="B94" s="3" t="s">
        <v>277</v>
      </c>
      <c r="C94" s="143" t="s">
        <v>583</v>
      </c>
      <c r="D94" s="144"/>
      <c r="E94" s="144"/>
      <c r="F94" s="144"/>
      <c r="G94" s="144"/>
      <c r="H94" s="3" t="s">
        <v>852</v>
      </c>
      <c r="I94" s="10">
        <v>122.87</v>
      </c>
      <c r="J94" s="59">
        <v>0</v>
      </c>
      <c r="K94" s="10">
        <f t="shared" si="80"/>
        <v>0</v>
      </c>
      <c r="L94" s="16" t="s">
        <v>941</v>
      </c>
      <c r="Z94" s="67">
        <f t="shared" si="81"/>
        <v>0</v>
      </c>
      <c r="AB94" s="67">
        <f t="shared" si="82"/>
        <v>0</v>
      </c>
      <c r="AC94" s="67">
        <f t="shared" si="83"/>
        <v>0</v>
      </c>
      <c r="AD94" s="67">
        <f t="shared" si="84"/>
        <v>0</v>
      </c>
      <c r="AE94" s="67">
        <f t="shared" si="85"/>
        <v>0</v>
      </c>
      <c r="AF94" s="67">
        <f t="shared" si="86"/>
        <v>0</v>
      </c>
      <c r="AG94" s="67">
        <f t="shared" si="87"/>
        <v>0</v>
      </c>
      <c r="AH94" s="67">
        <f t="shared" si="88"/>
        <v>0</v>
      </c>
      <c r="AI94" s="12"/>
      <c r="AJ94" s="10">
        <f t="shared" si="89"/>
        <v>0</v>
      </c>
      <c r="AK94" s="10">
        <f t="shared" si="90"/>
        <v>0</v>
      </c>
      <c r="AL94" s="10">
        <f t="shared" si="91"/>
        <v>0</v>
      </c>
      <c r="AN94" s="67">
        <v>15</v>
      </c>
      <c r="AO94" s="67">
        <f>J94*0.691871024603355</f>
        <v>0</v>
      </c>
      <c r="AP94" s="67">
        <f>J94*(1-0.691871024603355)</f>
        <v>0</v>
      </c>
      <c r="AQ94" s="16" t="s">
        <v>6</v>
      </c>
      <c r="AV94" s="67">
        <f t="shared" si="92"/>
        <v>0</v>
      </c>
      <c r="AW94" s="67">
        <f t="shared" si="93"/>
        <v>0</v>
      </c>
      <c r="AX94" s="67">
        <f t="shared" si="94"/>
        <v>0</v>
      </c>
      <c r="AY94" s="68" t="s">
        <v>965</v>
      </c>
      <c r="AZ94" s="68" t="s">
        <v>990</v>
      </c>
      <c r="BA94" s="12" t="s">
        <v>996</v>
      </c>
      <c r="BC94" s="67">
        <f t="shared" si="95"/>
        <v>0</v>
      </c>
      <c r="BD94" s="67">
        <f t="shared" si="96"/>
        <v>0</v>
      </c>
      <c r="BE94" s="67">
        <v>0</v>
      </c>
      <c r="BF94" s="67">
        <f>94</f>
        <v>94</v>
      </c>
      <c r="BH94" s="10">
        <f t="shared" si="97"/>
        <v>0</v>
      </c>
      <c r="BI94" s="10">
        <f t="shared" si="98"/>
        <v>0</v>
      </c>
      <c r="BJ94" s="10">
        <f t="shared" si="99"/>
        <v>0</v>
      </c>
    </row>
    <row r="95" spans="1:62" ht="12.75">
      <c r="A95" s="3" t="s">
        <v>78</v>
      </c>
      <c r="B95" s="3" t="s">
        <v>278</v>
      </c>
      <c r="C95" s="143" t="s">
        <v>586</v>
      </c>
      <c r="D95" s="144"/>
      <c r="E95" s="144"/>
      <c r="F95" s="144"/>
      <c r="G95" s="144"/>
      <c r="H95" s="3" t="s">
        <v>852</v>
      </c>
      <c r="I95" s="10">
        <v>802</v>
      </c>
      <c r="J95" s="59">
        <v>0</v>
      </c>
      <c r="K95" s="10">
        <f t="shared" si="80"/>
        <v>0</v>
      </c>
      <c r="L95" s="16" t="s">
        <v>940</v>
      </c>
      <c r="Z95" s="67">
        <f t="shared" si="81"/>
        <v>0</v>
      </c>
      <c r="AB95" s="67">
        <f t="shared" si="82"/>
        <v>0</v>
      </c>
      <c r="AC95" s="67">
        <f t="shared" si="83"/>
        <v>0</v>
      </c>
      <c r="AD95" s="67">
        <f t="shared" si="84"/>
        <v>0</v>
      </c>
      <c r="AE95" s="67">
        <f t="shared" si="85"/>
        <v>0</v>
      </c>
      <c r="AF95" s="67">
        <f t="shared" si="86"/>
        <v>0</v>
      </c>
      <c r="AG95" s="67">
        <f t="shared" si="87"/>
        <v>0</v>
      </c>
      <c r="AH95" s="67">
        <f t="shared" si="88"/>
        <v>0</v>
      </c>
      <c r="AI95" s="12"/>
      <c r="AJ95" s="10">
        <f t="shared" si="89"/>
        <v>0</v>
      </c>
      <c r="AK95" s="10">
        <f t="shared" si="90"/>
        <v>0</v>
      </c>
      <c r="AL95" s="10">
        <f t="shared" si="91"/>
        <v>0</v>
      </c>
      <c r="AN95" s="67">
        <v>15</v>
      </c>
      <c r="AO95" s="67">
        <f>J95*0.263969465648855</f>
        <v>0</v>
      </c>
      <c r="AP95" s="67">
        <f>J95*(1-0.263969465648855)</f>
        <v>0</v>
      </c>
      <c r="AQ95" s="16" t="s">
        <v>6</v>
      </c>
      <c r="AV95" s="67">
        <f t="shared" si="92"/>
        <v>0</v>
      </c>
      <c r="AW95" s="67">
        <f t="shared" si="93"/>
        <v>0</v>
      </c>
      <c r="AX95" s="67">
        <f t="shared" si="94"/>
        <v>0</v>
      </c>
      <c r="AY95" s="68" t="s">
        <v>965</v>
      </c>
      <c r="AZ95" s="68" t="s">
        <v>990</v>
      </c>
      <c r="BA95" s="12" t="s">
        <v>996</v>
      </c>
      <c r="BC95" s="67">
        <f t="shared" si="95"/>
        <v>0</v>
      </c>
      <c r="BD95" s="67">
        <f t="shared" si="96"/>
        <v>0</v>
      </c>
      <c r="BE95" s="67">
        <v>0</v>
      </c>
      <c r="BF95" s="67">
        <f>95</f>
        <v>95</v>
      </c>
      <c r="BH95" s="10">
        <f t="shared" si="97"/>
        <v>0</v>
      </c>
      <c r="BI95" s="10">
        <f t="shared" si="98"/>
        <v>0</v>
      </c>
      <c r="BJ95" s="10">
        <f t="shared" si="99"/>
        <v>0</v>
      </c>
    </row>
    <row r="96" spans="1:62" ht="12.75">
      <c r="A96" s="3" t="s">
        <v>79</v>
      </c>
      <c r="B96" s="3" t="s">
        <v>279</v>
      </c>
      <c r="C96" s="143" t="s">
        <v>588</v>
      </c>
      <c r="D96" s="144"/>
      <c r="E96" s="144"/>
      <c r="F96" s="144"/>
      <c r="G96" s="144"/>
      <c r="H96" s="3" t="s">
        <v>852</v>
      </c>
      <c r="I96" s="10">
        <v>294.68</v>
      </c>
      <c r="J96" s="59">
        <v>0</v>
      </c>
      <c r="K96" s="10">
        <f t="shared" si="80"/>
        <v>0</v>
      </c>
      <c r="L96" s="16" t="s">
        <v>944</v>
      </c>
      <c r="Z96" s="67">
        <f t="shared" si="81"/>
        <v>0</v>
      </c>
      <c r="AB96" s="67">
        <f t="shared" si="82"/>
        <v>0</v>
      </c>
      <c r="AC96" s="67">
        <f t="shared" si="83"/>
        <v>0</v>
      </c>
      <c r="AD96" s="67">
        <f t="shared" si="84"/>
        <v>0</v>
      </c>
      <c r="AE96" s="67">
        <f t="shared" si="85"/>
        <v>0</v>
      </c>
      <c r="AF96" s="67">
        <f t="shared" si="86"/>
        <v>0</v>
      </c>
      <c r="AG96" s="67">
        <f t="shared" si="87"/>
        <v>0</v>
      </c>
      <c r="AH96" s="67">
        <f t="shared" si="88"/>
        <v>0</v>
      </c>
      <c r="AI96" s="12"/>
      <c r="AJ96" s="10">
        <f t="shared" si="89"/>
        <v>0</v>
      </c>
      <c r="AK96" s="10">
        <f t="shared" si="90"/>
        <v>0</v>
      </c>
      <c r="AL96" s="10">
        <f t="shared" si="91"/>
        <v>0</v>
      </c>
      <c r="AN96" s="67">
        <v>15</v>
      </c>
      <c r="AO96" s="67">
        <f>J96*0.145951720925946</f>
        <v>0</v>
      </c>
      <c r="AP96" s="67">
        <f>J96*(1-0.145951720925946)</f>
        <v>0</v>
      </c>
      <c r="AQ96" s="16" t="s">
        <v>6</v>
      </c>
      <c r="AV96" s="67">
        <f t="shared" si="92"/>
        <v>0</v>
      </c>
      <c r="AW96" s="67">
        <f t="shared" si="93"/>
        <v>0</v>
      </c>
      <c r="AX96" s="67">
        <f t="shared" si="94"/>
        <v>0</v>
      </c>
      <c r="AY96" s="68" t="s">
        <v>965</v>
      </c>
      <c r="AZ96" s="68" t="s">
        <v>990</v>
      </c>
      <c r="BA96" s="12" t="s">
        <v>996</v>
      </c>
      <c r="BC96" s="67">
        <f t="shared" si="95"/>
        <v>0</v>
      </c>
      <c r="BD96" s="67">
        <f t="shared" si="96"/>
        <v>0</v>
      </c>
      <c r="BE96" s="67">
        <v>0</v>
      </c>
      <c r="BF96" s="67">
        <f>96</f>
        <v>96</v>
      </c>
      <c r="BH96" s="10">
        <f t="shared" si="97"/>
        <v>0</v>
      </c>
      <c r="BI96" s="10">
        <f t="shared" si="98"/>
        <v>0</v>
      </c>
      <c r="BJ96" s="10">
        <f t="shared" si="99"/>
        <v>0</v>
      </c>
    </row>
    <row r="97" spans="1:62" ht="12.75">
      <c r="A97" s="3" t="s">
        <v>80</v>
      </c>
      <c r="B97" s="3" t="s">
        <v>280</v>
      </c>
      <c r="C97" s="143" t="s">
        <v>593</v>
      </c>
      <c r="D97" s="144"/>
      <c r="E97" s="144"/>
      <c r="F97" s="144"/>
      <c r="G97" s="144"/>
      <c r="H97" s="3" t="s">
        <v>852</v>
      </c>
      <c r="I97" s="10">
        <v>201.42</v>
      </c>
      <c r="J97" s="59">
        <v>0</v>
      </c>
      <c r="K97" s="10">
        <f t="shared" si="80"/>
        <v>0</v>
      </c>
      <c r="L97" s="16" t="s">
        <v>941</v>
      </c>
      <c r="Z97" s="67">
        <f t="shared" si="81"/>
        <v>0</v>
      </c>
      <c r="AB97" s="67">
        <f t="shared" si="82"/>
        <v>0</v>
      </c>
      <c r="AC97" s="67">
        <f t="shared" si="83"/>
        <v>0</v>
      </c>
      <c r="AD97" s="67">
        <f t="shared" si="84"/>
        <v>0</v>
      </c>
      <c r="AE97" s="67">
        <f t="shared" si="85"/>
        <v>0</v>
      </c>
      <c r="AF97" s="67">
        <f t="shared" si="86"/>
        <v>0</v>
      </c>
      <c r="AG97" s="67">
        <f t="shared" si="87"/>
        <v>0</v>
      </c>
      <c r="AH97" s="67">
        <f t="shared" si="88"/>
        <v>0</v>
      </c>
      <c r="AI97" s="12"/>
      <c r="AJ97" s="10">
        <f t="shared" si="89"/>
        <v>0</v>
      </c>
      <c r="AK97" s="10">
        <f t="shared" si="90"/>
        <v>0</v>
      </c>
      <c r="AL97" s="10">
        <f t="shared" si="91"/>
        <v>0</v>
      </c>
      <c r="AN97" s="67">
        <v>15</v>
      </c>
      <c r="AO97" s="67">
        <f>J97*0.141658754985033</f>
        <v>0</v>
      </c>
      <c r="AP97" s="67">
        <f>J97*(1-0.141658754985033)</f>
        <v>0</v>
      </c>
      <c r="AQ97" s="16" t="s">
        <v>6</v>
      </c>
      <c r="AV97" s="67">
        <f t="shared" si="92"/>
        <v>0</v>
      </c>
      <c r="AW97" s="67">
        <f t="shared" si="93"/>
        <v>0</v>
      </c>
      <c r="AX97" s="67">
        <f t="shared" si="94"/>
        <v>0</v>
      </c>
      <c r="AY97" s="68" t="s">
        <v>965</v>
      </c>
      <c r="AZ97" s="68" t="s">
        <v>990</v>
      </c>
      <c r="BA97" s="12" t="s">
        <v>996</v>
      </c>
      <c r="BC97" s="67">
        <f t="shared" si="95"/>
        <v>0</v>
      </c>
      <c r="BD97" s="67">
        <f t="shared" si="96"/>
        <v>0</v>
      </c>
      <c r="BE97" s="67">
        <v>0</v>
      </c>
      <c r="BF97" s="67">
        <f>97</f>
        <v>97</v>
      </c>
      <c r="BH97" s="10">
        <f t="shared" si="97"/>
        <v>0</v>
      </c>
      <c r="BI97" s="10">
        <f t="shared" si="98"/>
        <v>0</v>
      </c>
      <c r="BJ97" s="10">
        <f t="shared" si="99"/>
        <v>0</v>
      </c>
    </row>
    <row r="98" spans="1:62" ht="12.75">
      <c r="A98" s="3" t="s">
        <v>81</v>
      </c>
      <c r="B98" s="3" t="s">
        <v>281</v>
      </c>
      <c r="C98" s="143" t="s">
        <v>597</v>
      </c>
      <c r="D98" s="144"/>
      <c r="E98" s="144"/>
      <c r="F98" s="144"/>
      <c r="G98" s="144"/>
      <c r="H98" s="3" t="s">
        <v>852</v>
      </c>
      <c r="I98" s="10">
        <v>20.16</v>
      </c>
      <c r="J98" s="59">
        <v>0</v>
      </c>
      <c r="K98" s="10">
        <f t="shared" si="80"/>
        <v>0</v>
      </c>
      <c r="L98" s="16" t="s">
        <v>941</v>
      </c>
      <c r="Z98" s="67">
        <f t="shared" si="81"/>
        <v>0</v>
      </c>
      <c r="AB98" s="67">
        <f t="shared" si="82"/>
        <v>0</v>
      </c>
      <c r="AC98" s="67">
        <f t="shared" si="83"/>
        <v>0</v>
      </c>
      <c r="AD98" s="67">
        <f t="shared" si="84"/>
        <v>0</v>
      </c>
      <c r="AE98" s="67">
        <f t="shared" si="85"/>
        <v>0</v>
      </c>
      <c r="AF98" s="67">
        <f t="shared" si="86"/>
        <v>0</v>
      </c>
      <c r="AG98" s="67">
        <f t="shared" si="87"/>
        <v>0</v>
      </c>
      <c r="AH98" s="67">
        <f t="shared" si="88"/>
        <v>0</v>
      </c>
      <c r="AI98" s="12"/>
      <c r="AJ98" s="10">
        <f t="shared" si="89"/>
        <v>0</v>
      </c>
      <c r="AK98" s="10">
        <f t="shared" si="90"/>
        <v>0</v>
      </c>
      <c r="AL98" s="10">
        <f t="shared" si="91"/>
        <v>0</v>
      </c>
      <c r="AN98" s="67">
        <v>15</v>
      </c>
      <c r="AO98" s="67">
        <f>J98*0.288232854592571</f>
        <v>0</v>
      </c>
      <c r="AP98" s="67">
        <f>J98*(1-0.288232854592571)</f>
        <v>0</v>
      </c>
      <c r="AQ98" s="16" t="s">
        <v>6</v>
      </c>
      <c r="AV98" s="67">
        <f t="shared" si="92"/>
        <v>0</v>
      </c>
      <c r="AW98" s="67">
        <f t="shared" si="93"/>
        <v>0</v>
      </c>
      <c r="AX98" s="67">
        <f t="shared" si="94"/>
        <v>0</v>
      </c>
      <c r="AY98" s="68" t="s">
        <v>965</v>
      </c>
      <c r="AZ98" s="68" t="s">
        <v>990</v>
      </c>
      <c r="BA98" s="12" t="s">
        <v>996</v>
      </c>
      <c r="BC98" s="67">
        <f t="shared" si="95"/>
        <v>0</v>
      </c>
      <c r="BD98" s="67">
        <f t="shared" si="96"/>
        <v>0</v>
      </c>
      <c r="BE98" s="67">
        <v>0</v>
      </c>
      <c r="BF98" s="67">
        <f>98</f>
        <v>98</v>
      </c>
      <c r="BH98" s="10">
        <f t="shared" si="97"/>
        <v>0</v>
      </c>
      <c r="BI98" s="10">
        <f t="shared" si="98"/>
        <v>0</v>
      </c>
      <c r="BJ98" s="10">
        <f t="shared" si="99"/>
        <v>0</v>
      </c>
    </row>
    <row r="99" spans="1:62" ht="12.75">
      <c r="A99" s="3" t="s">
        <v>82</v>
      </c>
      <c r="B99" s="3" t="s">
        <v>282</v>
      </c>
      <c r="C99" s="143" t="s">
        <v>599</v>
      </c>
      <c r="D99" s="144"/>
      <c r="E99" s="144"/>
      <c r="F99" s="144"/>
      <c r="G99" s="144"/>
      <c r="H99" s="3" t="s">
        <v>852</v>
      </c>
      <c r="I99" s="10">
        <v>20.16</v>
      </c>
      <c r="J99" s="59">
        <v>0</v>
      </c>
      <c r="K99" s="10">
        <f t="shared" si="80"/>
        <v>0</v>
      </c>
      <c r="L99" s="16" t="s">
        <v>941</v>
      </c>
      <c r="Z99" s="67">
        <f t="shared" si="81"/>
        <v>0</v>
      </c>
      <c r="AB99" s="67">
        <f t="shared" si="82"/>
        <v>0</v>
      </c>
      <c r="AC99" s="67">
        <f t="shared" si="83"/>
        <v>0</v>
      </c>
      <c r="AD99" s="67">
        <f t="shared" si="84"/>
        <v>0</v>
      </c>
      <c r="AE99" s="67">
        <f t="shared" si="85"/>
        <v>0</v>
      </c>
      <c r="AF99" s="67">
        <f t="shared" si="86"/>
        <v>0</v>
      </c>
      <c r="AG99" s="67">
        <f t="shared" si="87"/>
        <v>0</v>
      </c>
      <c r="AH99" s="67">
        <f t="shared" si="88"/>
        <v>0</v>
      </c>
      <c r="AI99" s="12"/>
      <c r="AJ99" s="10">
        <f t="shared" si="89"/>
        <v>0</v>
      </c>
      <c r="AK99" s="10">
        <f t="shared" si="90"/>
        <v>0</v>
      </c>
      <c r="AL99" s="10">
        <f t="shared" si="91"/>
        <v>0</v>
      </c>
      <c r="AN99" s="67">
        <v>15</v>
      </c>
      <c r="AO99" s="67">
        <f>J99*0.295914573758996</f>
        <v>0</v>
      </c>
      <c r="AP99" s="67">
        <f>J99*(1-0.295914573758996)</f>
        <v>0</v>
      </c>
      <c r="AQ99" s="16" t="s">
        <v>6</v>
      </c>
      <c r="AV99" s="67">
        <f t="shared" si="92"/>
        <v>0</v>
      </c>
      <c r="AW99" s="67">
        <f t="shared" si="93"/>
        <v>0</v>
      </c>
      <c r="AX99" s="67">
        <f t="shared" si="94"/>
        <v>0</v>
      </c>
      <c r="AY99" s="68" t="s">
        <v>965</v>
      </c>
      <c r="AZ99" s="68" t="s">
        <v>990</v>
      </c>
      <c r="BA99" s="12" t="s">
        <v>996</v>
      </c>
      <c r="BC99" s="67">
        <f t="shared" si="95"/>
        <v>0</v>
      </c>
      <c r="BD99" s="67">
        <f t="shared" si="96"/>
        <v>0</v>
      </c>
      <c r="BE99" s="67">
        <v>0</v>
      </c>
      <c r="BF99" s="67">
        <f>99</f>
        <v>99</v>
      </c>
      <c r="BH99" s="10">
        <f t="shared" si="97"/>
        <v>0</v>
      </c>
      <c r="BI99" s="10">
        <f t="shared" si="98"/>
        <v>0</v>
      </c>
      <c r="BJ99" s="10">
        <f t="shared" si="99"/>
        <v>0</v>
      </c>
    </row>
    <row r="100" spans="1:62" ht="12.75">
      <c r="A100" s="3" t="s">
        <v>83</v>
      </c>
      <c r="B100" s="3" t="s">
        <v>283</v>
      </c>
      <c r="C100" s="143" t="s">
        <v>601</v>
      </c>
      <c r="D100" s="144"/>
      <c r="E100" s="144"/>
      <c r="F100" s="144"/>
      <c r="G100" s="144"/>
      <c r="H100" s="3" t="s">
        <v>856</v>
      </c>
      <c r="I100" s="10">
        <v>122</v>
      </c>
      <c r="J100" s="59">
        <v>0</v>
      </c>
      <c r="K100" s="10">
        <f t="shared" si="80"/>
        <v>0</v>
      </c>
      <c r="L100" s="16" t="s">
        <v>941</v>
      </c>
      <c r="Z100" s="67">
        <f t="shared" si="81"/>
        <v>0</v>
      </c>
      <c r="AB100" s="67">
        <f t="shared" si="82"/>
        <v>0</v>
      </c>
      <c r="AC100" s="67">
        <f t="shared" si="83"/>
        <v>0</v>
      </c>
      <c r="AD100" s="67">
        <f t="shared" si="84"/>
        <v>0</v>
      </c>
      <c r="AE100" s="67">
        <f t="shared" si="85"/>
        <v>0</v>
      </c>
      <c r="AF100" s="67">
        <f t="shared" si="86"/>
        <v>0</v>
      </c>
      <c r="AG100" s="67">
        <f t="shared" si="87"/>
        <v>0</v>
      </c>
      <c r="AH100" s="67">
        <f t="shared" si="88"/>
        <v>0</v>
      </c>
      <c r="AI100" s="12"/>
      <c r="AJ100" s="10">
        <f t="shared" si="89"/>
        <v>0</v>
      </c>
      <c r="AK100" s="10">
        <f t="shared" si="90"/>
        <v>0</v>
      </c>
      <c r="AL100" s="10">
        <f t="shared" si="91"/>
        <v>0</v>
      </c>
      <c r="AN100" s="67">
        <v>15</v>
      </c>
      <c r="AO100" s="67">
        <f>J100*0.133389030148928</f>
        <v>0</v>
      </c>
      <c r="AP100" s="67">
        <f>J100*(1-0.133389030148928)</f>
        <v>0</v>
      </c>
      <c r="AQ100" s="16" t="s">
        <v>6</v>
      </c>
      <c r="AV100" s="67">
        <f t="shared" si="92"/>
        <v>0</v>
      </c>
      <c r="AW100" s="67">
        <f t="shared" si="93"/>
        <v>0</v>
      </c>
      <c r="AX100" s="67">
        <f t="shared" si="94"/>
        <v>0</v>
      </c>
      <c r="AY100" s="68" t="s">
        <v>965</v>
      </c>
      <c r="AZ100" s="68" t="s">
        <v>990</v>
      </c>
      <c r="BA100" s="12" t="s">
        <v>996</v>
      </c>
      <c r="BC100" s="67">
        <f t="shared" si="95"/>
        <v>0</v>
      </c>
      <c r="BD100" s="67">
        <f t="shared" si="96"/>
        <v>0</v>
      </c>
      <c r="BE100" s="67">
        <v>0</v>
      </c>
      <c r="BF100" s="67">
        <f>100</f>
        <v>100</v>
      </c>
      <c r="BH100" s="10">
        <f t="shared" si="97"/>
        <v>0</v>
      </c>
      <c r="BI100" s="10">
        <f t="shared" si="98"/>
        <v>0</v>
      </c>
      <c r="BJ100" s="10">
        <f t="shared" si="99"/>
        <v>0</v>
      </c>
    </row>
    <row r="101" spans="1:62" ht="12.75">
      <c r="A101" s="3" t="s">
        <v>84</v>
      </c>
      <c r="B101" s="3" t="s">
        <v>284</v>
      </c>
      <c r="C101" s="143" t="s">
        <v>603</v>
      </c>
      <c r="D101" s="144"/>
      <c r="E101" s="144"/>
      <c r="F101" s="144"/>
      <c r="G101" s="144"/>
      <c r="H101" s="3" t="s">
        <v>852</v>
      </c>
      <c r="I101" s="10">
        <v>10.45</v>
      </c>
      <c r="J101" s="59">
        <v>0</v>
      </c>
      <c r="K101" s="10">
        <f t="shared" si="80"/>
        <v>0</v>
      </c>
      <c r="L101" s="16" t="s">
        <v>941</v>
      </c>
      <c r="Z101" s="67">
        <f t="shared" si="81"/>
        <v>0</v>
      </c>
      <c r="AB101" s="67">
        <f t="shared" si="82"/>
        <v>0</v>
      </c>
      <c r="AC101" s="67">
        <f t="shared" si="83"/>
        <v>0</v>
      </c>
      <c r="AD101" s="67">
        <f t="shared" si="84"/>
        <v>0</v>
      </c>
      <c r="AE101" s="67">
        <f t="shared" si="85"/>
        <v>0</v>
      </c>
      <c r="AF101" s="67">
        <f t="shared" si="86"/>
        <v>0</v>
      </c>
      <c r="AG101" s="67">
        <f t="shared" si="87"/>
        <v>0</v>
      </c>
      <c r="AH101" s="67">
        <f t="shared" si="88"/>
        <v>0</v>
      </c>
      <c r="AI101" s="12"/>
      <c r="AJ101" s="10">
        <f t="shared" si="89"/>
        <v>0</v>
      </c>
      <c r="AK101" s="10">
        <f t="shared" si="90"/>
        <v>0</v>
      </c>
      <c r="AL101" s="10">
        <f t="shared" si="91"/>
        <v>0</v>
      </c>
      <c r="AN101" s="67">
        <v>15</v>
      </c>
      <c r="AO101" s="67">
        <f>J101*0.438882013769363</f>
        <v>0</v>
      </c>
      <c r="AP101" s="67">
        <f>J101*(1-0.438882013769363)</f>
        <v>0</v>
      </c>
      <c r="AQ101" s="16" t="s">
        <v>6</v>
      </c>
      <c r="AV101" s="67">
        <f t="shared" si="92"/>
        <v>0</v>
      </c>
      <c r="AW101" s="67">
        <f t="shared" si="93"/>
        <v>0</v>
      </c>
      <c r="AX101" s="67">
        <f t="shared" si="94"/>
        <v>0</v>
      </c>
      <c r="AY101" s="68" t="s">
        <v>965</v>
      </c>
      <c r="AZ101" s="68" t="s">
        <v>990</v>
      </c>
      <c r="BA101" s="12" t="s">
        <v>996</v>
      </c>
      <c r="BC101" s="67">
        <f t="shared" si="95"/>
        <v>0</v>
      </c>
      <c r="BD101" s="67">
        <f t="shared" si="96"/>
        <v>0</v>
      </c>
      <c r="BE101" s="67">
        <v>0</v>
      </c>
      <c r="BF101" s="67">
        <f>101</f>
        <v>101</v>
      </c>
      <c r="BH101" s="10">
        <f t="shared" si="97"/>
        <v>0</v>
      </c>
      <c r="BI101" s="10">
        <f t="shared" si="98"/>
        <v>0</v>
      </c>
      <c r="BJ101" s="10">
        <f t="shared" si="99"/>
        <v>0</v>
      </c>
    </row>
    <row r="102" spans="1:62" ht="12.75">
      <c r="A102" s="3" t="s">
        <v>85</v>
      </c>
      <c r="B102" s="3" t="s">
        <v>285</v>
      </c>
      <c r="C102" s="143" t="s">
        <v>605</v>
      </c>
      <c r="D102" s="144"/>
      <c r="E102" s="144"/>
      <c r="F102" s="144"/>
      <c r="G102" s="144"/>
      <c r="H102" s="3" t="s">
        <v>856</v>
      </c>
      <c r="I102" s="10">
        <v>170.3</v>
      </c>
      <c r="J102" s="59">
        <v>0</v>
      </c>
      <c r="K102" s="10">
        <f t="shared" si="80"/>
        <v>0</v>
      </c>
      <c r="L102" s="16" t="s">
        <v>944</v>
      </c>
      <c r="Z102" s="67">
        <f t="shared" si="81"/>
        <v>0</v>
      </c>
      <c r="AB102" s="67">
        <f t="shared" si="82"/>
        <v>0</v>
      </c>
      <c r="AC102" s="67">
        <f t="shared" si="83"/>
        <v>0</v>
      </c>
      <c r="AD102" s="67">
        <f t="shared" si="84"/>
        <v>0</v>
      </c>
      <c r="AE102" s="67">
        <f t="shared" si="85"/>
        <v>0</v>
      </c>
      <c r="AF102" s="67">
        <f t="shared" si="86"/>
        <v>0</v>
      </c>
      <c r="AG102" s="67">
        <f t="shared" si="87"/>
        <v>0</v>
      </c>
      <c r="AH102" s="67">
        <f t="shared" si="88"/>
        <v>0</v>
      </c>
      <c r="AI102" s="12"/>
      <c r="AJ102" s="10">
        <f t="shared" si="89"/>
        <v>0</v>
      </c>
      <c r="AK102" s="10">
        <f t="shared" si="90"/>
        <v>0</v>
      </c>
      <c r="AL102" s="10">
        <f t="shared" si="91"/>
        <v>0</v>
      </c>
      <c r="AN102" s="67">
        <v>15</v>
      </c>
      <c r="AO102" s="67">
        <f>J102*0.0917259628724318</f>
        <v>0</v>
      </c>
      <c r="AP102" s="67">
        <f>J102*(1-0.0917259628724318)</f>
        <v>0</v>
      </c>
      <c r="AQ102" s="16" t="s">
        <v>6</v>
      </c>
      <c r="AV102" s="67">
        <f t="shared" si="92"/>
        <v>0</v>
      </c>
      <c r="AW102" s="67">
        <f t="shared" si="93"/>
        <v>0</v>
      </c>
      <c r="AX102" s="67">
        <f t="shared" si="94"/>
        <v>0</v>
      </c>
      <c r="AY102" s="68" t="s">
        <v>965</v>
      </c>
      <c r="AZ102" s="68" t="s">
        <v>990</v>
      </c>
      <c r="BA102" s="12" t="s">
        <v>996</v>
      </c>
      <c r="BC102" s="67">
        <f t="shared" si="95"/>
        <v>0</v>
      </c>
      <c r="BD102" s="67">
        <f t="shared" si="96"/>
        <v>0</v>
      </c>
      <c r="BE102" s="67">
        <v>0</v>
      </c>
      <c r="BF102" s="67">
        <f>102</f>
        <v>102</v>
      </c>
      <c r="BH102" s="10">
        <f t="shared" si="97"/>
        <v>0</v>
      </c>
      <c r="BI102" s="10">
        <f t="shared" si="98"/>
        <v>0</v>
      </c>
      <c r="BJ102" s="10">
        <f t="shared" si="99"/>
        <v>0</v>
      </c>
    </row>
    <row r="103" spans="1:62" ht="12.75">
      <c r="A103" s="3" t="s">
        <v>86</v>
      </c>
      <c r="B103" s="3" t="s">
        <v>286</v>
      </c>
      <c r="C103" s="143" t="s">
        <v>607</v>
      </c>
      <c r="D103" s="144"/>
      <c r="E103" s="144"/>
      <c r="F103" s="144"/>
      <c r="G103" s="144"/>
      <c r="H103" s="3" t="s">
        <v>858</v>
      </c>
      <c r="I103" s="10">
        <v>50</v>
      </c>
      <c r="J103" s="59">
        <v>0</v>
      </c>
      <c r="K103" s="10">
        <f t="shared" si="80"/>
        <v>0</v>
      </c>
      <c r="L103" s="16" t="s">
        <v>941</v>
      </c>
      <c r="Z103" s="67">
        <f t="shared" si="81"/>
        <v>0</v>
      </c>
      <c r="AB103" s="67">
        <f t="shared" si="82"/>
        <v>0</v>
      </c>
      <c r="AC103" s="67">
        <f t="shared" si="83"/>
        <v>0</v>
      </c>
      <c r="AD103" s="67">
        <f t="shared" si="84"/>
        <v>0</v>
      </c>
      <c r="AE103" s="67">
        <f t="shared" si="85"/>
        <v>0</v>
      </c>
      <c r="AF103" s="67">
        <f t="shared" si="86"/>
        <v>0</v>
      </c>
      <c r="AG103" s="67">
        <f t="shared" si="87"/>
        <v>0</v>
      </c>
      <c r="AH103" s="67">
        <f t="shared" si="88"/>
        <v>0</v>
      </c>
      <c r="AI103" s="12"/>
      <c r="AJ103" s="10">
        <f t="shared" si="89"/>
        <v>0</v>
      </c>
      <c r="AK103" s="10">
        <f t="shared" si="90"/>
        <v>0</v>
      </c>
      <c r="AL103" s="10">
        <f t="shared" si="91"/>
        <v>0</v>
      </c>
      <c r="AN103" s="67">
        <v>15</v>
      </c>
      <c r="AO103" s="67">
        <f>J103*0</f>
        <v>0</v>
      </c>
      <c r="AP103" s="67">
        <f>J103*(1-0)</f>
        <v>0</v>
      </c>
      <c r="AQ103" s="16" t="s">
        <v>6</v>
      </c>
      <c r="AV103" s="67">
        <f t="shared" si="92"/>
        <v>0</v>
      </c>
      <c r="AW103" s="67">
        <f t="shared" si="93"/>
        <v>0</v>
      </c>
      <c r="AX103" s="67">
        <f t="shared" si="94"/>
        <v>0</v>
      </c>
      <c r="AY103" s="68" t="s">
        <v>965</v>
      </c>
      <c r="AZ103" s="68" t="s">
        <v>990</v>
      </c>
      <c r="BA103" s="12" t="s">
        <v>996</v>
      </c>
      <c r="BC103" s="67">
        <f t="shared" si="95"/>
        <v>0</v>
      </c>
      <c r="BD103" s="67">
        <f t="shared" si="96"/>
        <v>0</v>
      </c>
      <c r="BE103" s="67">
        <v>0</v>
      </c>
      <c r="BF103" s="67">
        <f>103</f>
        <v>103</v>
      </c>
      <c r="BH103" s="10">
        <f t="shared" si="97"/>
        <v>0</v>
      </c>
      <c r="BI103" s="10">
        <f t="shared" si="98"/>
        <v>0</v>
      </c>
      <c r="BJ103" s="10">
        <f t="shared" si="99"/>
        <v>0</v>
      </c>
    </row>
    <row r="104" spans="1:47" ht="12.75">
      <c r="A104" s="50"/>
      <c r="B104" s="4" t="s">
        <v>67</v>
      </c>
      <c r="C104" s="145" t="s">
        <v>609</v>
      </c>
      <c r="D104" s="146"/>
      <c r="E104" s="146"/>
      <c r="F104" s="146"/>
      <c r="G104" s="146"/>
      <c r="H104" s="50" t="s">
        <v>927</v>
      </c>
      <c r="I104" s="50" t="s">
        <v>927</v>
      </c>
      <c r="J104" s="60" t="s">
        <v>927</v>
      </c>
      <c r="K104" s="70">
        <f>SUM(K105:K110)</f>
        <v>0</v>
      </c>
      <c r="L104" s="12"/>
      <c r="AI104" s="12"/>
      <c r="AS104" s="70">
        <f>SUM(AJ105:AJ110)</f>
        <v>0</v>
      </c>
      <c r="AT104" s="70">
        <f>SUM(AK105:AK110)</f>
        <v>0</v>
      </c>
      <c r="AU104" s="70">
        <f>SUM(AL105:AL110)</f>
        <v>0</v>
      </c>
    </row>
    <row r="105" spans="1:62" ht="12.75">
      <c r="A105" s="3" t="s">
        <v>87</v>
      </c>
      <c r="B105" s="3" t="s">
        <v>287</v>
      </c>
      <c r="C105" s="143" t="s">
        <v>610</v>
      </c>
      <c r="D105" s="144"/>
      <c r="E105" s="144"/>
      <c r="F105" s="144"/>
      <c r="G105" s="144"/>
      <c r="H105" s="3" t="s">
        <v>852</v>
      </c>
      <c r="I105" s="10">
        <v>33.35</v>
      </c>
      <c r="J105" s="59">
        <v>0</v>
      </c>
      <c r="K105" s="10">
        <f aca="true" t="shared" si="100" ref="K105:K110">I105*J105</f>
        <v>0</v>
      </c>
      <c r="L105" s="16" t="s">
        <v>941</v>
      </c>
      <c r="Z105" s="67">
        <f aca="true" t="shared" si="101" ref="Z105:Z110">IF(AQ105="5",BJ105,0)</f>
        <v>0</v>
      </c>
      <c r="AB105" s="67">
        <f aca="true" t="shared" si="102" ref="AB105:AB110">IF(AQ105="1",BH105,0)</f>
        <v>0</v>
      </c>
      <c r="AC105" s="67">
        <f aca="true" t="shared" si="103" ref="AC105:AC110">IF(AQ105="1",BI105,0)</f>
        <v>0</v>
      </c>
      <c r="AD105" s="67">
        <f aca="true" t="shared" si="104" ref="AD105:AD110">IF(AQ105="7",BH105,0)</f>
        <v>0</v>
      </c>
      <c r="AE105" s="67">
        <f aca="true" t="shared" si="105" ref="AE105:AE110">IF(AQ105="7",BI105,0)</f>
        <v>0</v>
      </c>
      <c r="AF105" s="67">
        <f aca="true" t="shared" si="106" ref="AF105:AF110">IF(AQ105="2",BH105,0)</f>
        <v>0</v>
      </c>
      <c r="AG105" s="67">
        <f aca="true" t="shared" si="107" ref="AG105:AG110">IF(AQ105="2",BI105,0)</f>
        <v>0</v>
      </c>
      <c r="AH105" s="67">
        <f aca="true" t="shared" si="108" ref="AH105:AH110">IF(AQ105="0",BJ105,0)</f>
        <v>0</v>
      </c>
      <c r="AI105" s="12"/>
      <c r="AJ105" s="10">
        <f aca="true" t="shared" si="109" ref="AJ105:AJ110">IF(AN105=0,K105,0)</f>
        <v>0</v>
      </c>
      <c r="AK105" s="10">
        <f aca="true" t="shared" si="110" ref="AK105:AK110">IF(AN105=15,K105,0)</f>
        <v>0</v>
      </c>
      <c r="AL105" s="10">
        <f aca="true" t="shared" si="111" ref="AL105:AL110">IF(AN105=21,K105,0)</f>
        <v>0</v>
      </c>
      <c r="AN105" s="67">
        <v>15</v>
      </c>
      <c r="AO105" s="67">
        <f>J105*0.059931458910434</f>
        <v>0</v>
      </c>
      <c r="AP105" s="67">
        <f>J105*(1-0.059931458910434)</f>
        <v>0</v>
      </c>
      <c r="AQ105" s="16" t="s">
        <v>6</v>
      </c>
      <c r="AV105" s="67">
        <f aca="true" t="shared" si="112" ref="AV105:AV110">AW105+AX105</f>
        <v>0</v>
      </c>
      <c r="AW105" s="67">
        <f aca="true" t="shared" si="113" ref="AW105:AW110">I105*AO105</f>
        <v>0</v>
      </c>
      <c r="AX105" s="67">
        <f aca="true" t="shared" si="114" ref="AX105:AX110">I105*AP105</f>
        <v>0</v>
      </c>
      <c r="AY105" s="68" t="s">
        <v>966</v>
      </c>
      <c r="AZ105" s="68" t="s">
        <v>990</v>
      </c>
      <c r="BA105" s="12" t="s">
        <v>996</v>
      </c>
      <c r="BC105" s="67">
        <f aca="true" t="shared" si="115" ref="BC105:BC110">AW105+AX105</f>
        <v>0</v>
      </c>
      <c r="BD105" s="67">
        <f aca="true" t="shared" si="116" ref="BD105:BD110">J105/(100-BE105)*100</f>
        <v>0</v>
      </c>
      <c r="BE105" s="67">
        <v>0</v>
      </c>
      <c r="BF105" s="67">
        <f>105</f>
        <v>105</v>
      </c>
      <c r="BH105" s="10">
        <f aca="true" t="shared" si="117" ref="BH105:BH110">I105*AO105</f>
        <v>0</v>
      </c>
      <c r="BI105" s="10">
        <f aca="true" t="shared" si="118" ref="BI105:BI110">I105*AP105</f>
        <v>0</v>
      </c>
      <c r="BJ105" s="10">
        <f aca="true" t="shared" si="119" ref="BJ105:BJ110">I105*J105</f>
        <v>0</v>
      </c>
    </row>
    <row r="106" spans="1:62" ht="12.75">
      <c r="A106" s="3" t="s">
        <v>88</v>
      </c>
      <c r="B106" s="3" t="s">
        <v>288</v>
      </c>
      <c r="C106" s="143" t="s">
        <v>613</v>
      </c>
      <c r="D106" s="144"/>
      <c r="E106" s="144"/>
      <c r="F106" s="144"/>
      <c r="G106" s="144"/>
      <c r="H106" s="3" t="s">
        <v>852</v>
      </c>
      <c r="I106" s="10">
        <v>33.35</v>
      </c>
      <c r="J106" s="59">
        <v>0</v>
      </c>
      <c r="K106" s="10">
        <f t="shared" si="100"/>
        <v>0</v>
      </c>
      <c r="L106" s="16" t="s">
        <v>942</v>
      </c>
      <c r="Z106" s="67">
        <f t="shared" si="101"/>
        <v>0</v>
      </c>
      <c r="AB106" s="67">
        <f t="shared" si="102"/>
        <v>0</v>
      </c>
      <c r="AC106" s="67">
        <f t="shared" si="103"/>
        <v>0</v>
      </c>
      <c r="AD106" s="67">
        <f t="shared" si="104"/>
        <v>0</v>
      </c>
      <c r="AE106" s="67">
        <f t="shared" si="105"/>
        <v>0</v>
      </c>
      <c r="AF106" s="67">
        <f t="shared" si="106"/>
        <v>0</v>
      </c>
      <c r="AG106" s="67">
        <f t="shared" si="107"/>
        <v>0</v>
      </c>
      <c r="AH106" s="67">
        <f t="shared" si="108"/>
        <v>0</v>
      </c>
      <c r="AI106" s="12"/>
      <c r="AJ106" s="10">
        <f t="shared" si="109"/>
        <v>0</v>
      </c>
      <c r="AK106" s="10">
        <f t="shared" si="110"/>
        <v>0</v>
      </c>
      <c r="AL106" s="10">
        <f t="shared" si="111"/>
        <v>0</v>
      </c>
      <c r="AN106" s="67">
        <v>15</v>
      </c>
      <c r="AO106" s="67">
        <f>J106*0.498734991167074</f>
        <v>0</v>
      </c>
      <c r="AP106" s="67">
        <f>J106*(1-0.498734991167074)</f>
        <v>0</v>
      </c>
      <c r="AQ106" s="16" t="s">
        <v>6</v>
      </c>
      <c r="AV106" s="67">
        <f t="shared" si="112"/>
        <v>0</v>
      </c>
      <c r="AW106" s="67">
        <f t="shared" si="113"/>
        <v>0</v>
      </c>
      <c r="AX106" s="67">
        <f t="shared" si="114"/>
        <v>0</v>
      </c>
      <c r="AY106" s="68" t="s">
        <v>966</v>
      </c>
      <c r="AZ106" s="68" t="s">
        <v>990</v>
      </c>
      <c r="BA106" s="12" t="s">
        <v>996</v>
      </c>
      <c r="BC106" s="67">
        <f t="shared" si="115"/>
        <v>0</v>
      </c>
      <c r="BD106" s="67">
        <f t="shared" si="116"/>
        <v>0</v>
      </c>
      <c r="BE106" s="67">
        <v>0</v>
      </c>
      <c r="BF106" s="67">
        <f>106</f>
        <v>106</v>
      </c>
      <c r="BH106" s="10">
        <f t="shared" si="117"/>
        <v>0</v>
      </c>
      <c r="BI106" s="10">
        <f t="shared" si="118"/>
        <v>0</v>
      </c>
      <c r="BJ106" s="10">
        <f t="shared" si="119"/>
        <v>0</v>
      </c>
    </row>
    <row r="107" spans="1:62" ht="12.75">
      <c r="A107" s="3" t="s">
        <v>89</v>
      </c>
      <c r="B107" s="3" t="s">
        <v>289</v>
      </c>
      <c r="C107" s="143" t="s">
        <v>614</v>
      </c>
      <c r="D107" s="144"/>
      <c r="E107" s="144"/>
      <c r="F107" s="144"/>
      <c r="G107" s="144"/>
      <c r="H107" s="3" t="s">
        <v>852</v>
      </c>
      <c r="I107" s="10">
        <v>35.39</v>
      </c>
      <c r="J107" s="59">
        <v>0</v>
      </c>
      <c r="K107" s="10">
        <f t="shared" si="100"/>
        <v>0</v>
      </c>
      <c r="L107" s="16" t="s">
        <v>942</v>
      </c>
      <c r="Z107" s="67">
        <f t="shared" si="101"/>
        <v>0</v>
      </c>
      <c r="AB107" s="67">
        <f t="shared" si="102"/>
        <v>0</v>
      </c>
      <c r="AC107" s="67">
        <f t="shared" si="103"/>
        <v>0</v>
      </c>
      <c r="AD107" s="67">
        <f t="shared" si="104"/>
        <v>0</v>
      </c>
      <c r="AE107" s="67">
        <f t="shared" si="105"/>
        <v>0</v>
      </c>
      <c r="AF107" s="67">
        <f t="shared" si="106"/>
        <v>0</v>
      </c>
      <c r="AG107" s="67">
        <f t="shared" si="107"/>
        <v>0</v>
      </c>
      <c r="AH107" s="67">
        <f t="shared" si="108"/>
        <v>0</v>
      </c>
      <c r="AI107" s="12"/>
      <c r="AJ107" s="10">
        <f t="shared" si="109"/>
        <v>0</v>
      </c>
      <c r="AK107" s="10">
        <f t="shared" si="110"/>
        <v>0</v>
      </c>
      <c r="AL107" s="10">
        <f t="shared" si="111"/>
        <v>0</v>
      </c>
      <c r="AN107" s="67">
        <v>15</v>
      </c>
      <c r="AO107" s="67">
        <f>J107*0.481017797277902</f>
        <v>0</v>
      </c>
      <c r="AP107" s="67">
        <f>J107*(1-0.481017797277902)</f>
        <v>0</v>
      </c>
      <c r="AQ107" s="16" t="s">
        <v>6</v>
      </c>
      <c r="AV107" s="67">
        <f t="shared" si="112"/>
        <v>0</v>
      </c>
      <c r="AW107" s="67">
        <f t="shared" si="113"/>
        <v>0</v>
      </c>
      <c r="AX107" s="67">
        <f t="shared" si="114"/>
        <v>0</v>
      </c>
      <c r="AY107" s="68" t="s">
        <v>966</v>
      </c>
      <c r="AZ107" s="68" t="s">
        <v>990</v>
      </c>
      <c r="BA107" s="12" t="s">
        <v>996</v>
      </c>
      <c r="BC107" s="67">
        <f t="shared" si="115"/>
        <v>0</v>
      </c>
      <c r="BD107" s="67">
        <f t="shared" si="116"/>
        <v>0</v>
      </c>
      <c r="BE107" s="67">
        <v>0</v>
      </c>
      <c r="BF107" s="67">
        <f>107</f>
        <v>107</v>
      </c>
      <c r="BH107" s="10">
        <f t="shared" si="117"/>
        <v>0</v>
      </c>
      <c r="BI107" s="10">
        <f t="shared" si="118"/>
        <v>0</v>
      </c>
      <c r="BJ107" s="10">
        <f t="shared" si="119"/>
        <v>0</v>
      </c>
    </row>
    <row r="108" spans="1:62" ht="12.75">
      <c r="A108" s="3" t="s">
        <v>90</v>
      </c>
      <c r="B108" s="3" t="s">
        <v>290</v>
      </c>
      <c r="C108" s="143" t="s">
        <v>618</v>
      </c>
      <c r="D108" s="144"/>
      <c r="E108" s="144"/>
      <c r="F108" s="144"/>
      <c r="G108" s="144"/>
      <c r="H108" s="3" t="s">
        <v>852</v>
      </c>
      <c r="I108" s="10">
        <v>27.51</v>
      </c>
      <c r="J108" s="59">
        <v>0</v>
      </c>
      <c r="K108" s="10">
        <f t="shared" si="100"/>
        <v>0</v>
      </c>
      <c r="L108" s="16" t="s">
        <v>941</v>
      </c>
      <c r="Z108" s="67">
        <f t="shared" si="101"/>
        <v>0</v>
      </c>
      <c r="AB108" s="67">
        <f t="shared" si="102"/>
        <v>0</v>
      </c>
      <c r="AC108" s="67">
        <f t="shared" si="103"/>
        <v>0</v>
      </c>
      <c r="AD108" s="67">
        <f t="shared" si="104"/>
        <v>0</v>
      </c>
      <c r="AE108" s="67">
        <f t="shared" si="105"/>
        <v>0</v>
      </c>
      <c r="AF108" s="67">
        <f t="shared" si="106"/>
        <v>0</v>
      </c>
      <c r="AG108" s="67">
        <f t="shared" si="107"/>
        <v>0</v>
      </c>
      <c r="AH108" s="67">
        <f t="shared" si="108"/>
        <v>0</v>
      </c>
      <c r="AI108" s="12"/>
      <c r="AJ108" s="10">
        <f t="shared" si="109"/>
        <v>0</v>
      </c>
      <c r="AK108" s="10">
        <f t="shared" si="110"/>
        <v>0</v>
      </c>
      <c r="AL108" s="10">
        <f t="shared" si="111"/>
        <v>0</v>
      </c>
      <c r="AN108" s="67">
        <v>15</v>
      </c>
      <c r="AO108" s="67">
        <f>J108*0.617693879349967</f>
        <v>0</v>
      </c>
      <c r="AP108" s="67">
        <f>J108*(1-0.617693879349967)</f>
        <v>0</v>
      </c>
      <c r="AQ108" s="16" t="s">
        <v>6</v>
      </c>
      <c r="AV108" s="67">
        <f t="shared" si="112"/>
        <v>0</v>
      </c>
      <c r="AW108" s="67">
        <f t="shared" si="113"/>
        <v>0</v>
      </c>
      <c r="AX108" s="67">
        <f t="shared" si="114"/>
        <v>0</v>
      </c>
      <c r="AY108" s="68" t="s">
        <v>966</v>
      </c>
      <c r="AZ108" s="68" t="s">
        <v>990</v>
      </c>
      <c r="BA108" s="12" t="s">
        <v>996</v>
      </c>
      <c r="BC108" s="67">
        <f t="shared" si="115"/>
        <v>0</v>
      </c>
      <c r="BD108" s="67">
        <f t="shared" si="116"/>
        <v>0</v>
      </c>
      <c r="BE108" s="67">
        <v>0</v>
      </c>
      <c r="BF108" s="67">
        <f>108</f>
        <v>108</v>
      </c>
      <c r="BH108" s="10">
        <f t="shared" si="117"/>
        <v>0</v>
      </c>
      <c r="BI108" s="10">
        <f t="shared" si="118"/>
        <v>0</v>
      </c>
      <c r="BJ108" s="10">
        <f t="shared" si="119"/>
        <v>0</v>
      </c>
    </row>
    <row r="109" spans="1:62" ht="12.75">
      <c r="A109" s="5" t="s">
        <v>91</v>
      </c>
      <c r="B109" s="5" t="s">
        <v>291</v>
      </c>
      <c r="C109" s="147" t="s">
        <v>621</v>
      </c>
      <c r="D109" s="148"/>
      <c r="E109" s="148"/>
      <c r="F109" s="148"/>
      <c r="G109" s="148"/>
      <c r="H109" s="5" t="s">
        <v>852</v>
      </c>
      <c r="I109" s="13">
        <v>139.03</v>
      </c>
      <c r="J109" s="61">
        <v>0</v>
      </c>
      <c r="K109" s="13">
        <f t="shared" si="100"/>
        <v>0</v>
      </c>
      <c r="L109" s="17" t="s">
        <v>942</v>
      </c>
      <c r="Z109" s="67">
        <f t="shared" si="101"/>
        <v>0</v>
      </c>
      <c r="AB109" s="67">
        <f t="shared" si="102"/>
        <v>0</v>
      </c>
      <c r="AC109" s="67">
        <f t="shared" si="103"/>
        <v>0</v>
      </c>
      <c r="AD109" s="67">
        <f t="shared" si="104"/>
        <v>0</v>
      </c>
      <c r="AE109" s="67">
        <f t="shared" si="105"/>
        <v>0</v>
      </c>
      <c r="AF109" s="67">
        <f t="shared" si="106"/>
        <v>0</v>
      </c>
      <c r="AG109" s="67">
        <f t="shared" si="107"/>
        <v>0</v>
      </c>
      <c r="AH109" s="67">
        <f t="shared" si="108"/>
        <v>0</v>
      </c>
      <c r="AI109" s="12"/>
      <c r="AJ109" s="13">
        <f t="shared" si="109"/>
        <v>0</v>
      </c>
      <c r="AK109" s="13">
        <f t="shared" si="110"/>
        <v>0</v>
      </c>
      <c r="AL109" s="13">
        <f t="shared" si="111"/>
        <v>0</v>
      </c>
      <c r="AN109" s="67">
        <v>15</v>
      </c>
      <c r="AO109" s="67">
        <f>J109*1</f>
        <v>0</v>
      </c>
      <c r="AP109" s="67">
        <f>J109*(1-1)</f>
        <v>0</v>
      </c>
      <c r="AQ109" s="17" t="s">
        <v>6</v>
      </c>
      <c r="AV109" s="67">
        <f t="shared" si="112"/>
        <v>0</v>
      </c>
      <c r="AW109" s="67">
        <f t="shared" si="113"/>
        <v>0</v>
      </c>
      <c r="AX109" s="67">
        <f t="shared" si="114"/>
        <v>0</v>
      </c>
      <c r="AY109" s="68" t="s">
        <v>966</v>
      </c>
      <c r="AZ109" s="68" t="s">
        <v>990</v>
      </c>
      <c r="BA109" s="12" t="s">
        <v>996</v>
      </c>
      <c r="BC109" s="67">
        <f t="shared" si="115"/>
        <v>0</v>
      </c>
      <c r="BD109" s="67">
        <f t="shared" si="116"/>
        <v>0</v>
      </c>
      <c r="BE109" s="67">
        <v>0</v>
      </c>
      <c r="BF109" s="67">
        <f>109</f>
        <v>109</v>
      </c>
      <c r="BH109" s="13">
        <f t="shared" si="117"/>
        <v>0</v>
      </c>
      <c r="BI109" s="13">
        <f t="shared" si="118"/>
        <v>0</v>
      </c>
      <c r="BJ109" s="13">
        <f t="shared" si="119"/>
        <v>0</v>
      </c>
    </row>
    <row r="110" spans="1:62" ht="12.75">
      <c r="A110" s="3" t="s">
        <v>92</v>
      </c>
      <c r="B110" s="3" t="s">
        <v>292</v>
      </c>
      <c r="C110" s="143" t="s">
        <v>624</v>
      </c>
      <c r="D110" s="144"/>
      <c r="E110" s="144"/>
      <c r="F110" s="144"/>
      <c r="G110" s="144"/>
      <c r="H110" s="3" t="s">
        <v>852</v>
      </c>
      <c r="I110" s="10">
        <v>27.51</v>
      </c>
      <c r="J110" s="59">
        <v>0</v>
      </c>
      <c r="K110" s="10">
        <f t="shared" si="100"/>
        <v>0</v>
      </c>
      <c r="L110" s="16" t="s">
        <v>942</v>
      </c>
      <c r="Z110" s="67">
        <f t="shared" si="101"/>
        <v>0</v>
      </c>
      <c r="AB110" s="67">
        <f t="shared" si="102"/>
        <v>0</v>
      </c>
      <c r="AC110" s="67">
        <f t="shared" si="103"/>
        <v>0</v>
      </c>
      <c r="AD110" s="67">
        <f t="shared" si="104"/>
        <v>0</v>
      </c>
      <c r="AE110" s="67">
        <f t="shared" si="105"/>
        <v>0</v>
      </c>
      <c r="AF110" s="67">
        <f t="shared" si="106"/>
        <v>0</v>
      </c>
      <c r="AG110" s="67">
        <f t="shared" si="107"/>
        <v>0</v>
      </c>
      <c r="AH110" s="67">
        <f t="shared" si="108"/>
        <v>0</v>
      </c>
      <c r="AI110" s="12"/>
      <c r="AJ110" s="10">
        <f t="shared" si="109"/>
        <v>0</v>
      </c>
      <c r="AK110" s="10">
        <f t="shared" si="110"/>
        <v>0</v>
      </c>
      <c r="AL110" s="10">
        <f t="shared" si="111"/>
        <v>0</v>
      </c>
      <c r="AN110" s="67">
        <v>15</v>
      </c>
      <c r="AO110" s="67">
        <f>J110*0.0883402421286031</f>
        <v>0</v>
      </c>
      <c r="AP110" s="67">
        <f>J110*(1-0.0883402421286031)</f>
        <v>0</v>
      </c>
      <c r="AQ110" s="16" t="s">
        <v>6</v>
      </c>
      <c r="AV110" s="67">
        <f t="shared" si="112"/>
        <v>0</v>
      </c>
      <c r="AW110" s="67">
        <f t="shared" si="113"/>
        <v>0</v>
      </c>
      <c r="AX110" s="67">
        <f t="shared" si="114"/>
        <v>0</v>
      </c>
      <c r="AY110" s="68" t="s">
        <v>966</v>
      </c>
      <c r="AZ110" s="68" t="s">
        <v>990</v>
      </c>
      <c r="BA110" s="12" t="s">
        <v>996</v>
      </c>
      <c r="BC110" s="67">
        <f t="shared" si="115"/>
        <v>0</v>
      </c>
      <c r="BD110" s="67">
        <f t="shared" si="116"/>
        <v>0</v>
      </c>
      <c r="BE110" s="67">
        <v>0</v>
      </c>
      <c r="BF110" s="67">
        <f>110</f>
        <v>110</v>
      </c>
      <c r="BH110" s="10">
        <f t="shared" si="117"/>
        <v>0</v>
      </c>
      <c r="BI110" s="10">
        <f t="shared" si="118"/>
        <v>0</v>
      </c>
      <c r="BJ110" s="10">
        <f t="shared" si="119"/>
        <v>0</v>
      </c>
    </row>
    <row r="111" spans="1:47" ht="12.75">
      <c r="A111" s="50"/>
      <c r="B111" s="4" t="s">
        <v>68</v>
      </c>
      <c r="C111" s="145" t="s">
        <v>625</v>
      </c>
      <c r="D111" s="146"/>
      <c r="E111" s="146"/>
      <c r="F111" s="146"/>
      <c r="G111" s="146"/>
      <c r="H111" s="50" t="s">
        <v>927</v>
      </c>
      <c r="I111" s="50" t="s">
        <v>927</v>
      </c>
      <c r="J111" s="60" t="s">
        <v>927</v>
      </c>
      <c r="K111" s="70">
        <f>SUM(K112:K114)</f>
        <v>0</v>
      </c>
      <c r="L111" s="12"/>
      <c r="AI111" s="12"/>
      <c r="AS111" s="70">
        <f>SUM(AJ112:AJ114)</f>
        <v>0</v>
      </c>
      <c r="AT111" s="70">
        <f>SUM(AK112:AK114)</f>
        <v>0</v>
      </c>
      <c r="AU111" s="70">
        <f>SUM(AL112:AL114)</f>
        <v>0</v>
      </c>
    </row>
    <row r="112" spans="1:62" ht="12.75">
      <c r="A112" s="3" t="s">
        <v>93</v>
      </c>
      <c r="B112" s="3" t="s">
        <v>293</v>
      </c>
      <c r="C112" s="143" t="s">
        <v>626</v>
      </c>
      <c r="D112" s="144"/>
      <c r="E112" s="144"/>
      <c r="F112" s="144"/>
      <c r="G112" s="144"/>
      <c r="H112" s="3" t="s">
        <v>852</v>
      </c>
      <c r="I112" s="10">
        <v>192.23</v>
      </c>
      <c r="J112" s="59">
        <v>0</v>
      </c>
      <c r="K112" s="10">
        <f>I112*J112</f>
        <v>0</v>
      </c>
      <c r="L112" s="16" t="s">
        <v>941</v>
      </c>
      <c r="Z112" s="67">
        <f>IF(AQ112="5",BJ112,0)</f>
        <v>0</v>
      </c>
      <c r="AB112" s="67">
        <f>IF(AQ112="1",BH112,0)</f>
        <v>0</v>
      </c>
      <c r="AC112" s="67">
        <f>IF(AQ112="1",BI112,0)</f>
        <v>0</v>
      </c>
      <c r="AD112" s="67">
        <f>IF(AQ112="7",BH112,0)</f>
        <v>0</v>
      </c>
      <c r="AE112" s="67">
        <f>IF(AQ112="7",BI112,0)</f>
        <v>0</v>
      </c>
      <c r="AF112" s="67">
        <f>IF(AQ112="2",BH112,0)</f>
        <v>0</v>
      </c>
      <c r="AG112" s="67">
        <f>IF(AQ112="2",BI112,0)</f>
        <v>0</v>
      </c>
      <c r="AH112" s="67">
        <f>IF(AQ112="0",BJ112,0)</f>
        <v>0</v>
      </c>
      <c r="AI112" s="12"/>
      <c r="AJ112" s="10">
        <f>IF(AN112=0,K112,0)</f>
        <v>0</v>
      </c>
      <c r="AK112" s="10">
        <f>IF(AN112=15,K112,0)</f>
        <v>0</v>
      </c>
      <c r="AL112" s="10">
        <f>IF(AN112=21,K112,0)</f>
        <v>0</v>
      </c>
      <c r="AN112" s="67">
        <v>15</v>
      </c>
      <c r="AO112" s="67">
        <f>J112*0.515645725424688</f>
        <v>0</v>
      </c>
      <c r="AP112" s="67">
        <f>J112*(1-0.515645725424688)</f>
        <v>0</v>
      </c>
      <c r="AQ112" s="16" t="s">
        <v>6</v>
      </c>
      <c r="AV112" s="67">
        <f>AW112+AX112</f>
        <v>0</v>
      </c>
      <c r="AW112" s="67">
        <f>I112*AO112</f>
        <v>0</v>
      </c>
      <c r="AX112" s="67">
        <f>I112*AP112</f>
        <v>0</v>
      </c>
      <c r="AY112" s="68" t="s">
        <v>967</v>
      </c>
      <c r="AZ112" s="68" t="s">
        <v>990</v>
      </c>
      <c r="BA112" s="12" t="s">
        <v>996</v>
      </c>
      <c r="BC112" s="67">
        <f>AW112+AX112</f>
        <v>0</v>
      </c>
      <c r="BD112" s="67">
        <f>J112/(100-BE112)*100</f>
        <v>0</v>
      </c>
      <c r="BE112" s="67">
        <v>0</v>
      </c>
      <c r="BF112" s="67">
        <f>112</f>
        <v>112</v>
      </c>
      <c r="BH112" s="10">
        <f>I112*AO112</f>
        <v>0</v>
      </c>
      <c r="BI112" s="10">
        <f>I112*AP112</f>
        <v>0</v>
      </c>
      <c r="BJ112" s="10">
        <f>I112*J112</f>
        <v>0</v>
      </c>
    </row>
    <row r="113" spans="1:62" ht="12.75">
      <c r="A113" s="72" t="s">
        <v>94</v>
      </c>
      <c r="B113" s="72" t="s">
        <v>294</v>
      </c>
      <c r="C113" s="149" t="s">
        <v>629</v>
      </c>
      <c r="D113" s="144"/>
      <c r="E113" s="144"/>
      <c r="F113" s="144"/>
      <c r="G113" s="150"/>
      <c r="H113" s="72" t="s">
        <v>851</v>
      </c>
      <c r="I113" s="74">
        <v>8.5</v>
      </c>
      <c r="J113" s="75">
        <v>0</v>
      </c>
      <c r="K113" s="74">
        <f>I113*J113</f>
        <v>0</v>
      </c>
      <c r="L113" s="76" t="s">
        <v>941</v>
      </c>
      <c r="Z113" s="67">
        <f>IF(AQ113="5",BJ113,0)</f>
        <v>0</v>
      </c>
      <c r="AB113" s="67">
        <f>IF(AQ113="1",BH113,0)</f>
        <v>0</v>
      </c>
      <c r="AC113" s="67">
        <f>IF(AQ113="1",BI113,0)</f>
        <v>0</v>
      </c>
      <c r="AD113" s="67">
        <f>IF(AQ113="7",BH113,0)</f>
        <v>0</v>
      </c>
      <c r="AE113" s="67">
        <f>IF(AQ113="7",BI113,0)</f>
        <v>0</v>
      </c>
      <c r="AF113" s="67">
        <f>IF(AQ113="2",BH113,0)</f>
        <v>0</v>
      </c>
      <c r="AG113" s="67">
        <f>IF(AQ113="2",BI113,0)</f>
        <v>0</v>
      </c>
      <c r="AH113" s="67">
        <f>IF(AQ113="0",BJ113,0)</f>
        <v>0</v>
      </c>
      <c r="AI113" s="12"/>
      <c r="AJ113" s="10">
        <f>IF(AN113=0,K113,0)</f>
        <v>0</v>
      </c>
      <c r="AK113" s="10">
        <f>IF(AN113=15,K113,0)</f>
        <v>0</v>
      </c>
      <c r="AL113" s="10">
        <f>IF(AN113=21,K113,0)</f>
        <v>0</v>
      </c>
      <c r="AN113" s="67">
        <v>15</v>
      </c>
      <c r="AO113" s="67">
        <f>J113*0.717599801886495</f>
        <v>0</v>
      </c>
      <c r="AP113" s="67">
        <f>J113*(1-0.717599801886495)</f>
        <v>0</v>
      </c>
      <c r="AQ113" s="16" t="s">
        <v>6</v>
      </c>
      <c r="AV113" s="67">
        <f>AW113+AX113</f>
        <v>0</v>
      </c>
      <c r="AW113" s="67">
        <f>I113*AO113</f>
        <v>0</v>
      </c>
      <c r="AX113" s="67">
        <f>I113*AP113</f>
        <v>0</v>
      </c>
      <c r="AY113" s="68" t="s">
        <v>967</v>
      </c>
      <c r="AZ113" s="68" t="s">
        <v>990</v>
      </c>
      <c r="BA113" s="12" t="s">
        <v>996</v>
      </c>
      <c r="BC113" s="67">
        <f>AW113+AX113</f>
        <v>0</v>
      </c>
      <c r="BD113" s="67">
        <f>J113/(100-BE113)*100</f>
        <v>0</v>
      </c>
      <c r="BE113" s="67">
        <v>0</v>
      </c>
      <c r="BF113" s="67">
        <f>113</f>
        <v>113</v>
      </c>
      <c r="BH113" s="10">
        <f>I113*AO113</f>
        <v>0</v>
      </c>
      <c r="BI113" s="10">
        <f>I113*AP113</f>
        <v>0</v>
      </c>
      <c r="BJ113" s="10">
        <f>I113*J113</f>
        <v>0</v>
      </c>
    </row>
    <row r="114" spans="1:62" ht="12.75">
      <c r="A114" s="3" t="s">
        <v>95</v>
      </c>
      <c r="B114" s="3" t="s">
        <v>295</v>
      </c>
      <c r="C114" s="143" t="s">
        <v>631</v>
      </c>
      <c r="D114" s="144"/>
      <c r="E114" s="144"/>
      <c r="F114" s="144"/>
      <c r="G114" s="144"/>
      <c r="H114" s="3" t="s">
        <v>857</v>
      </c>
      <c r="I114" s="10">
        <v>0.32</v>
      </c>
      <c r="J114" s="59">
        <v>0</v>
      </c>
      <c r="K114" s="10">
        <f>I114*J114</f>
        <v>0</v>
      </c>
      <c r="L114" s="16" t="s">
        <v>941</v>
      </c>
      <c r="Z114" s="67">
        <f>IF(AQ114="5",BJ114,0)</f>
        <v>0</v>
      </c>
      <c r="AB114" s="67">
        <f>IF(AQ114="1",BH114,0)</f>
        <v>0</v>
      </c>
      <c r="AC114" s="67">
        <f>IF(AQ114="1",BI114,0)</f>
        <v>0</v>
      </c>
      <c r="AD114" s="67">
        <f>IF(AQ114="7",BH114,0)</f>
        <v>0</v>
      </c>
      <c r="AE114" s="67">
        <f>IF(AQ114="7",BI114,0)</f>
        <v>0</v>
      </c>
      <c r="AF114" s="67">
        <f>IF(AQ114="2",BH114,0)</f>
        <v>0</v>
      </c>
      <c r="AG114" s="67">
        <f>IF(AQ114="2",BI114,0)</f>
        <v>0</v>
      </c>
      <c r="AH114" s="67">
        <f>IF(AQ114="0",BJ114,0)</f>
        <v>0</v>
      </c>
      <c r="AI114" s="12"/>
      <c r="AJ114" s="10">
        <f>IF(AN114=0,K114,0)</f>
        <v>0</v>
      </c>
      <c r="AK114" s="10">
        <f>IF(AN114=15,K114,0)</f>
        <v>0</v>
      </c>
      <c r="AL114" s="10">
        <f>IF(AN114=21,K114,0)</f>
        <v>0</v>
      </c>
      <c r="AN114" s="67">
        <v>15</v>
      </c>
      <c r="AO114" s="67">
        <f>J114*0.80716443946146</f>
        <v>0</v>
      </c>
      <c r="AP114" s="67">
        <f>J114*(1-0.80716443946146)</f>
        <v>0</v>
      </c>
      <c r="AQ114" s="16" t="s">
        <v>6</v>
      </c>
      <c r="AV114" s="67">
        <f>AW114+AX114</f>
        <v>0</v>
      </c>
      <c r="AW114" s="67">
        <f>I114*AO114</f>
        <v>0</v>
      </c>
      <c r="AX114" s="67">
        <f>I114*AP114</f>
        <v>0</v>
      </c>
      <c r="AY114" s="68" t="s">
        <v>967</v>
      </c>
      <c r="AZ114" s="68" t="s">
        <v>990</v>
      </c>
      <c r="BA114" s="12" t="s">
        <v>996</v>
      </c>
      <c r="BC114" s="67">
        <f>AW114+AX114</f>
        <v>0</v>
      </c>
      <c r="BD114" s="67">
        <f>J114/(100-BE114)*100</f>
        <v>0</v>
      </c>
      <c r="BE114" s="67">
        <v>0</v>
      </c>
      <c r="BF114" s="67">
        <f>114</f>
        <v>114</v>
      </c>
      <c r="BH114" s="10">
        <f>I114*AO114</f>
        <v>0</v>
      </c>
      <c r="BI114" s="10">
        <f>I114*AP114</f>
        <v>0</v>
      </c>
      <c r="BJ114" s="10">
        <f>I114*J114</f>
        <v>0</v>
      </c>
    </row>
    <row r="115" spans="1:47" ht="12.75">
      <c r="A115" s="50"/>
      <c r="B115" s="4" t="s">
        <v>296</v>
      </c>
      <c r="C115" s="145" t="s">
        <v>633</v>
      </c>
      <c r="D115" s="146"/>
      <c r="E115" s="146"/>
      <c r="F115" s="146"/>
      <c r="G115" s="146"/>
      <c r="H115" s="50" t="s">
        <v>927</v>
      </c>
      <c r="I115" s="50" t="s">
        <v>927</v>
      </c>
      <c r="J115" s="60" t="s">
        <v>927</v>
      </c>
      <c r="K115" s="70">
        <f>SUM(K116:K127)</f>
        <v>0</v>
      </c>
      <c r="L115" s="12"/>
      <c r="AI115" s="12"/>
      <c r="AS115" s="70">
        <f>SUM(AJ116:AJ127)</f>
        <v>0</v>
      </c>
      <c r="AT115" s="70">
        <f>SUM(AK116:AK127)</f>
        <v>0</v>
      </c>
      <c r="AU115" s="70">
        <f>SUM(AL116:AL127)</f>
        <v>0</v>
      </c>
    </row>
    <row r="116" spans="1:62" ht="12.75">
      <c r="A116" s="3" t="s">
        <v>96</v>
      </c>
      <c r="B116" s="3" t="s">
        <v>297</v>
      </c>
      <c r="C116" s="143" t="s">
        <v>634</v>
      </c>
      <c r="D116" s="144"/>
      <c r="E116" s="144"/>
      <c r="F116" s="144"/>
      <c r="G116" s="144"/>
      <c r="H116" s="3" t="s">
        <v>852</v>
      </c>
      <c r="I116" s="10">
        <v>85.1</v>
      </c>
      <c r="J116" s="59">
        <v>0</v>
      </c>
      <c r="K116" s="10">
        <f aca="true" t="shared" si="120" ref="K116:K127">I116*J116</f>
        <v>0</v>
      </c>
      <c r="L116" s="16" t="s">
        <v>941</v>
      </c>
      <c r="Z116" s="67">
        <f aca="true" t="shared" si="121" ref="Z116:Z127">IF(AQ116="5",BJ116,0)</f>
        <v>0</v>
      </c>
      <c r="AB116" s="67">
        <f aca="true" t="shared" si="122" ref="AB116:AB127">IF(AQ116="1",BH116,0)</f>
        <v>0</v>
      </c>
      <c r="AC116" s="67">
        <f aca="true" t="shared" si="123" ref="AC116:AC127">IF(AQ116="1",BI116,0)</f>
        <v>0</v>
      </c>
      <c r="AD116" s="67">
        <f aca="true" t="shared" si="124" ref="AD116:AD127">IF(AQ116="7",BH116,0)</f>
        <v>0</v>
      </c>
      <c r="AE116" s="67">
        <f aca="true" t="shared" si="125" ref="AE116:AE127">IF(AQ116="7",BI116,0)</f>
        <v>0</v>
      </c>
      <c r="AF116" s="67">
        <f aca="true" t="shared" si="126" ref="AF116:AF127">IF(AQ116="2",BH116,0)</f>
        <v>0</v>
      </c>
      <c r="AG116" s="67">
        <f aca="true" t="shared" si="127" ref="AG116:AG127">IF(AQ116="2",BI116,0)</f>
        <v>0</v>
      </c>
      <c r="AH116" s="67">
        <f aca="true" t="shared" si="128" ref="AH116:AH127">IF(AQ116="0",BJ116,0)</f>
        <v>0</v>
      </c>
      <c r="AI116" s="12"/>
      <c r="AJ116" s="10">
        <f aca="true" t="shared" si="129" ref="AJ116:AJ127">IF(AN116=0,K116,0)</f>
        <v>0</v>
      </c>
      <c r="AK116" s="10">
        <f aca="true" t="shared" si="130" ref="AK116:AK127">IF(AN116=15,K116,0)</f>
        <v>0</v>
      </c>
      <c r="AL116" s="10">
        <f aca="true" t="shared" si="131" ref="AL116:AL127">IF(AN116=21,K116,0)</f>
        <v>0</v>
      </c>
      <c r="AN116" s="67">
        <v>15</v>
      </c>
      <c r="AO116" s="67">
        <f>J116*0.566280403075678</f>
        <v>0</v>
      </c>
      <c r="AP116" s="67">
        <f>J116*(1-0.566280403075678)</f>
        <v>0</v>
      </c>
      <c r="AQ116" s="16" t="s">
        <v>12</v>
      </c>
      <c r="AV116" s="67">
        <f aca="true" t="shared" si="132" ref="AV116:AV127">AW116+AX116</f>
        <v>0</v>
      </c>
      <c r="AW116" s="67">
        <f aca="true" t="shared" si="133" ref="AW116:AW127">I116*AO116</f>
        <v>0</v>
      </c>
      <c r="AX116" s="67">
        <f aca="true" t="shared" si="134" ref="AX116:AX127">I116*AP116</f>
        <v>0</v>
      </c>
      <c r="AY116" s="68" t="s">
        <v>968</v>
      </c>
      <c r="AZ116" s="68" t="s">
        <v>991</v>
      </c>
      <c r="BA116" s="12" t="s">
        <v>996</v>
      </c>
      <c r="BC116" s="67">
        <f aca="true" t="shared" si="135" ref="BC116:BC127">AW116+AX116</f>
        <v>0</v>
      </c>
      <c r="BD116" s="67">
        <f aca="true" t="shared" si="136" ref="BD116:BD127">J116/(100-BE116)*100</f>
        <v>0</v>
      </c>
      <c r="BE116" s="67">
        <v>0</v>
      </c>
      <c r="BF116" s="67">
        <f>116</f>
        <v>116</v>
      </c>
      <c r="BH116" s="10">
        <f aca="true" t="shared" si="137" ref="BH116:BH127">I116*AO116</f>
        <v>0</v>
      </c>
      <c r="BI116" s="10">
        <f aca="true" t="shared" si="138" ref="BI116:BI127">I116*AP116</f>
        <v>0</v>
      </c>
      <c r="BJ116" s="10">
        <f aca="true" t="shared" si="139" ref="BJ116:BJ127">I116*J116</f>
        <v>0</v>
      </c>
    </row>
    <row r="117" spans="1:62" ht="12.75">
      <c r="A117" s="3" t="s">
        <v>97</v>
      </c>
      <c r="B117" s="3" t="s">
        <v>298</v>
      </c>
      <c r="C117" s="143" t="s">
        <v>636</v>
      </c>
      <c r="D117" s="144"/>
      <c r="E117" s="144"/>
      <c r="F117" s="144"/>
      <c r="G117" s="144"/>
      <c r="H117" s="3" t="s">
        <v>852</v>
      </c>
      <c r="I117" s="10">
        <v>7.38</v>
      </c>
      <c r="J117" s="59">
        <v>0</v>
      </c>
      <c r="K117" s="10">
        <f t="shared" si="120"/>
        <v>0</v>
      </c>
      <c r="L117" s="16" t="s">
        <v>941</v>
      </c>
      <c r="Z117" s="67">
        <f t="shared" si="121"/>
        <v>0</v>
      </c>
      <c r="AB117" s="67">
        <f t="shared" si="122"/>
        <v>0</v>
      </c>
      <c r="AC117" s="67">
        <f t="shared" si="123"/>
        <v>0</v>
      </c>
      <c r="AD117" s="67">
        <f t="shared" si="124"/>
        <v>0</v>
      </c>
      <c r="AE117" s="67">
        <f t="shared" si="125"/>
        <v>0</v>
      </c>
      <c r="AF117" s="67">
        <f t="shared" si="126"/>
        <v>0</v>
      </c>
      <c r="AG117" s="67">
        <f t="shared" si="127"/>
        <v>0</v>
      </c>
      <c r="AH117" s="67">
        <f t="shared" si="128"/>
        <v>0</v>
      </c>
      <c r="AI117" s="12"/>
      <c r="AJ117" s="10">
        <f t="shared" si="129"/>
        <v>0</v>
      </c>
      <c r="AK117" s="10">
        <f t="shared" si="130"/>
        <v>0</v>
      </c>
      <c r="AL117" s="10">
        <f t="shared" si="131"/>
        <v>0</v>
      </c>
      <c r="AN117" s="67">
        <v>15</v>
      </c>
      <c r="AO117" s="67">
        <f>J117*0.494999977639752</f>
        <v>0</v>
      </c>
      <c r="AP117" s="67">
        <f>J117*(1-0.494999977639752)</f>
        <v>0</v>
      </c>
      <c r="AQ117" s="16" t="s">
        <v>12</v>
      </c>
      <c r="AV117" s="67">
        <f t="shared" si="132"/>
        <v>0</v>
      </c>
      <c r="AW117" s="67">
        <f t="shared" si="133"/>
        <v>0</v>
      </c>
      <c r="AX117" s="67">
        <f t="shared" si="134"/>
        <v>0</v>
      </c>
      <c r="AY117" s="68" t="s">
        <v>968</v>
      </c>
      <c r="AZ117" s="68" t="s">
        <v>991</v>
      </c>
      <c r="BA117" s="12" t="s">
        <v>996</v>
      </c>
      <c r="BC117" s="67">
        <f t="shared" si="135"/>
        <v>0</v>
      </c>
      <c r="BD117" s="67">
        <f t="shared" si="136"/>
        <v>0</v>
      </c>
      <c r="BE117" s="67">
        <v>0</v>
      </c>
      <c r="BF117" s="67">
        <f>117</f>
        <v>117</v>
      </c>
      <c r="BH117" s="10">
        <f t="shared" si="137"/>
        <v>0</v>
      </c>
      <c r="BI117" s="10">
        <f t="shared" si="138"/>
        <v>0</v>
      </c>
      <c r="BJ117" s="10">
        <f t="shared" si="139"/>
        <v>0</v>
      </c>
    </row>
    <row r="118" spans="1:62" ht="12.75">
      <c r="A118" s="3" t="s">
        <v>98</v>
      </c>
      <c r="B118" s="3" t="s">
        <v>299</v>
      </c>
      <c r="C118" s="143" t="s">
        <v>638</v>
      </c>
      <c r="D118" s="144"/>
      <c r="E118" s="144"/>
      <c r="F118" s="144"/>
      <c r="G118" s="144"/>
      <c r="H118" s="3" t="s">
        <v>852</v>
      </c>
      <c r="I118" s="10">
        <v>85.1</v>
      </c>
      <c r="J118" s="59">
        <v>0</v>
      </c>
      <c r="K118" s="10">
        <f t="shared" si="120"/>
        <v>0</v>
      </c>
      <c r="L118" s="16" t="s">
        <v>941</v>
      </c>
      <c r="Z118" s="67">
        <f t="shared" si="121"/>
        <v>0</v>
      </c>
      <c r="AB118" s="67">
        <f t="shared" si="122"/>
        <v>0</v>
      </c>
      <c r="AC118" s="67">
        <f t="shared" si="123"/>
        <v>0</v>
      </c>
      <c r="AD118" s="67">
        <f t="shared" si="124"/>
        <v>0</v>
      </c>
      <c r="AE118" s="67">
        <f t="shared" si="125"/>
        <v>0</v>
      </c>
      <c r="AF118" s="67">
        <f t="shared" si="126"/>
        <v>0</v>
      </c>
      <c r="AG118" s="67">
        <f t="shared" si="127"/>
        <v>0</v>
      </c>
      <c r="AH118" s="67">
        <f t="shared" si="128"/>
        <v>0</v>
      </c>
      <c r="AI118" s="12"/>
      <c r="AJ118" s="10">
        <f t="shared" si="129"/>
        <v>0</v>
      </c>
      <c r="AK118" s="10">
        <f t="shared" si="130"/>
        <v>0</v>
      </c>
      <c r="AL118" s="10">
        <f t="shared" si="131"/>
        <v>0</v>
      </c>
      <c r="AN118" s="67">
        <v>15</v>
      </c>
      <c r="AO118" s="67">
        <f>J118*0.0692054120214037</f>
        <v>0</v>
      </c>
      <c r="AP118" s="67">
        <f>J118*(1-0.0692054120214037)</f>
        <v>0</v>
      </c>
      <c r="AQ118" s="16" t="s">
        <v>12</v>
      </c>
      <c r="AV118" s="67">
        <f t="shared" si="132"/>
        <v>0</v>
      </c>
      <c r="AW118" s="67">
        <f t="shared" si="133"/>
        <v>0</v>
      </c>
      <c r="AX118" s="67">
        <f t="shared" si="134"/>
        <v>0</v>
      </c>
      <c r="AY118" s="68" t="s">
        <v>968</v>
      </c>
      <c r="AZ118" s="68" t="s">
        <v>991</v>
      </c>
      <c r="BA118" s="12" t="s">
        <v>996</v>
      </c>
      <c r="BC118" s="67">
        <f t="shared" si="135"/>
        <v>0</v>
      </c>
      <c r="BD118" s="67">
        <f t="shared" si="136"/>
        <v>0</v>
      </c>
      <c r="BE118" s="67">
        <v>0</v>
      </c>
      <c r="BF118" s="67">
        <f>118</f>
        <v>118</v>
      </c>
      <c r="BH118" s="10">
        <f t="shared" si="137"/>
        <v>0</v>
      </c>
      <c r="BI118" s="10">
        <f t="shared" si="138"/>
        <v>0</v>
      </c>
      <c r="BJ118" s="10">
        <f t="shared" si="139"/>
        <v>0</v>
      </c>
    </row>
    <row r="119" spans="1:62" ht="12.75">
      <c r="A119" s="3" t="s">
        <v>99</v>
      </c>
      <c r="B119" s="3" t="s">
        <v>300</v>
      </c>
      <c r="C119" s="143" t="s">
        <v>639</v>
      </c>
      <c r="D119" s="144"/>
      <c r="E119" s="144"/>
      <c r="F119" s="144"/>
      <c r="G119" s="144"/>
      <c r="H119" s="3" t="s">
        <v>852</v>
      </c>
      <c r="I119" s="10">
        <v>7.38</v>
      </c>
      <c r="J119" s="59">
        <v>0</v>
      </c>
      <c r="K119" s="10">
        <f t="shared" si="120"/>
        <v>0</v>
      </c>
      <c r="L119" s="16" t="s">
        <v>941</v>
      </c>
      <c r="Z119" s="67">
        <f t="shared" si="121"/>
        <v>0</v>
      </c>
      <c r="AB119" s="67">
        <f t="shared" si="122"/>
        <v>0</v>
      </c>
      <c r="AC119" s="67">
        <f t="shared" si="123"/>
        <v>0</v>
      </c>
      <c r="AD119" s="67">
        <f t="shared" si="124"/>
        <v>0</v>
      </c>
      <c r="AE119" s="67">
        <f t="shared" si="125"/>
        <v>0</v>
      </c>
      <c r="AF119" s="67">
        <f t="shared" si="126"/>
        <v>0</v>
      </c>
      <c r="AG119" s="67">
        <f t="shared" si="127"/>
        <v>0</v>
      </c>
      <c r="AH119" s="67">
        <f t="shared" si="128"/>
        <v>0</v>
      </c>
      <c r="AI119" s="12"/>
      <c r="AJ119" s="10">
        <f t="shared" si="129"/>
        <v>0</v>
      </c>
      <c r="AK119" s="10">
        <f t="shared" si="130"/>
        <v>0</v>
      </c>
      <c r="AL119" s="10">
        <f t="shared" si="131"/>
        <v>0</v>
      </c>
      <c r="AN119" s="67">
        <v>15</v>
      </c>
      <c r="AO119" s="67">
        <f>J119*0.0752727995869902</f>
        <v>0</v>
      </c>
      <c r="AP119" s="67">
        <f>J119*(1-0.0752727995869902)</f>
        <v>0</v>
      </c>
      <c r="AQ119" s="16" t="s">
        <v>12</v>
      </c>
      <c r="AV119" s="67">
        <f t="shared" si="132"/>
        <v>0</v>
      </c>
      <c r="AW119" s="67">
        <f t="shared" si="133"/>
        <v>0</v>
      </c>
      <c r="AX119" s="67">
        <f t="shared" si="134"/>
        <v>0</v>
      </c>
      <c r="AY119" s="68" t="s">
        <v>968</v>
      </c>
      <c r="AZ119" s="68" t="s">
        <v>991</v>
      </c>
      <c r="BA119" s="12" t="s">
        <v>996</v>
      </c>
      <c r="BC119" s="67">
        <f t="shared" si="135"/>
        <v>0</v>
      </c>
      <c r="BD119" s="67">
        <f t="shared" si="136"/>
        <v>0</v>
      </c>
      <c r="BE119" s="67">
        <v>0</v>
      </c>
      <c r="BF119" s="67">
        <f>119</f>
        <v>119</v>
      </c>
      <c r="BH119" s="10">
        <f t="shared" si="137"/>
        <v>0</v>
      </c>
      <c r="BI119" s="10">
        <f t="shared" si="138"/>
        <v>0</v>
      </c>
      <c r="BJ119" s="10">
        <f t="shared" si="139"/>
        <v>0</v>
      </c>
    </row>
    <row r="120" spans="1:62" ht="12.75">
      <c r="A120" s="5" t="s">
        <v>100</v>
      </c>
      <c r="B120" s="5" t="s">
        <v>301</v>
      </c>
      <c r="C120" s="147" t="s">
        <v>1015</v>
      </c>
      <c r="D120" s="148"/>
      <c r="E120" s="148"/>
      <c r="F120" s="148"/>
      <c r="G120" s="148"/>
      <c r="H120" s="5" t="s">
        <v>852</v>
      </c>
      <c r="I120" s="13">
        <v>101.73</v>
      </c>
      <c r="J120" s="61">
        <v>0</v>
      </c>
      <c r="K120" s="13">
        <f t="shared" si="120"/>
        <v>0</v>
      </c>
      <c r="L120" s="17" t="s">
        <v>941</v>
      </c>
      <c r="Z120" s="67">
        <f t="shared" si="121"/>
        <v>0</v>
      </c>
      <c r="AB120" s="67">
        <f t="shared" si="122"/>
        <v>0</v>
      </c>
      <c r="AC120" s="67">
        <f t="shared" si="123"/>
        <v>0</v>
      </c>
      <c r="AD120" s="67">
        <f t="shared" si="124"/>
        <v>0</v>
      </c>
      <c r="AE120" s="67">
        <f t="shared" si="125"/>
        <v>0</v>
      </c>
      <c r="AF120" s="67">
        <f t="shared" si="126"/>
        <v>0</v>
      </c>
      <c r="AG120" s="67">
        <f t="shared" si="127"/>
        <v>0</v>
      </c>
      <c r="AH120" s="67">
        <f t="shared" si="128"/>
        <v>0</v>
      </c>
      <c r="AI120" s="12"/>
      <c r="AJ120" s="13">
        <f t="shared" si="129"/>
        <v>0</v>
      </c>
      <c r="AK120" s="13">
        <f t="shared" si="130"/>
        <v>0</v>
      </c>
      <c r="AL120" s="13">
        <f t="shared" si="131"/>
        <v>0</v>
      </c>
      <c r="AN120" s="67">
        <v>15</v>
      </c>
      <c r="AO120" s="67">
        <f>J120*1</f>
        <v>0</v>
      </c>
      <c r="AP120" s="67">
        <f>J120*(1-1)</f>
        <v>0</v>
      </c>
      <c r="AQ120" s="17" t="s">
        <v>12</v>
      </c>
      <c r="AV120" s="67">
        <f t="shared" si="132"/>
        <v>0</v>
      </c>
      <c r="AW120" s="67">
        <f t="shared" si="133"/>
        <v>0</v>
      </c>
      <c r="AX120" s="67">
        <f t="shared" si="134"/>
        <v>0</v>
      </c>
      <c r="AY120" s="68" t="s">
        <v>968</v>
      </c>
      <c r="AZ120" s="68" t="s">
        <v>991</v>
      </c>
      <c r="BA120" s="12" t="s">
        <v>996</v>
      </c>
      <c r="BC120" s="67">
        <f t="shared" si="135"/>
        <v>0</v>
      </c>
      <c r="BD120" s="67">
        <f t="shared" si="136"/>
        <v>0</v>
      </c>
      <c r="BE120" s="67">
        <v>0</v>
      </c>
      <c r="BF120" s="67">
        <f>120</f>
        <v>120</v>
      </c>
      <c r="BH120" s="13">
        <f t="shared" si="137"/>
        <v>0</v>
      </c>
      <c r="BI120" s="13">
        <f t="shared" si="138"/>
        <v>0</v>
      </c>
      <c r="BJ120" s="13">
        <f t="shared" si="139"/>
        <v>0</v>
      </c>
    </row>
    <row r="121" spans="1:62" ht="12.75">
      <c r="A121" s="5" t="s">
        <v>101</v>
      </c>
      <c r="B121" s="5" t="s">
        <v>302</v>
      </c>
      <c r="C121" s="147" t="s">
        <v>1016</v>
      </c>
      <c r="D121" s="148"/>
      <c r="E121" s="148"/>
      <c r="F121" s="148"/>
      <c r="G121" s="148"/>
      <c r="H121" s="5" t="s">
        <v>852</v>
      </c>
      <c r="I121" s="13">
        <v>101.73</v>
      </c>
      <c r="J121" s="61">
        <v>0</v>
      </c>
      <c r="K121" s="13">
        <f t="shared" si="120"/>
        <v>0</v>
      </c>
      <c r="L121" s="17" t="s">
        <v>941</v>
      </c>
      <c r="Z121" s="67">
        <f t="shared" si="121"/>
        <v>0</v>
      </c>
      <c r="AB121" s="67">
        <f t="shared" si="122"/>
        <v>0</v>
      </c>
      <c r="AC121" s="67">
        <f t="shared" si="123"/>
        <v>0</v>
      </c>
      <c r="AD121" s="67">
        <f t="shared" si="124"/>
        <v>0</v>
      </c>
      <c r="AE121" s="67">
        <f t="shared" si="125"/>
        <v>0</v>
      </c>
      <c r="AF121" s="67">
        <f t="shared" si="126"/>
        <v>0</v>
      </c>
      <c r="AG121" s="67">
        <f t="shared" si="127"/>
        <v>0</v>
      </c>
      <c r="AH121" s="67">
        <f t="shared" si="128"/>
        <v>0</v>
      </c>
      <c r="AI121" s="12"/>
      <c r="AJ121" s="13">
        <f t="shared" si="129"/>
        <v>0</v>
      </c>
      <c r="AK121" s="13">
        <f t="shared" si="130"/>
        <v>0</v>
      </c>
      <c r="AL121" s="13">
        <f t="shared" si="131"/>
        <v>0</v>
      </c>
      <c r="AN121" s="67">
        <v>15</v>
      </c>
      <c r="AO121" s="67">
        <f>J121*1</f>
        <v>0</v>
      </c>
      <c r="AP121" s="67">
        <f>J121*(1-1)</f>
        <v>0</v>
      </c>
      <c r="AQ121" s="17" t="s">
        <v>12</v>
      </c>
      <c r="AV121" s="67">
        <f t="shared" si="132"/>
        <v>0</v>
      </c>
      <c r="AW121" s="67">
        <f t="shared" si="133"/>
        <v>0</v>
      </c>
      <c r="AX121" s="67">
        <f t="shared" si="134"/>
        <v>0</v>
      </c>
      <c r="AY121" s="68" t="s">
        <v>968</v>
      </c>
      <c r="AZ121" s="68" t="s">
        <v>991</v>
      </c>
      <c r="BA121" s="12" t="s">
        <v>996</v>
      </c>
      <c r="BC121" s="67">
        <f t="shared" si="135"/>
        <v>0</v>
      </c>
      <c r="BD121" s="67">
        <f t="shared" si="136"/>
        <v>0</v>
      </c>
      <c r="BE121" s="67">
        <v>0</v>
      </c>
      <c r="BF121" s="67">
        <f>121</f>
        <v>121</v>
      </c>
      <c r="BH121" s="13">
        <f t="shared" si="137"/>
        <v>0</v>
      </c>
      <c r="BI121" s="13">
        <f t="shared" si="138"/>
        <v>0</v>
      </c>
      <c r="BJ121" s="13">
        <f t="shared" si="139"/>
        <v>0</v>
      </c>
    </row>
    <row r="122" spans="1:62" ht="12.75">
      <c r="A122" s="3" t="s">
        <v>102</v>
      </c>
      <c r="B122" s="3" t="s">
        <v>303</v>
      </c>
      <c r="C122" s="143" t="s">
        <v>643</v>
      </c>
      <c r="D122" s="144"/>
      <c r="E122" s="144"/>
      <c r="F122" s="144"/>
      <c r="G122" s="144"/>
      <c r="H122" s="3" t="s">
        <v>852</v>
      </c>
      <c r="I122" s="10">
        <v>35.39</v>
      </c>
      <c r="J122" s="59">
        <v>0</v>
      </c>
      <c r="K122" s="10">
        <f t="shared" si="120"/>
        <v>0</v>
      </c>
      <c r="L122" s="16" t="s">
        <v>942</v>
      </c>
      <c r="Z122" s="67">
        <f t="shared" si="121"/>
        <v>0</v>
      </c>
      <c r="AB122" s="67">
        <f t="shared" si="122"/>
        <v>0</v>
      </c>
      <c r="AC122" s="67">
        <f t="shared" si="123"/>
        <v>0</v>
      </c>
      <c r="AD122" s="67">
        <f t="shared" si="124"/>
        <v>0</v>
      </c>
      <c r="AE122" s="67">
        <f t="shared" si="125"/>
        <v>0</v>
      </c>
      <c r="AF122" s="67">
        <f t="shared" si="126"/>
        <v>0</v>
      </c>
      <c r="AG122" s="67">
        <f t="shared" si="127"/>
        <v>0</v>
      </c>
      <c r="AH122" s="67">
        <f t="shared" si="128"/>
        <v>0</v>
      </c>
      <c r="AI122" s="12"/>
      <c r="AJ122" s="10">
        <f t="shared" si="129"/>
        <v>0</v>
      </c>
      <c r="AK122" s="10">
        <f t="shared" si="130"/>
        <v>0</v>
      </c>
      <c r="AL122" s="10">
        <f t="shared" si="131"/>
        <v>0</v>
      </c>
      <c r="AN122" s="67">
        <v>15</v>
      </c>
      <c r="AO122" s="67">
        <f>J122*0.57941103896231</f>
        <v>0</v>
      </c>
      <c r="AP122" s="67">
        <f>J122*(1-0.57941103896231)</f>
        <v>0</v>
      </c>
      <c r="AQ122" s="16" t="s">
        <v>12</v>
      </c>
      <c r="AV122" s="67">
        <f t="shared" si="132"/>
        <v>0</v>
      </c>
      <c r="AW122" s="67">
        <f t="shared" si="133"/>
        <v>0</v>
      </c>
      <c r="AX122" s="67">
        <f t="shared" si="134"/>
        <v>0</v>
      </c>
      <c r="AY122" s="68" t="s">
        <v>968</v>
      </c>
      <c r="AZ122" s="68" t="s">
        <v>991</v>
      </c>
      <c r="BA122" s="12" t="s">
        <v>996</v>
      </c>
      <c r="BC122" s="67">
        <f t="shared" si="135"/>
        <v>0</v>
      </c>
      <c r="BD122" s="67">
        <f t="shared" si="136"/>
        <v>0</v>
      </c>
      <c r="BE122" s="67">
        <v>0</v>
      </c>
      <c r="BF122" s="67">
        <f>122</f>
        <v>122</v>
      </c>
      <c r="BH122" s="10">
        <f t="shared" si="137"/>
        <v>0</v>
      </c>
      <c r="BI122" s="10">
        <f t="shared" si="138"/>
        <v>0</v>
      </c>
      <c r="BJ122" s="10">
        <f t="shared" si="139"/>
        <v>0</v>
      </c>
    </row>
    <row r="123" spans="1:62" ht="12.75">
      <c r="A123" s="3" t="s">
        <v>103</v>
      </c>
      <c r="B123" s="3" t="s">
        <v>304</v>
      </c>
      <c r="C123" s="143" t="s">
        <v>647</v>
      </c>
      <c r="D123" s="144"/>
      <c r="E123" s="144"/>
      <c r="F123" s="144"/>
      <c r="G123" s="144"/>
      <c r="H123" s="3" t="s">
        <v>852</v>
      </c>
      <c r="I123" s="10">
        <v>30.45</v>
      </c>
      <c r="J123" s="59">
        <v>0</v>
      </c>
      <c r="K123" s="10">
        <f t="shared" si="120"/>
        <v>0</v>
      </c>
      <c r="L123" s="16" t="s">
        <v>944</v>
      </c>
      <c r="Z123" s="67">
        <f t="shared" si="121"/>
        <v>0</v>
      </c>
      <c r="AB123" s="67">
        <f t="shared" si="122"/>
        <v>0</v>
      </c>
      <c r="AC123" s="67">
        <f t="shared" si="123"/>
        <v>0</v>
      </c>
      <c r="AD123" s="67">
        <f t="shared" si="124"/>
        <v>0</v>
      </c>
      <c r="AE123" s="67">
        <f t="shared" si="125"/>
        <v>0</v>
      </c>
      <c r="AF123" s="67">
        <f t="shared" si="126"/>
        <v>0</v>
      </c>
      <c r="AG123" s="67">
        <f t="shared" si="127"/>
        <v>0</v>
      </c>
      <c r="AH123" s="67">
        <f t="shared" si="128"/>
        <v>0</v>
      </c>
      <c r="AI123" s="12"/>
      <c r="AJ123" s="10">
        <f t="shared" si="129"/>
        <v>0</v>
      </c>
      <c r="AK123" s="10">
        <f t="shared" si="130"/>
        <v>0</v>
      </c>
      <c r="AL123" s="10">
        <f t="shared" si="131"/>
        <v>0</v>
      </c>
      <c r="AN123" s="67">
        <v>15</v>
      </c>
      <c r="AO123" s="67">
        <f>J123*0.628875295156082</f>
        <v>0</v>
      </c>
      <c r="AP123" s="67">
        <f>J123*(1-0.628875295156082)</f>
        <v>0</v>
      </c>
      <c r="AQ123" s="16" t="s">
        <v>12</v>
      </c>
      <c r="AV123" s="67">
        <f t="shared" si="132"/>
        <v>0</v>
      </c>
      <c r="AW123" s="67">
        <f t="shared" si="133"/>
        <v>0</v>
      </c>
      <c r="AX123" s="67">
        <f t="shared" si="134"/>
        <v>0</v>
      </c>
      <c r="AY123" s="68" t="s">
        <v>968</v>
      </c>
      <c r="AZ123" s="68" t="s">
        <v>991</v>
      </c>
      <c r="BA123" s="12" t="s">
        <v>996</v>
      </c>
      <c r="BC123" s="67">
        <f t="shared" si="135"/>
        <v>0</v>
      </c>
      <c r="BD123" s="67">
        <f t="shared" si="136"/>
        <v>0</v>
      </c>
      <c r="BE123" s="67">
        <v>0</v>
      </c>
      <c r="BF123" s="67">
        <f>123</f>
        <v>123</v>
      </c>
      <c r="BH123" s="10">
        <f t="shared" si="137"/>
        <v>0</v>
      </c>
      <c r="BI123" s="10">
        <f t="shared" si="138"/>
        <v>0</v>
      </c>
      <c r="BJ123" s="10">
        <f t="shared" si="139"/>
        <v>0</v>
      </c>
    </row>
    <row r="124" spans="1:62" ht="12.75">
      <c r="A124" s="3" t="s">
        <v>104</v>
      </c>
      <c r="B124" s="3" t="s">
        <v>305</v>
      </c>
      <c r="C124" s="143" t="s">
        <v>649</v>
      </c>
      <c r="D124" s="144"/>
      <c r="E124" s="144"/>
      <c r="F124" s="144"/>
      <c r="G124" s="144"/>
      <c r="H124" s="3" t="s">
        <v>852</v>
      </c>
      <c r="I124" s="10">
        <v>35.39</v>
      </c>
      <c r="J124" s="59">
        <v>0</v>
      </c>
      <c r="K124" s="10">
        <f t="shared" si="120"/>
        <v>0</v>
      </c>
      <c r="L124" s="16" t="s">
        <v>944</v>
      </c>
      <c r="Z124" s="67">
        <f t="shared" si="121"/>
        <v>0</v>
      </c>
      <c r="AB124" s="67">
        <f t="shared" si="122"/>
        <v>0</v>
      </c>
      <c r="AC124" s="67">
        <f t="shared" si="123"/>
        <v>0</v>
      </c>
      <c r="AD124" s="67">
        <f t="shared" si="124"/>
        <v>0</v>
      </c>
      <c r="AE124" s="67">
        <f t="shared" si="125"/>
        <v>0</v>
      </c>
      <c r="AF124" s="67">
        <f t="shared" si="126"/>
        <v>0</v>
      </c>
      <c r="AG124" s="67">
        <f t="shared" si="127"/>
        <v>0</v>
      </c>
      <c r="AH124" s="67">
        <f t="shared" si="128"/>
        <v>0</v>
      </c>
      <c r="AI124" s="12"/>
      <c r="AJ124" s="10">
        <f t="shared" si="129"/>
        <v>0</v>
      </c>
      <c r="AK124" s="10">
        <f t="shared" si="130"/>
        <v>0</v>
      </c>
      <c r="AL124" s="10">
        <f t="shared" si="131"/>
        <v>0</v>
      </c>
      <c r="AN124" s="67">
        <v>15</v>
      </c>
      <c r="AO124" s="67">
        <f>J124*0.628855262946578</f>
        <v>0</v>
      </c>
      <c r="AP124" s="67">
        <f>J124*(1-0.628855262946578)</f>
        <v>0</v>
      </c>
      <c r="AQ124" s="16" t="s">
        <v>12</v>
      </c>
      <c r="AV124" s="67">
        <f t="shared" si="132"/>
        <v>0</v>
      </c>
      <c r="AW124" s="67">
        <f t="shared" si="133"/>
        <v>0</v>
      </c>
      <c r="AX124" s="67">
        <f t="shared" si="134"/>
        <v>0</v>
      </c>
      <c r="AY124" s="68" t="s">
        <v>968</v>
      </c>
      <c r="AZ124" s="68" t="s">
        <v>991</v>
      </c>
      <c r="BA124" s="12" t="s">
        <v>996</v>
      </c>
      <c r="BC124" s="67">
        <f t="shared" si="135"/>
        <v>0</v>
      </c>
      <c r="BD124" s="67">
        <f t="shared" si="136"/>
        <v>0</v>
      </c>
      <c r="BE124" s="67">
        <v>0</v>
      </c>
      <c r="BF124" s="67">
        <f>124</f>
        <v>124</v>
      </c>
      <c r="BH124" s="10">
        <f t="shared" si="137"/>
        <v>0</v>
      </c>
      <c r="BI124" s="10">
        <f t="shared" si="138"/>
        <v>0</v>
      </c>
      <c r="BJ124" s="10">
        <f t="shared" si="139"/>
        <v>0</v>
      </c>
    </row>
    <row r="125" spans="1:62" ht="12.75">
      <c r="A125" s="3" t="s">
        <v>105</v>
      </c>
      <c r="B125" s="3" t="s">
        <v>306</v>
      </c>
      <c r="C125" s="143" t="s">
        <v>651</v>
      </c>
      <c r="D125" s="144"/>
      <c r="E125" s="144"/>
      <c r="F125" s="144"/>
      <c r="G125" s="144"/>
      <c r="H125" s="3" t="s">
        <v>852</v>
      </c>
      <c r="I125" s="10">
        <v>26.1</v>
      </c>
      <c r="J125" s="59">
        <v>0</v>
      </c>
      <c r="K125" s="10">
        <f t="shared" si="120"/>
        <v>0</v>
      </c>
      <c r="L125" s="16" t="s">
        <v>940</v>
      </c>
      <c r="Z125" s="67">
        <f t="shared" si="121"/>
        <v>0</v>
      </c>
      <c r="AB125" s="67">
        <f t="shared" si="122"/>
        <v>0</v>
      </c>
      <c r="AC125" s="67">
        <f t="shared" si="123"/>
        <v>0</v>
      </c>
      <c r="AD125" s="67">
        <f t="shared" si="124"/>
        <v>0</v>
      </c>
      <c r="AE125" s="67">
        <f t="shared" si="125"/>
        <v>0</v>
      </c>
      <c r="AF125" s="67">
        <f t="shared" si="126"/>
        <v>0</v>
      </c>
      <c r="AG125" s="67">
        <f t="shared" si="127"/>
        <v>0</v>
      </c>
      <c r="AH125" s="67">
        <f t="shared" si="128"/>
        <v>0</v>
      </c>
      <c r="AI125" s="12"/>
      <c r="AJ125" s="10">
        <f t="shared" si="129"/>
        <v>0</v>
      </c>
      <c r="AK125" s="10">
        <f t="shared" si="130"/>
        <v>0</v>
      </c>
      <c r="AL125" s="10">
        <f t="shared" si="131"/>
        <v>0</v>
      </c>
      <c r="AN125" s="67">
        <v>15</v>
      </c>
      <c r="AO125" s="67">
        <f>J125*0.149942147442474</f>
        <v>0</v>
      </c>
      <c r="AP125" s="67">
        <f>J125*(1-0.149942147442474)</f>
        <v>0</v>
      </c>
      <c r="AQ125" s="16" t="s">
        <v>12</v>
      </c>
      <c r="AV125" s="67">
        <f t="shared" si="132"/>
        <v>0</v>
      </c>
      <c r="AW125" s="67">
        <f t="shared" si="133"/>
        <v>0</v>
      </c>
      <c r="AX125" s="67">
        <f t="shared" si="134"/>
        <v>0</v>
      </c>
      <c r="AY125" s="68" t="s">
        <v>968</v>
      </c>
      <c r="AZ125" s="68" t="s">
        <v>991</v>
      </c>
      <c r="BA125" s="12" t="s">
        <v>996</v>
      </c>
      <c r="BC125" s="67">
        <f t="shared" si="135"/>
        <v>0</v>
      </c>
      <c r="BD125" s="67">
        <f t="shared" si="136"/>
        <v>0</v>
      </c>
      <c r="BE125" s="67">
        <v>0</v>
      </c>
      <c r="BF125" s="67">
        <f>125</f>
        <v>125</v>
      </c>
      <c r="BH125" s="10">
        <f t="shared" si="137"/>
        <v>0</v>
      </c>
      <c r="BI125" s="10">
        <f t="shared" si="138"/>
        <v>0</v>
      </c>
      <c r="BJ125" s="10">
        <f t="shared" si="139"/>
        <v>0</v>
      </c>
    </row>
    <row r="126" spans="1:62" ht="12.75">
      <c r="A126" s="3" t="s">
        <v>106</v>
      </c>
      <c r="B126" s="3" t="s">
        <v>307</v>
      </c>
      <c r="C126" s="143" t="s">
        <v>654</v>
      </c>
      <c r="D126" s="144"/>
      <c r="E126" s="144"/>
      <c r="F126" s="144"/>
      <c r="G126" s="144"/>
      <c r="H126" s="3" t="s">
        <v>852</v>
      </c>
      <c r="I126" s="10">
        <v>26.1</v>
      </c>
      <c r="J126" s="59">
        <v>0</v>
      </c>
      <c r="K126" s="10">
        <f t="shared" si="120"/>
        <v>0</v>
      </c>
      <c r="L126" s="16" t="s">
        <v>941</v>
      </c>
      <c r="Z126" s="67">
        <f t="shared" si="121"/>
        <v>0</v>
      </c>
      <c r="AB126" s="67">
        <f t="shared" si="122"/>
        <v>0</v>
      </c>
      <c r="AC126" s="67">
        <f t="shared" si="123"/>
        <v>0</v>
      </c>
      <c r="AD126" s="67">
        <f t="shared" si="124"/>
        <v>0</v>
      </c>
      <c r="AE126" s="67">
        <f t="shared" si="125"/>
        <v>0</v>
      </c>
      <c r="AF126" s="67">
        <f t="shared" si="126"/>
        <v>0</v>
      </c>
      <c r="AG126" s="67">
        <f t="shared" si="127"/>
        <v>0</v>
      </c>
      <c r="AH126" s="67">
        <f t="shared" si="128"/>
        <v>0</v>
      </c>
      <c r="AI126" s="12"/>
      <c r="AJ126" s="10">
        <f t="shared" si="129"/>
        <v>0</v>
      </c>
      <c r="AK126" s="10">
        <f t="shared" si="130"/>
        <v>0</v>
      </c>
      <c r="AL126" s="10">
        <f t="shared" si="131"/>
        <v>0</v>
      </c>
      <c r="AN126" s="67">
        <v>15</v>
      </c>
      <c r="AO126" s="67">
        <f>J126*0.329226142180095</f>
        <v>0</v>
      </c>
      <c r="AP126" s="67">
        <f>J126*(1-0.329226142180095)</f>
        <v>0</v>
      </c>
      <c r="AQ126" s="16" t="s">
        <v>12</v>
      </c>
      <c r="AV126" s="67">
        <f t="shared" si="132"/>
        <v>0</v>
      </c>
      <c r="AW126" s="67">
        <f t="shared" si="133"/>
        <v>0</v>
      </c>
      <c r="AX126" s="67">
        <f t="shared" si="134"/>
        <v>0</v>
      </c>
      <c r="AY126" s="68" t="s">
        <v>968</v>
      </c>
      <c r="AZ126" s="68" t="s">
        <v>991</v>
      </c>
      <c r="BA126" s="12" t="s">
        <v>996</v>
      </c>
      <c r="BC126" s="67">
        <f t="shared" si="135"/>
        <v>0</v>
      </c>
      <c r="BD126" s="67">
        <f t="shared" si="136"/>
        <v>0</v>
      </c>
      <c r="BE126" s="67">
        <v>0</v>
      </c>
      <c r="BF126" s="67">
        <f>126</f>
        <v>126</v>
      </c>
      <c r="BH126" s="10">
        <f t="shared" si="137"/>
        <v>0</v>
      </c>
      <c r="BI126" s="10">
        <f t="shared" si="138"/>
        <v>0</v>
      </c>
      <c r="BJ126" s="10">
        <f t="shared" si="139"/>
        <v>0</v>
      </c>
    </row>
    <row r="127" spans="1:62" ht="12.75">
      <c r="A127" s="3" t="s">
        <v>107</v>
      </c>
      <c r="B127" s="3" t="s">
        <v>308</v>
      </c>
      <c r="C127" s="143" t="s">
        <v>656</v>
      </c>
      <c r="D127" s="144"/>
      <c r="E127" s="144"/>
      <c r="F127" s="144"/>
      <c r="G127" s="144"/>
      <c r="H127" s="3" t="s">
        <v>859</v>
      </c>
      <c r="I127" s="10">
        <v>1169.04</v>
      </c>
      <c r="J127" s="59">
        <v>0</v>
      </c>
      <c r="K127" s="10">
        <f t="shared" si="120"/>
        <v>0</v>
      </c>
      <c r="L127" s="16" t="s">
        <v>941</v>
      </c>
      <c r="Z127" s="67">
        <f t="shared" si="121"/>
        <v>0</v>
      </c>
      <c r="AB127" s="67">
        <f t="shared" si="122"/>
        <v>0</v>
      </c>
      <c r="AC127" s="67">
        <f t="shared" si="123"/>
        <v>0</v>
      </c>
      <c r="AD127" s="67">
        <f t="shared" si="124"/>
        <v>0</v>
      </c>
      <c r="AE127" s="67">
        <f t="shared" si="125"/>
        <v>0</v>
      </c>
      <c r="AF127" s="67">
        <f t="shared" si="126"/>
        <v>0</v>
      </c>
      <c r="AG127" s="67">
        <f t="shared" si="127"/>
        <v>0</v>
      </c>
      <c r="AH127" s="67">
        <f t="shared" si="128"/>
        <v>0</v>
      </c>
      <c r="AI127" s="12"/>
      <c r="AJ127" s="10">
        <f t="shared" si="129"/>
        <v>0</v>
      </c>
      <c r="AK127" s="10">
        <f t="shared" si="130"/>
        <v>0</v>
      </c>
      <c r="AL127" s="10">
        <f t="shared" si="131"/>
        <v>0</v>
      </c>
      <c r="AN127" s="67">
        <v>15</v>
      </c>
      <c r="AO127" s="67">
        <f>J127*0</f>
        <v>0</v>
      </c>
      <c r="AP127" s="67">
        <f>J127*(1-0)</f>
        <v>0</v>
      </c>
      <c r="AQ127" s="16" t="s">
        <v>10</v>
      </c>
      <c r="AV127" s="67">
        <f t="shared" si="132"/>
        <v>0</v>
      </c>
      <c r="AW127" s="67">
        <f t="shared" si="133"/>
        <v>0</v>
      </c>
      <c r="AX127" s="67">
        <f t="shared" si="134"/>
        <v>0</v>
      </c>
      <c r="AY127" s="68" t="s">
        <v>968</v>
      </c>
      <c r="AZ127" s="68" t="s">
        <v>991</v>
      </c>
      <c r="BA127" s="12" t="s">
        <v>996</v>
      </c>
      <c r="BC127" s="67">
        <f t="shared" si="135"/>
        <v>0</v>
      </c>
      <c r="BD127" s="67">
        <f t="shared" si="136"/>
        <v>0</v>
      </c>
      <c r="BE127" s="67">
        <v>0</v>
      </c>
      <c r="BF127" s="67">
        <f>127</f>
        <v>127</v>
      </c>
      <c r="BH127" s="10">
        <f t="shared" si="137"/>
        <v>0</v>
      </c>
      <c r="BI127" s="10">
        <f t="shared" si="138"/>
        <v>0</v>
      </c>
      <c r="BJ127" s="10">
        <f t="shared" si="139"/>
        <v>0</v>
      </c>
    </row>
    <row r="128" spans="1:47" ht="12.75">
      <c r="A128" s="50"/>
      <c r="B128" s="4" t="s">
        <v>309</v>
      </c>
      <c r="C128" s="145" t="s">
        <v>658</v>
      </c>
      <c r="D128" s="146"/>
      <c r="E128" s="146"/>
      <c r="F128" s="146"/>
      <c r="G128" s="146"/>
      <c r="H128" s="50" t="s">
        <v>927</v>
      </c>
      <c r="I128" s="50" t="s">
        <v>927</v>
      </c>
      <c r="J128" s="60" t="s">
        <v>927</v>
      </c>
      <c r="K128" s="70">
        <f>SUM(K129:K143)</f>
        <v>0</v>
      </c>
      <c r="L128" s="12"/>
      <c r="AI128" s="12"/>
      <c r="AS128" s="70">
        <f>SUM(AJ129:AJ143)</f>
        <v>0</v>
      </c>
      <c r="AT128" s="70">
        <f>SUM(AK129:AK143)</f>
        <v>0</v>
      </c>
      <c r="AU128" s="70">
        <f>SUM(AL129:AL143)</f>
        <v>0</v>
      </c>
    </row>
    <row r="129" spans="1:62" ht="12.75">
      <c r="A129" s="3" t="s">
        <v>108</v>
      </c>
      <c r="B129" s="3" t="s">
        <v>310</v>
      </c>
      <c r="C129" s="143" t="s">
        <v>659</v>
      </c>
      <c r="D129" s="144"/>
      <c r="E129" s="144"/>
      <c r="F129" s="144"/>
      <c r="G129" s="144"/>
      <c r="H129" s="3" t="s">
        <v>852</v>
      </c>
      <c r="I129" s="10">
        <v>19.94</v>
      </c>
      <c r="J129" s="59">
        <v>0</v>
      </c>
      <c r="K129" s="10">
        <f aca="true" t="shared" si="140" ref="K129:K143">I129*J129</f>
        <v>0</v>
      </c>
      <c r="L129" s="16" t="s">
        <v>941</v>
      </c>
      <c r="Z129" s="67">
        <f aca="true" t="shared" si="141" ref="Z129:Z143">IF(AQ129="5",BJ129,0)</f>
        <v>0</v>
      </c>
      <c r="AB129" s="67">
        <f aca="true" t="shared" si="142" ref="AB129:AB143">IF(AQ129="1",BH129,0)</f>
        <v>0</v>
      </c>
      <c r="AC129" s="67">
        <f aca="true" t="shared" si="143" ref="AC129:AC143">IF(AQ129="1",BI129,0)</f>
        <v>0</v>
      </c>
      <c r="AD129" s="67">
        <f aca="true" t="shared" si="144" ref="AD129:AD143">IF(AQ129="7",BH129,0)</f>
        <v>0</v>
      </c>
      <c r="AE129" s="67">
        <f aca="true" t="shared" si="145" ref="AE129:AE143">IF(AQ129="7",BI129,0)</f>
        <v>0</v>
      </c>
      <c r="AF129" s="67">
        <f aca="true" t="shared" si="146" ref="AF129:AF143">IF(AQ129="2",BH129,0)</f>
        <v>0</v>
      </c>
      <c r="AG129" s="67">
        <f aca="true" t="shared" si="147" ref="AG129:AG143">IF(AQ129="2",BI129,0)</f>
        <v>0</v>
      </c>
      <c r="AH129" s="67">
        <f aca="true" t="shared" si="148" ref="AH129:AH143">IF(AQ129="0",BJ129,0)</f>
        <v>0</v>
      </c>
      <c r="AI129" s="12"/>
      <c r="AJ129" s="10">
        <f aca="true" t="shared" si="149" ref="AJ129:AJ143">IF(AN129=0,K129,0)</f>
        <v>0</v>
      </c>
      <c r="AK129" s="10">
        <f aca="true" t="shared" si="150" ref="AK129:AK143">IF(AN129=15,K129,0)</f>
        <v>0</v>
      </c>
      <c r="AL129" s="10">
        <f aca="true" t="shared" si="151" ref="AL129:AL143">IF(AN129=21,K129,0)</f>
        <v>0</v>
      </c>
      <c r="AN129" s="67">
        <v>15</v>
      </c>
      <c r="AO129" s="67">
        <f>J129*0</f>
        <v>0</v>
      </c>
      <c r="AP129" s="67">
        <f>J129*(1-0)</f>
        <v>0</v>
      </c>
      <c r="AQ129" s="16" t="s">
        <v>12</v>
      </c>
      <c r="AV129" s="67">
        <f aca="true" t="shared" si="152" ref="AV129:AV143">AW129+AX129</f>
        <v>0</v>
      </c>
      <c r="AW129" s="67">
        <f aca="true" t="shared" si="153" ref="AW129:AW143">I129*AO129</f>
        <v>0</v>
      </c>
      <c r="AX129" s="67">
        <f aca="true" t="shared" si="154" ref="AX129:AX143">I129*AP129</f>
        <v>0</v>
      </c>
      <c r="AY129" s="68" t="s">
        <v>969</v>
      </c>
      <c r="AZ129" s="68" t="s">
        <v>991</v>
      </c>
      <c r="BA129" s="12" t="s">
        <v>996</v>
      </c>
      <c r="BC129" s="67">
        <f aca="true" t="shared" si="155" ref="BC129:BC143">AW129+AX129</f>
        <v>0</v>
      </c>
      <c r="BD129" s="67">
        <f aca="true" t="shared" si="156" ref="BD129:BD143">J129/(100-BE129)*100</f>
        <v>0</v>
      </c>
      <c r="BE129" s="67">
        <v>0</v>
      </c>
      <c r="BF129" s="67">
        <f>129</f>
        <v>129</v>
      </c>
      <c r="BH129" s="10">
        <f aca="true" t="shared" si="157" ref="BH129:BH143">I129*AO129</f>
        <v>0</v>
      </c>
      <c r="BI129" s="10">
        <f aca="true" t="shared" si="158" ref="BI129:BI143">I129*AP129</f>
        <v>0</v>
      </c>
      <c r="BJ129" s="10">
        <f aca="true" t="shared" si="159" ref="BJ129:BJ143">I129*J129</f>
        <v>0</v>
      </c>
    </row>
    <row r="130" spans="1:62" ht="12.75">
      <c r="A130" s="3" t="s">
        <v>109</v>
      </c>
      <c r="B130" s="3" t="s">
        <v>311</v>
      </c>
      <c r="C130" s="143" t="s">
        <v>661</v>
      </c>
      <c r="D130" s="144"/>
      <c r="E130" s="144"/>
      <c r="F130" s="144"/>
      <c r="G130" s="144"/>
      <c r="H130" s="3" t="s">
        <v>852</v>
      </c>
      <c r="I130" s="10">
        <v>20.16</v>
      </c>
      <c r="J130" s="59">
        <v>0</v>
      </c>
      <c r="K130" s="10">
        <f t="shared" si="140"/>
        <v>0</v>
      </c>
      <c r="L130" s="16" t="s">
        <v>941</v>
      </c>
      <c r="Z130" s="67">
        <f t="shared" si="141"/>
        <v>0</v>
      </c>
      <c r="AB130" s="67">
        <f t="shared" si="142"/>
        <v>0</v>
      </c>
      <c r="AC130" s="67">
        <f t="shared" si="143"/>
        <v>0</v>
      </c>
      <c r="AD130" s="67">
        <f t="shared" si="144"/>
        <v>0</v>
      </c>
      <c r="AE130" s="67">
        <f t="shared" si="145"/>
        <v>0</v>
      </c>
      <c r="AF130" s="67">
        <f t="shared" si="146"/>
        <v>0</v>
      </c>
      <c r="AG130" s="67">
        <f t="shared" si="147"/>
        <v>0</v>
      </c>
      <c r="AH130" s="67">
        <f t="shared" si="148"/>
        <v>0</v>
      </c>
      <c r="AI130" s="12"/>
      <c r="AJ130" s="10">
        <f t="shared" si="149"/>
        <v>0</v>
      </c>
      <c r="AK130" s="10">
        <f t="shared" si="150"/>
        <v>0</v>
      </c>
      <c r="AL130" s="10">
        <f t="shared" si="151"/>
        <v>0</v>
      </c>
      <c r="AN130" s="67">
        <v>15</v>
      </c>
      <c r="AO130" s="67">
        <f>J130*0.182526490026039</f>
        <v>0</v>
      </c>
      <c r="AP130" s="67">
        <f>J130*(1-0.182526490026039)</f>
        <v>0</v>
      </c>
      <c r="AQ130" s="16" t="s">
        <v>12</v>
      </c>
      <c r="AV130" s="67">
        <f t="shared" si="152"/>
        <v>0</v>
      </c>
      <c r="AW130" s="67">
        <f t="shared" si="153"/>
        <v>0</v>
      </c>
      <c r="AX130" s="67">
        <f t="shared" si="154"/>
        <v>0</v>
      </c>
      <c r="AY130" s="68" t="s">
        <v>969</v>
      </c>
      <c r="AZ130" s="68" t="s">
        <v>991</v>
      </c>
      <c r="BA130" s="12" t="s">
        <v>996</v>
      </c>
      <c r="BC130" s="67">
        <f t="shared" si="155"/>
        <v>0</v>
      </c>
      <c r="BD130" s="67">
        <f t="shared" si="156"/>
        <v>0</v>
      </c>
      <c r="BE130" s="67">
        <v>0</v>
      </c>
      <c r="BF130" s="67">
        <f>130</f>
        <v>130</v>
      </c>
      <c r="BH130" s="10">
        <f t="shared" si="157"/>
        <v>0</v>
      </c>
      <c r="BI130" s="10">
        <f t="shared" si="158"/>
        <v>0</v>
      </c>
      <c r="BJ130" s="10">
        <f t="shared" si="159"/>
        <v>0</v>
      </c>
    </row>
    <row r="131" spans="1:62" ht="12.75">
      <c r="A131" s="3" t="s">
        <v>110</v>
      </c>
      <c r="B131" s="3" t="s">
        <v>312</v>
      </c>
      <c r="C131" s="143" t="s">
        <v>663</v>
      </c>
      <c r="D131" s="144"/>
      <c r="E131" s="144"/>
      <c r="F131" s="144"/>
      <c r="G131" s="144"/>
      <c r="H131" s="3" t="s">
        <v>852</v>
      </c>
      <c r="I131" s="10">
        <v>23.67</v>
      </c>
      <c r="J131" s="59">
        <v>0</v>
      </c>
      <c r="K131" s="10">
        <f t="shared" si="140"/>
        <v>0</v>
      </c>
      <c r="L131" s="16" t="s">
        <v>941</v>
      </c>
      <c r="Z131" s="67">
        <f t="shared" si="141"/>
        <v>0</v>
      </c>
      <c r="AB131" s="67">
        <f t="shared" si="142"/>
        <v>0</v>
      </c>
      <c r="AC131" s="67">
        <f t="shared" si="143"/>
        <v>0</v>
      </c>
      <c r="AD131" s="67">
        <f t="shared" si="144"/>
        <v>0</v>
      </c>
      <c r="AE131" s="67">
        <f t="shared" si="145"/>
        <v>0</v>
      </c>
      <c r="AF131" s="67">
        <f t="shared" si="146"/>
        <v>0</v>
      </c>
      <c r="AG131" s="67">
        <f t="shared" si="147"/>
        <v>0</v>
      </c>
      <c r="AH131" s="67">
        <f t="shared" si="148"/>
        <v>0</v>
      </c>
      <c r="AI131" s="12"/>
      <c r="AJ131" s="10">
        <f t="shared" si="149"/>
        <v>0</v>
      </c>
      <c r="AK131" s="10">
        <f t="shared" si="150"/>
        <v>0</v>
      </c>
      <c r="AL131" s="10">
        <f t="shared" si="151"/>
        <v>0</v>
      </c>
      <c r="AN131" s="67">
        <v>15</v>
      </c>
      <c r="AO131" s="67">
        <f>J131*0</f>
        <v>0</v>
      </c>
      <c r="AP131" s="67">
        <f>J131*(1-0)</f>
        <v>0</v>
      </c>
      <c r="AQ131" s="16" t="s">
        <v>12</v>
      </c>
      <c r="AV131" s="67">
        <f t="shared" si="152"/>
        <v>0</v>
      </c>
      <c r="AW131" s="67">
        <f t="shared" si="153"/>
        <v>0</v>
      </c>
      <c r="AX131" s="67">
        <f t="shared" si="154"/>
        <v>0</v>
      </c>
      <c r="AY131" s="68" t="s">
        <v>969</v>
      </c>
      <c r="AZ131" s="68" t="s">
        <v>991</v>
      </c>
      <c r="BA131" s="12" t="s">
        <v>996</v>
      </c>
      <c r="BC131" s="67">
        <f t="shared" si="155"/>
        <v>0</v>
      </c>
      <c r="BD131" s="67">
        <f t="shared" si="156"/>
        <v>0</v>
      </c>
      <c r="BE131" s="67">
        <v>0</v>
      </c>
      <c r="BF131" s="67">
        <f>131</f>
        <v>131</v>
      </c>
      <c r="BH131" s="10">
        <f t="shared" si="157"/>
        <v>0</v>
      </c>
      <c r="BI131" s="10">
        <f t="shared" si="158"/>
        <v>0</v>
      </c>
      <c r="BJ131" s="10">
        <f t="shared" si="159"/>
        <v>0</v>
      </c>
    </row>
    <row r="132" spans="1:62" ht="12.75">
      <c r="A132" s="3" t="s">
        <v>111</v>
      </c>
      <c r="B132" s="3" t="s">
        <v>313</v>
      </c>
      <c r="C132" s="143" t="s">
        <v>665</v>
      </c>
      <c r="D132" s="144"/>
      <c r="E132" s="144"/>
      <c r="F132" s="144"/>
      <c r="G132" s="144"/>
      <c r="H132" s="3" t="s">
        <v>852</v>
      </c>
      <c r="I132" s="10">
        <v>82.99</v>
      </c>
      <c r="J132" s="59">
        <v>0</v>
      </c>
      <c r="K132" s="10">
        <f t="shared" si="140"/>
        <v>0</v>
      </c>
      <c r="L132" s="16" t="s">
        <v>941</v>
      </c>
      <c r="Z132" s="67">
        <f t="shared" si="141"/>
        <v>0</v>
      </c>
      <c r="AB132" s="67">
        <f t="shared" si="142"/>
        <v>0</v>
      </c>
      <c r="AC132" s="67">
        <f t="shared" si="143"/>
        <v>0</v>
      </c>
      <c r="AD132" s="67">
        <f t="shared" si="144"/>
        <v>0</v>
      </c>
      <c r="AE132" s="67">
        <f t="shared" si="145"/>
        <v>0</v>
      </c>
      <c r="AF132" s="67">
        <f t="shared" si="146"/>
        <v>0</v>
      </c>
      <c r="AG132" s="67">
        <f t="shared" si="147"/>
        <v>0</v>
      </c>
      <c r="AH132" s="67">
        <f t="shared" si="148"/>
        <v>0</v>
      </c>
      <c r="AI132" s="12"/>
      <c r="AJ132" s="10">
        <f t="shared" si="149"/>
        <v>0</v>
      </c>
      <c r="AK132" s="10">
        <f t="shared" si="150"/>
        <v>0</v>
      </c>
      <c r="AL132" s="10">
        <f t="shared" si="151"/>
        <v>0</v>
      </c>
      <c r="AN132" s="67">
        <v>15</v>
      </c>
      <c r="AO132" s="67">
        <f>J132*0.131153436232545</f>
        <v>0</v>
      </c>
      <c r="AP132" s="67">
        <f>J132*(1-0.131153436232545)</f>
        <v>0</v>
      </c>
      <c r="AQ132" s="16" t="s">
        <v>12</v>
      </c>
      <c r="AV132" s="67">
        <f t="shared" si="152"/>
        <v>0</v>
      </c>
      <c r="AW132" s="67">
        <f t="shared" si="153"/>
        <v>0</v>
      </c>
      <c r="AX132" s="67">
        <f t="shared" si="154"/>
        <v>0</v>
      </c>
      <c r="AY132" s="68" t="s">
        <v>969</v>
      </c>
      <c r="AZ132" s="68" t="s">
        <v>991</v>
      </c>
      <c r="BA132" s="12" t="s">
        <v>996</v>
      </c>
      <c r="BC132" s="67">
        <f t="shared" si="155"/>
        <v>0</v>
      </c>
      <c r="BD132" s="67">
        <f t="shared" si="156"/>
        <v>0</v>
      </c>
      <c r="BE132" s="67">
        <v>0</v>
      </c>
      <c r="BF132" s="67">
        <f>132</f>
        <v>132</v>
      </c>
      <c r="BH132" s="10">
        <f t="shared" si="157"/>
        <v>0</v>
      </c>
      <c r="BI132" s="10">
        <f t="shared" si="158"/>
        <v>0</v>
      </c>
      <c r="BJ132" s="10">
        <f t="shared" si="159"/>
        <v>0</v>
      </c>
    </row>
    <row r="133" spans="1:62" ht="12.75">
      <c r="A133" s="3" t="s">
        <v>112</v>
      </c>
      <c r="B133" s="3" t="s">
        <v>314</v>
      </c>
      <c r="C133" s="143" t="s">
        <v>666</v>
      </c>
      <c r="D133" s="144"/>
      <c r="E133" s="144"/>
      <c r="F133" s="144"/>
      <c r="G133" s="144"/>
      <c r="H133" s="3" t="s">
        <v>852</v>
      </c>
      <c r="I133" s="10">
        <v>175.72</v>
      </c>
      <c r="J133" s="59">
        <v>0</v>
      </c>
      <c r="K133" s="10">
        <f t="shared" si="140"/>
        <v>0</v>
      </c>
      <c r="L133" s="16" t="s">
        <v>941</v>
      </c>
      <c r="Z133" s="67">
        <f t="shared" si="141"/>
        <v>0</v>
      </c>
      <c r="AB133" s="67">
        <f t="shared" si="142"/>
        <v>0</v>
      </c>
      <c r="AC133" s="67">
        <f t="shared" si="143"/>
        <v>0</v>
      </c>
      <c r="AD133" s="67">
        <f t="shared" si="144"/>
        <v>0</v>
      </c>
      <c r="AE133" s="67">
        <f t="shared" si="145"/>
        <v>0</v>
      </c>
      <c r="AF133" s="67">
        <f t="shared" si="146"/>
        <v>0</v>
      </c>
      <c r="AG133" s="67">
        <f t="shared" si="147"/>
        <v>0</v>
      </c>
      <c r="AH133" s="67">
        <f t="shared" si="148"/>
        <v>0</v>
      </c>
      <c r="AI133" s="12"/>
      <c r="AJ133" s="10">
        <f t="shared" si="149"/>
        <v>0</v>
      </c>
      <c r="AK133" s="10">
        <f t="shared" si="150"/>
        <v>0</v>
      </c>
      <c r="AL133" s="10">
        <f t="shared" si="151"/>
        <v>0</v>
      </c>
      <c r="AN133" s="67">
        <v>15</v>
      </c>
      <c r="AO133" s="67">
        <f>J133*0.323869714756569</f>
        <v>0</v>
      </c>
      <c r="AP133" s="67">
        <f>J133*(1-0.323869714756569)</f>
        <v>0</v>
      </c>
      <c r="AQ133" s="16" t="s">
        <v>12</v>
      </c>
      <c r="AV133" s="67">
        <f t="shared" si="152"/>
        <v>0</v>
      </c>
      <c r="AW133" s="67">
        <f t="shared" si="153"/>
        <v>0</v>
      </c>
      <c r="AX133" s="67">
        <f t="shared" si="154"/>
        <v>0</v>
      </c>
      <c r="AY133" s="68" t="s">
        <v>969</v>
      </c>
      <c r="AZ133" s="68" t="s">
        <v>991</v>
      </c>
      <c r="BA133" s="12" t="s">
        <v>996</v>
      </c>
      <c r="BC133" s="67">
        <f t="shared" si="155"/>
        <v>0</v>
      </c>
      <c r="BD133" s="67">
        <f t="shared" si="156"/>
        <v>0</v>
      </c>
      <c r="BE133" s="67">
        <v>0</v>
      </c>
      <c r="BF133" s="67">
        <f>133</f>
        <v>133</v>
      </c>
      <c r="BH133" s="10">
        <f t="shared" si="157"/>
        <v>0</v>
      </c>
      <c r="BI133" s="10">
        <f t="shared" si="158"/>
        <v>0</v>
      </c>
      <c r="BJ133" s="10">
        <f t="shared" si="159"/>
        <v>0</v>
      </c>
    </row>
    <row r="134" spans="1:62" ht="12.75">
      <c r="A134" s="3" t="s">
        <v>113</v>
      </c>
      <c r="B134" s="3" t="s">
        <v>315</v>
      </c>
      <c r="C134" s="143" t="s">
        <v>668</v>
      </c>
      <c r="D134" s="144"/>
      <c r="E134" s="144"/>
      <c r="F134" s="144"/>
      <c r="G134" s="144"/>
      <c r="H134" s="3" t="s">
        <v>852</v>
      </c>
      <c r="I134" s="10">
        <v>223.85</v>
      </c>
      <c r="J134" s="59">
        <v>0</v>
      </c>
      <c r="K134" s="10">
        <f t="shared" si="140"/>
        <v>0</v>
      </c>
      <c r="L134" s="16" t="s">
        <v>941</v>
      </c>
      <c r="Z134" s="67">
        <f t="shared" si="141"/>
        <v>0</v>
      </c>
      <c r="AB134" s="67">
        <f t="shared" si="142"/>
        <v>0</v>
      </c>
      <c r="AC134" s="67">
        <f t="shared" si="143"/>
        <v>0</v>
      </c>
      <c r="AD134" s="67">
        <f t="shared" si="144"/>
        <v>0</v>
      </c>
      <c r="AE134" s="67">
        <f t="shared" si="145"/>
        <v>0</v>
      </c>
      <c r="AF134" s="67">
        <f t="shared" si="146"/>
        <v>0</v>
      </c>
      <c r="AG134" s="67">
        <f t="shared" si="147"/>
        <v>0</v>
      </c>
      <c r="AH134" s="67">
        <f t="shared" si="148"/>
        <v>0</v>
      </c>
      <c r="AI134" s="12"/>
      <c r="AJ134" s="10">
        <f t="shared" si="149"/>
        <v>0</v>
      </c>
      <c r="AK134" s="10">
        <f t="shared" si="150"/>
        <v>0</v>
      </c>
      <c r="AL134" s="10">
        <f t="shared" si="151"/>
        <v>0</v>
      </c>
      <c r="AN134" s="67">
        <v>15</v>
      </c>
      <c r="AO134" s="67">
        <f>J134*0</f>
        <v>0</v>
      </c>
      <c r="AP134" s="67">
        <f>J134*(1-0)</f>
        <v>0</v>
      </c>
      <c r="AQ134" s="16" t="s">
        <v>12</v>
      </c>
      <c r="AV134" s="67">
        <f t="shared" si="152"/>
        <v>0</v>
      </c>
      <c r="AW134" s="67">
        <f t="shared" si="153"/>
        <v>0</v>
      </c>
      <c r="AX134" s="67">
        <f t="shared" si="154"/>
        <v>0</v>
      </c>
      <c r="AY134" s="68" t="s">
        <v>969</v>
      </c>
      <c r="AZ134" s="68" t="s">
        <v>991</v>
      </c>
      <c r="BA134" s="12" t="s">
        <v>996</v>
      </c>
      <c r="BC134" s="67">
        <f t="shared" si="155"/>
        <v>0</v>
      </c>
      <c r="BD134" s="67">
        <f t="shared" si="156"/>
        <v>0</v>
      </c>
      <c r="BE134" s="67">
        <v>0</v>
      </c>
      <c r="BF134" s="67">
        <f>134</f>
        <v>134</v>
      </c>
      <c r="BH134" s="10">
        <f t="shared" si="157"/>
        <v>0</v>
      </c>
      <c r="BI134" s="10">
        <f t="shared" si="158"/>
        <v>0</v>
      </c>
      <c r="BJ134" s="10">
        <f t="shared" si="159"/>
        <v>0</v>
      </c>
    </row>
    <row r="135" spans="1:62" ht="12.75">
      <c r="A135" s="5" t="s">
        <v>114</v>
      </c>
      <c r="B135" s="5" t="s">
        <v>316</v>
      </c>
      <c r="C135" s="147" t="s">
        <v>1017</v>
      </c>
      <c r="D135" s="148"/>
      <c r="E135" s="148"/>
      <c r="F135" s="148"/>
      <c r="G135" s="148"/>
      <c r="H135" s="5" t="s">
        <v>852</v>
      </c>
      <c r="I135" s="13">
        <v>52.94</v>
      </c>
      <c r="J135" s="61">
        <v>0</v>
      </c>
      <c r="K135" s="13">
        <f t="shared" si="140"/>
        <v>0</v>
      </c>
      <c r="L135" s="17" t="s">
        <v>941</v>
      </c>
      <c r="Z135" s="67">
        <f t="shared" si="141"/>
        <v>0</v>
      </c>
      <c r="AB135" s="67">
        <f t="shared" si="142"/>
        <v>0</v>
      </c>
      <c r="AC135" s="67">
        <f t="shared" si="143"/>
        <v>0</v>
      </c>
      <c r="AD135" s="67">
        <f t="shared" si="144"/>
        <v>0</v>
      </c>
      <c r="AE135" s="67">
        <f t="shared" si="145"/>
        <v>0</v>
      </c>
      <c r="AF135" s="67">
        <f t="shared" si="146"/>
        <v>0</v>
      </c>
      <c r="AG135" s="67">
        <f t="shared" si="147"/>
        <v>0</v>
      </c>
      <c r="AH135" s="67">
        <f t="shared" si="148"/>
        <v>0</v>
      </c>
      <c r="AI135" s="12"/>
      <c r="AJ135" s="13">
        <f t="shared" si="149"/>
        <v>0</v>
      </c>
      <c r="AK135" s="13">
        <f t="shared" si="150"/>
        <v>0</v>
      </c>
      <c r="AL135" s="13">
        <f t="shared" si="151"/>
        <v>0</v>
      </c>
      <c r="AN135" s="67">
        <v>15</v>
      </c>
      <c r="AO135" s="67">
        <f aca="true" t="shared" si="160" ref="AO135:AO141">J135*1</f>
        <v>0</v>
      </c>
      <c r="AP135" s="67">
        <f aca="true" t="shared" si="161" ref="AP135:AP141">J135*(1-1)</f>
        <v>0</v>
      </c>
      <c r="AQ135" s="17" t="s">
        <v>12</v>
      </c>
      <c r="AV135" s="67">
        <f t="shared" si="152"/>
        <v>0</v>
      </c>
      <c r="AW135" s="67">
        <f t="shared" si="153"/>
        <v>0</v>
      </c>
      <c r="AX135" s="67">
        <f t="shared" si="154"/>
        <v>0</v>
      </c>
      <c r="AY135" s="68" t="s">
        <v>969</v>
      </c>
      <c r="AZ135" s="68" t="s">
        <v>991</v>
      </c>
      <c r="BA135" s="12" t="s">
        <v>996</v>
      </c>
      <c r="BC135" s="67">
        <f t="shared" si="155"/>
        <v>0</v>
      </c>
      <c r="BD135" s="67">
        <f t="shared" si="156"/>
        <v>0</v>
      </c>
      <c r="BE135" s="67">
        <v>0</v>
      </c>
      <c r="BF135" s="67">
        <f>135</f>
        <v>135</v>
      </c>
      <c r="BH135" s="13">
        <f t="shared" si="157"/>
        <v>0</v>
      </c>
      <c r="BI135" s="13">
        <f t="shared" si="158"/>
        <v>0</v>
      </c>
      <c r="BJ135" s="13">
        <f t="shared" si="159"/>
        <v>0</v>
      </c>
    </row>
    <row r="136" spans="1:62" ht="12.75">
      <c r="A136" s="5" t="s">
        <v>115</v>
      </c>
      <c r="B136" s="5" t="s">
        <v>317</v>
      </c>
      <c r="C136" s="147" t="s">
        <v>1018</v>
      </c>
      <c r="D136" s="148"/>
      <c r="E136" s="148"/>
      <c r="F136" s="148"/>
      <c r="G136" s="148"/>
      <c r="H136" s="5" t="s">
        <v>852</v>
      </c>
      <c r="I136" s="13">
        <v>43.61</v>
      </c>
      <c r="J136" s="61">
        <v>0</v>
      </c>
      <c r="K136" s="13">
        <f t="shared" si="140"/>
        <v>0</v>
      </c>
      <c r="L136" s="17" t="s">
        <v>941</v>
      </c>
      <c r="Z136" s="67">
        <f t="shared" si="141"/>
        <v>0</v>
      </c>
      <c r="AB136" s="67">
        <f t="shared" si="142"/>
        <v>0</v>
      </c>
      <c r="AC136" s="67">
        <f t="shared" si="143"/>
        <v>0</v>
      </c>
      <c r="AD136" s="67">
        <f t="shared" si="144"/>
        <v>0</v>
      </c>
      <c r="AE136" s="67">
        <f t="shared" si="145"/>
        <v>0</v>
      </c>
      <c r="AF136" s="67">
        <f t="shared" si="146"/>
        <v>0</v>
      </c>
      <c r="AG136" s="67">
        <f t="shared" si="147"/>
        <v>0</v>
      </c>
      <c r="AH136" s="67">
        <f t="shared" si="148"/>
        <v>0</v>
      </c>
      <c r="AI136" s="12"/>
      <c r="AJ136" s="13">
        <f t="shared" si="149"/>
        <v>0</v>
      </c>
      <c r="AK136" s="13">
        <f t="shared" si="150"/>
        <v>0</v>
      </c>
      <c r="AL136" s="13">
        <f t="shared" si="151"/>
        <v>0</v>
      </c>
      <c r="AN136" s="67">
        <v>15</v>
      </c>
      <c r="AO136" s="67">
        <f t="shared" si="160"/>
        <v>0</v>
      </c>
      <c r="AP136" s="67">
        <f t="shared" si="161"/>
        <v>0</v>
      </c>
      <c r="AQ136" s="17" t="s">
        <v>12</v>
      </c>
      <c r="AV136" s="67">
        <f t="shared" si="152"/>
        <v>0</v>
      </c>
      <c r="AW136" s="67">
        <f t="shared" si="153"/>
        <v>0</v>
      </c>
      <c r="AX136" s="67">
        <f t="shared" si="154"/>
        <v>0</v>
      </c>
      <c r="AY136" s="68" t="s">
        <v>969</v>
      </c>
      <c r="AZ136" s="68" t="s">
        <v>991</v>
      </c>
      <c r="BA136" s="12" t="s">
        <v>996</v>
      </c>
      <c r="BC136" s="67">
        <f t="shared" si="155"/>
        <v>0</v>
      </c>
      <c r="BD136" s="67">
        <f t="shared" si="156"/>
        <v>0</v>
      </c>
      <c r="BE136" s="67">
        <v>0</v>
      </c>
      <c r="BF136" s="67">
        <f>136</f>
        <v>136</v>
      </c>
      <c r="BH136" s="13">
        <f t="shared" si="157"/>
        <v>0</v>
      </c>
      <c r="BI136" s="13">
        <f t="shared" si="158"/>
        <v>0</v>
      </c>
      <c r="BJ136" s="13">
        <f t="shared" si="159"/>
        <v>0</v>
      </c>
    </row>
    <row r="137" spans="1:62" ht="12.75">
      <c r="A137" s="5" t="s">
        <v>116</v>
      </c>
      <c r="B137" s="5" t="s">
        <v>318</v>
      </c>
      <c r="C137" s="147" t="s">
        <v>1019</v>
      </c>
      <c r="D137" s="148"/>
      <c r="E137" s="148"/>
      <c r="F137" s="148"/>
      <c r="G137" s="148"/>
      <c r="H137" s="5" t="s">
        <v>852</v>
      </c>
      <c r="I137" s="13">
        <v>193.29</v>
      </c>
      <c r="J137" s="61">
        <v>0</v>
      </c>
      <c r="K137" s="13">
        <f t="shared" si="140"/>
        <v>0</v>
      </c>
      <c r="L137" s="17" t="s">
        <v>941</v>
      </c>
      <c r="Z137" s="67">
        <f t="shared" si="141"/>
        <v>0</v>
      </c>
      <c r="AB137" s="67">
        <f t="shared" si="142"/>
        <v>0</v>
      </c>
      <c r="AC137" s="67">
        <f t="shared" si="143"/>
        <v>0</v>
      </c>
      <c r="AD137" s="67">
        <f t="shared" si="144"/>
        <v>0</v>
      </c>
      <c r="AE137" s="67">
        <f t="shared" si="145"/>
        <v>0</v>
      </c>
      <c r="AF137" s="67">
        <f t="shared" si="146"/>
        <v>0</v>
      </c>
      <c r="AG137" s="67">
        <f t="shared" si="147"/>
        <v>0</v>
      </c>
      <c r="AH137" s="67">
        <f t="shared" si="148"/>
        <v>0</v>
      </c>
      <c r="AI137" s="12"/>
      <c r="AJ137" s="13">
        <f t="shared" si="149"/>
        <v>0</v>
      </c>
      <c r="AK137" s="13">
        <f t="shared" si="150"/>
        <v>0</v>
      </c>
      <c r="AL137" s="13">
        <f t="shared" si="151"/>
        <v>0</v>
      </c>
      <c r="AN137" s="67">
        <v>15</v>
      </c>
      <c r="AO137" s="67">
        <f t="shared" si="160"/>
        <v>0</v>
      </c>
      <c r="AP137" s="67">
        <f t="shared" si="161"/>
        <v>0</v>
      </c>
      <c r="AQ137" s="17" t="s">
        <v>12</v>
      </c>
      <c r="AV137" s="67">
        <f t="shared" si="152"/>
        <v>0</v>
      </c>
      <c r="AW137" s="67">
        <f t="shared" si="153"/>
        <v>0</v>
      </c>
      <c r="AX137" s="67">
        <f t="shared" si="154"/>
        <v>0</v>
      </c>
      <c r="AY137" s="68" t="s">
        <v>969</v>
      </c>
      <c r="AZ137" s="68" t="s">
        <v>991</v>
      </c>
      <c r="BA137" s="12" t="s">
        <v>996</v>
      </c>
      <c r="BC137" s="67">
        <f t="shared" si="155"/>
        <v>0</v>
      </c>
      <c r="BD137" s="67">
        <f t="shared" si="156"/>
        <v>0</v>
      </c>
      <c r="BE137" s="67">
        <v>0</v>
      </c>
      <c r="BF137" s="67">
        <f>137</f>
        <v>137</v>
      </c>
      <c r="BH137" s="13">
        <f t="shared" si="157"/>
        <v>0</v>
      </c>
      <c r="BI137" s="13">
        <f t="shared" si="158"/>
        <v>0</v>
      </c>
      <c r="BJ137" s="13">
        <f t="shared" si="159"/>
        <v>0</v>
      </c>
    </row>
    <row r="138" spans="1:62" ht="12.75">
      <c r="A138" s="5" t="s">
        <v>117</v>
      </c>
      <c r="B138" s="5" t="s">
        <v>319</v>
      </c>
      <c r="C138" s="147" t="s">
        <v>1020</v>
      </c>
      <c r="D138" s="148"/>
      <c r="E138" s="148"/>
      <c r="F138" s="148"/>
      <c r="G138" s="148"/>
      <c r="H138" s="5" t="s">
        <v>852</v>
      </c>
      <c r="I138" s="13">
        <v>64.39</v>
      </c>
      <c r="J138" s="61">
        <v>0</v>
      </c>
      <c r="K138" s="13">
        <f t="shared" si="140"/>
        <v>0</v>
      </c>
      <c r="L138" s="17" t="s">
        <v>941</v>
      </c>
      <c r="Z138" s="67">
        <f t="shared" si="141"/>
        <v>0</v>
      </c>
      <c r="AB138" s="67">
        <f t="shared" si="142"/>
        <v>0</v>
      </c>
      <c r="AC138" s="67">
        <f t="shared" si="143"/>
        <v>0</v>
      </c>
      <c r="AD138" s="67">
        <f t="shared" si="144"/>
        <v>0</v>
      </c>
      <c r="AE138" s="67">
        <f t="shared" si="145"/>
        <v>0</v>
      </c>
      <c r="AF138" s="67">
        <f t="shared" si="146"/>
        <v>0</v>
      </c>
      <c r="AG138" s="67">
        <f t="shared" si="147"/>
        <v>0</v>
      </c>
      <c r="AH138" s="67">
        <f t="shared" si="148"/>
        <v>0</v>
      </c>
      <c r="AI138" s="12"/>
      <c r="AJ138" s="13">
        <f t="shared" si="149"/>
        <v>0</v>
      </c>
      <c r="AK138" s="13">
        <f t="shared" si="150"/>
        <v>0</v>
      </c>
      <c r="AL138" s="13">
        <f t="shared" si="151"/>
        <v>0</v>
      </c>
      <c r="AN138" s="67">
        <v>15</v>
      </c>
      <c r="AO138" s="67">
        <f t="shared" si="160"/>
        <v>0</v>
      </c>
      <c r="AP138" s="67">
        <f t="shared" si="161"/>
        <v>0</v>
      </c>
      <c r="AQ138" s="17" t="s">
        <v>12</v>
      </c>
      <c r="AV138" s="67">
        <f t="shared" si="152"/>
        <v>0</v>
      </c>
      <c r="AW138" s="67">
        <f t="shared" si="153"/>
        <v>0</v>
      </c>
      <c r="AX138" s="67">
        <f t="shared" si="154"/>
        <v>0</v>
      </c>
      <c r="AY138" s="68" t="s">
        <v>969</v>
      </c>
      <c r="AZ138" s="68" t="s">
        <v>991</v>
      </c>
      <c r="BA138" s="12" t="s">
        <v>996</v>
      </c>
      <c r="BC138" s="67">
        <f t="shared" si="155"/>
        <v>0</v>
      </c>
      <c r="BD138" s="67">
        <f t="shared" si="156"/>
        <v>0</v>
      </c>
      <c r="BE138" s="67">
        <v>0</v>
      </c>
      <c r="BF138" s="67">
        <f>138</f>
        <v>138</v>
      </c>
      <c r="BH138" s="13">
        <f t="shared" si="157"/>
        <v>0</v>
      </c>
      <c r="BI138" s="13">
        <f t="shared" si="158"/>
        <v>0</v>
      </c>
      <c r="BJ138" s="13">
        <f t="shared" si="159"/>
        <v>0</v>
      </c>
    </row>
    <row r="139" spans="1:62" ht="12.75">
      <c r="A139" s="5" t="s">
        <v>118</v>
      </c>
      <c r="B139" s="5" t="s">
        <v>320</v>
      </c>
      <c r="C139" s="147" t="s">
        <v>1021</v>
      </c>
      <c r="D139" s="148"/>
      <c r="E139" s="148"/>
      <c r="F139" s="148"/>
      <c r="G139" s="148"/>
      <c r="H139" s="5" t="s">
        <v>852</v>
      </c>
      <c r="I139" s="13">
        <v>193.29</v>
      </c>
      <c r="J139" s="61">
        <v>0</v>
      </c>
      <c r="K139" s="13">
        <f t="shared" si="140"/>
        <v>0</v>
      </c>
      <c r="L139" s="17" t="s">
        <v>941</v>
      </c>
      <c r="Z139" s="67">
        <f t="shared" si="141"/>
        <v>0</v>
      </c>
      <c r="AB139" s="67">
        <f t="shared" si="142"/>
        <v>0</v>
      </c>
      <c r="AC139" s="67">
        <f t="shared" si="143"/>
        <v>0</v>
      </c>
      <c r="AD139" s="67">
        <f t="shared" si="144"/>
        <v>0</v>
      </c>
      <c r="AE139" s="67">
        <f t="shared" si="145"/>
        <v>0</v>
      </c>
      <c r="AF139" s="67">
        <f t="shared" si="146"/>
        <v>0</v>
      </c>
      <c r="AG139" s="67">
        <f t="shared" si="147"/>
        <v>0</v>
      </c>
      <c r="AH139" s="67">
        <f t="shared" si="148"/>
        <v>0</v>
      </c>
      <c r="AI139" s="12"/>
      <c r="AJ139" s="13">
        <f t="shared" si="149"/>
        <v>0</v>
      </c>
      <c r="AK139" s="13">
        <f t="shared" si="150"/>
        <v>0</v>
      </c>
      <c r="AL139" s="13">
        <f t="shared" si="151"/>
        <v>0</v>
      </c>
      <c r="AN139" s="67">
        <v>15</v>
      </c>
      <c r="AO139" s="67">
        <f t="shared" si="160"/>
        <v>0</v>
      </c>
      <c r="AP139" s="67">
        <f t="shared" si="161"/>
        <v>0</v>
      </c>
      <c r="AQ139" s="17" t="s">
        <v>12</v>
      </c>
      <c r="AV139" s="67">
        <f t="shared" si="152"/>
        <v>0</v>
      </c>
      <c r="AW139" s="67">
        <f t="shared" si="153"/>
        <v>0</v>
      </c>
      <c r="AX139" s="67">
        <f t="shared" si="154"/>
        <v>0</v>
      </c>
      <c r="AY139" s="68" t="s">
        <v>969</v>
      </c>
      <c r="AZ139" s="68" t="s">
        <v>991</v>
      </c>
      <c r="BA139" s="12" t="s">
        <v>996</v>
      </c>
      <c r="BC139" s="67">
        <f t="shared" si="155"/>
        <v>0</v>
      </c>
      <c r="BD139" s="67">
        <f t="shared" si="156"/>
        <v>0</v>
      </c>
      <c r="BE139" s="67">
        <v>0</v>
      </c>
      <c r="BF139" s="67">
        <f>139</f>
        <v>139</v>
      </c>
      <c r="BH139" s="13">
        <f t="shared" si="157"/>
        <v>0</v>
      </c>
      <c r="BI139" s="13">
        <f t="shared" si="158"/>
        <v>0</v>
      </c>
      <c r="BJ139" s="13">
        <f t="shared" si="159"/>
        <v>0</v>
      </c>
    </row>
    <row r="140" spans="1:62" ht="12.75">
      <c r="A140" s="5" t="s">
        <v>119</v>
      </c>
      <c r="B140" s="5" t="s">
        <v>321</v>
      </c>
      <c r="C140" s="147" t="s">
        <v>1022</v>
      </c>
      <c r="D140" s="148"/>
      <c r="E140" s="148"/>
      <c r="F140" s="148"/>
      <c r="G140" s="148"/>
      <c r="H140" s="5" t="s">
        <v>852</v>
      </c>
      <c r="I140" s="13">
        <v>246.23</v>
      </c>
      <c r="J140" s="61">
        <v>0</v>
      </c>
      <c r="K140" s="13">
        <f t="shared" si="140"/>
        <v>0</v>
      </c>
      <c r="L140" s="17" t="s">
        <v>941</v>
      </c>
      <c r="Z140" s="67">
        <f t="shared" si="141"/>
        <v>0</v>
      </c>
      <c r="AB140" s="67">
        <f t="shared" si="142"/>
        <v>0</v>
      </c>
      <c r="AC140" s="67">
        <f t="shared" si="143"/>
        <v>0</v>
      </c>
      <c r="AD140" s="67">
        <f t="shared" si="144"/>
        <v>0</v>
      </c>
      <c r="AE140" s="67">
        <f t="shared" si="145"/>
        <v>0</v>
      </c>
      <c r="AF140" s="67">
        <f t="shared" si="146"/>
        <v>0</v>
      </c>
      <c r="AG140" s="67">
        <f t="shared" si="147"/>
        <v>0</v>
      </c>
      <c r="AH140" s="67">
        <f t="shared" si="148"/>
        <v>0</v>
      </c>
      <c r="AI140" s="12"/>
      <c r="AJ140" s="13">
        <f t="shared" si="149"/>
        <v>0</v>
      </c>
      <c r="AK140" s="13">
        <f t="shared" si="150"/>
        <v>0</v>
      </c>
      <c r="AL140" s="13">
        <f t="shared" si="151"/>
        <v>0</v>
      </c>
      <c r="AN140" s="67">
        <v>15</v>
      </c>
      <c r="AO140" s="67">
        <f t="shared" si="160"/>
        <v>0</v>
      </c>
      <c r="AP140" s="67">
        <f t="shared" si="161"/>
        <v>0</v>
      </c>
      <c r="AQ140" s="17" t="s">
        <v>12</v>
      </c>
      <c r="AV140" s="67">
        <f t="shared" si="152"/>
        <v>0</v>
      </c>
      <c r="AW140" s="67">
        <f t="shared" si="153"/>
        <v>0</v>
      </c>
      <c r="AX140" s="67">
        <f t="shared" si="154"/>
        <v>0</v>
      </c>
      <c r="AY140" s="68" t="s">
        <v>969</v>
      </c>
      <c r="AZ140" s="68" t="s">
        <v>991</v>
      </c>
      <c r="BA140" s="12" t="s">
        <v>996</v>
      </c>
      <c r="BC140" s="67">
        <f t="shared" si="155"/>
        <v>0</v>
      </c>
      <c r="BD140" s="67">
        <f t="shared" si="156"/>
        <v>0</v>
      </c>
      <c r="BE140" s="67">
        <v>0</v>
      </c>
      <c r="BF140" s="67">
        <f>140</f>
        <v>140</v>
      </c>
      <c r="BH140" s="13">
        <f t="shared" si="157"/>
        <v>0</v>
      </c>
      <c r="BI140" s="13">
        <f t="shared" si="158"/>
        <v>0</v>
      </c>
      <c r="BJ140" s="13">
        <f t="shared" si="159"/>
        <v>0</v>
      </c>
    </row>
    <row r="141" spans="1:62" ht="12.75">
      <c r="A141" s="5" t="s">
        <v>120</v>
      </c>
      <c r="B141" s="5" t="s">
        <v>322</v>
      </c>
      <c r="C141" s="147" t="s">
        <v>680</v>
      </c>
      <c r="D141" s="148"/>
      <c r="E141" s="148"/>
      <c r="F141" s="148"/>
      <c r="G141" s="148"/>
      <c r="H141" s="5" t="s">
        <v>852</v>
      </c>
      <c r="I141" s="13">
        <v>223.85</v>
      </c>
      <c r="J141" s="61">
        <v>0</v>
      </c>
      <c r="K141" s="13">
        <f t="shared" si="140"/>
        <v>0</v>
      </c>
      <c r="L141" s="17" t="s">
        <v>943</v>
      </c>
      <c r="Z141" s="67">
        <f t="shared" si="141"/>
        <v>0</v>
      </c>
      <c r="AB141" s="67">
        <f t="shared" si="142"/>
        <v>0</v>
      </c>
      <c r="AC141" s="67">
        <f t="shared" si="143"/>
        <v>0</v>
      </c>
      <c r="AD141" s="67">
        <f t="shared" si="144"/>
        <v>0</v>
      </c>
      <c r="AE141" s="67">
        <f t="shared" si="145"/>
        <v>0</v>
      </c>
      <c r="AF141" s="67">
        <f t="shared" si="146"/>
        <v>0</v>
      </c>
      <c r="AG141" s="67">
        <f t="shared" si="147"/>
        <v>0</v>
      </c>
      <c r="AH141" s="67">
        <f t="shared" si="148"/>
        <v>0</v>
      </c>
      <c r="AI141" s="12"/>
      <c r="AJ141" s="13">
        <f t="shared" si="149"/>
        <v>0</v>
      </c>
      <c r="AK141" s="13">
        <f t="shared" si="150"/>
        <v>0</v>
      </c>
      <c r="AL141" s="13">
        <f t="shared" si="151"/>
        <v>0</v>
      </c>
      <c r="AN141" s="67">
        <v>15</v>
      </c>
      <c r="AO141" s="67">
        <f t="shared" si="160"/>
        <v>0</v>
      </c>
      <c r="AP141" s="67">
        <f t="shared" si="161"/>
        <v>0</v>
      </c>
      <c r="AQ141" s="17" t="s">
        <v>12</v>
      </c>
      <c r="AV141" s="67">
        <f t="shared" si="152"/>
        <v>0</v>
      </c>
      <c r="AW141" s="67">
        <f t="shared" si="153"/>
        <v>0</v>
      </c>
      <c r="AX141" s="67">
        <f t="shared" si="154"/>
        <v>0</v>
      </c>
      <c r="AY141" s="68" t="s">
        <v>969</v>
      </c>
      <c r="AZ141" s="68" t="s">
        <v>991</v>
      </c>
      <c r="BA141" s="12" t="s">
        <v>996</v>
      </c>
      <c r="BC141" s="67">
        <f t="shared" si="155"/>
        <v>0</v>
      </c>
      <c r="BD141" s="67">
        <f t="shared" si="156"/>
        <v>0</v>
      </c>
      <c r="BE141" s="67">
        <v>0</v>
      </c>
      <c r="BF141" s="67">
        <f>141</f>
        <v>141</v>
      </c>
      <c r="BH141" s="13">
        <f t="shared" si="157"/>
        <v>0</v>
      </c>
      <c r="BI141" s="13">
        <f t="shared" si="158"/>
        <v>0</v>
      </c>
      <c r="BJ141" s="13">
        <f t="shared" si="159"/>
        <v>0</v>
      </c>
    </row>
    <row r="142" spans="1:62" ht="12.75">
      <c r="A142" s="3" t="s">
        <v>121</v>
      </c>
      <c r="B142" s="3" t="s">
        <v>323</v>
      </c>
      <c r="C142" s="143" t="s">
        <v>682</v>
      </c>
      <c r="D142" s="144"/>
      <c r="E142" s="144"/>
      <c r="F142" s="144"/>
      <c r="G142" s="144"/>
      <c r="H142" s="3" t="s">
        <v>856</v>
      </c>
      <c r="I142" s="10">
        <v>273.34</v>
      </c>
      <c r="J142" s="59">
        <v>0</v>
      </c>
      <c r="K142" s="10">
        <f t="shared" si="140"/>
        <v>0</v>
      </c>
      <c r="L142" s="16" t="s">
        <v>941</v>
      </c>
      <c r="Z142" s="67">
        <f t="shared" si="141"/>
        <v>0</v>
      </c>
      <c r="AB142" s="67">
        <f t="shared" si="142"/>
        <v>0</v>
      </c>
      <c r="AC142" s="67">
        <f t="shared" si="143"/>
        <v>0</v>
      </c>
      <c r="AD142" s="67">
        <f t="shared" si="144"/>
        <v>0</v>
      </c>
      <c r="AE142" s="67">
        <f t="shared" si="145"/>
        <v>0</v>
      </c>
      <c r="AF142" s="67">
        <f t="shared" si="146"/>
        <v>0</v>
      </c>
      <c r="AG142" s="67">
        <f t="shared" si="147"/>
        <v>0</v>
      </c>
      <c r="AH142" s="67">
        <f t="shared" si="148"/>
        <v>0</v>
      </c>
      <c r="AI142" s="12"/>
      <c r="AJ142" s="10">
        <f t="shared" si="149"/>
        <v>0</v>
      </c>
      <c r="AK142" s="10">
        <f t="shared" si="150"/>
        <v>0</v>
      </c>
      <c r="AL142" s="10">
        <f t="shared" si="151"/>
        <v>0</v>
      </c>
      <c r="AN142" s="67">
        <v>15</v>
      </c>
      <c r="AO142" s="67">
        <f>J142*0.412314300123609</f>
        <v>0</v>
      </c>
      <c r="AP142" s="67">
        <f>J142*(1-0.412314300123609)</f>
        <v>0</v>
      </c>
      <c r="AQ142" s="16" t="s">
        <v>12</v>
      </c>
      <c r="AV142" s="67">
        <f t="shared" si="152"/>
        <v>0</v>
      </c>
      <c r="AW142" s="67">
        <f t="shared" si="153"/>
        <v>0</v>
      </c>
      <c r="AX142" s="67">
        <f t="shared" si="154"/>
        <v>0</v>
      </c>
      <c r="AY142" s="68" t="s">
        <v>969</v>
      </c>
      <c r="AZ142" s="68" t="s">
        <v>991</v>
      </c>
      <c r="BA142" s="12" t="s">
        <v>996</v>
      </c>
      <c r="BC142" s="67">
        <f t="shared" si="155"/>
        <v>0</v>
      </c>
      <c r="BD142" s="67">
        <f t="shared" si="156"/>
        <v>0</v>
      </c>
      <c r="BE142" s="67">
        <v>0</v>
      </c>
      <c r="BF142" s="67">
        <f>142</f>
        <v>142</v>
      </c>
      <c r="BH142" s="10">
        <f t="shared" si="157"/>
        <v>0</v>
      </c>
      <c r="BI142" s="10">
        <f t="shared" si="158"/>
        <v>0</v>
      </c>
      <c r="BJ142" s="10">
        <f t="shared" si="159"/>
        <v>0</v>
      </c>
    </row>
    <row r="143" spans="1:62" ht="12.75">
      <c r="A143" s="3" t="s">
        <v>122</v>
      </c>
      <c r="B143" s="3" t="s">
        <v>324</v>
      </c>
      <c r="C143" s="143" t="s">
        <v>686</v>
      </c>
      <c r="D143" s="144"/>
      <c r="E143" s="144"/>
      <c r="F143" s="144"/>
      <c r="G143" s="144"/>
      <c r="H143" s="3" t="s">
        <v>859</v>
      </c>
      <c r="I143" s="10">
        <v>2643.87</v>
      </c>
      <c r="J143" s="59">
        <v>0</v>
      </c>
      <c r="K143" s="10">
        <f t="shared" si="140"/>
        <v>0</v>
      </c>
      <c r="L143" s="16" t="s">
        <v>941</v>
      </c>
      <c r="Z143" s="67">
        <f t="shared" si="141"/>
        <v>0</v>
      </c>
      <c r="AB143" s="67">
        <f t="shared" si="142"/>
        <v>0</v>
      </c>
      <c r="AC143" s="67">
        <f t="shared" si="143"/>
        <v>0</v>
      </c>
      <c r="AD143" s="67">
        <f t="shared" si="144"/>
        <v>0</v>
      </c>
      <c r="AE143" s="67">
        <f t="shared" si="145"/>
        <v>0</v>
      </c>
      <c r="AF143" s="67">
        <f t="shared" si="146"/>
        <v>0</v>
      </c>
      <c r="AG143" s="67">
        <f t="shared" si="147"/>
        <v>0</v>
      </c>
      <c r="AH143" s="67">
        <f t="shared" si="148"/>
        <v>0</v>
      </c>
      <c r="AI143" s="12"/>
      <c r="AJ143" s="10">
        <f t="shared" si="149"/>
        <v>0</v>
      </c>
      <c r="AK143" s="10">
        <f t="shared" si="150"/>
        <v>0</v>
      </c>
      <c r="AL143" s="10">
        <f t="shared" si="151"/>
        <v>0</v>
      </c>
      <c r="AN143" s="67">
        <v>15</v>
      </c>
      <c r="AO143" s="67">
        <f>J143*0</f>
        <v>0</v>
      </c>
      <c r="AP143" s="67">
        <f>J143*(1-0)</f>
        <v>0</v>
      </c>
      <c r="AQ143" s="16" t="s">
        <v>10</v>
      </c>
      <c r="AV143" s="67">
        <f t="shared" si="152"/>
        <v>0</v>
      </c>
      <c r="AW143" s="67">
        <f t="shared" si="153"/>
        <v>0</v>
      </c>
      <c r="AX143" s="67">
        <f t="shared" si="154"/>
        <v>0</v>
      </c>
      <c r="AY143" s="68" t="s">
        <v>969</v>
      </c>
      <c r="AZ143" s="68" t="s">
        <v>991</v>
      </c>
      <c r="BA143" s="12" t="s">
        <v>996</v>
      </c>
      <c r="BC143" s="67">
        <f t="shared" si="155"/>
        <v>0</v>
      </c>
      <c r="BD143" s="67">
        <f t="shared" si="156"/>
        <v>0</v>
      </c>
      <c r="BE143" s="67">
        <v>0</v>
      </c>
      <c r="BF143" s="67">
        <f>143</f>
        <v>143</v>
      </c>
      <c r="BH143" s="10">
        <f t="shared" si="157"/>
        <v>0</v>
      </c>
      <c r="BI143" s="10">
        <f t="shared" si="158"/>
        <v>0</v>
      </c>
      <c r="BJ143" s="10">
        <f t="shared" si="159"/>
        <v>0</v>
      </c>
    </row>
    <row r="144" spans="1:47" ht="12.75">
      <c r="A144" s="50"/>
      <c r="B144" s="4" t="s">
        <v>77</v>
      </c>
      <c r="C144" s="145" t="s">
        <v>688</v>
      </c>
      <c r="D144" s="146"/>
      <c r="E144" s="146"/>
      <c r="F144" s="146"/>
      <c r="G144" s="146"/>
      <c r="H144" s="50" t="s">
        <v>927</v>
      </c>
      <c r="I144" s="50" t="s">
        <v>927</v>
      </c>
      <c r="J144" s="60" t="s">
        <v>927</v>
      </c>
      <c r="K144" s="70">
        <f>SUM(K145:K148)</f>
        <v>0</v>
      </c>
      <c r="L144" s="12"/>
      <c r="AI144" s="12"/>
      <c r="AS144" s="70">
        <f>SUM(AJ145:AJ148)</f>
        <v>0</v>
      </c>
      <c r="AT144" s="70">
        <f>SUM(AK145:AK148)</f>
        <v>0</v>
      </c>
      <c r="AU144" s="70">
        <f>SUM(AL145:AL148)</f>
        <v>0</v>
      </c>
    </row>
    <row r="145" spans="1:62" ht="12.75">
      <c r="A145" s="5" t="s">
        <v>123</v>
      </c>
      <c r="B145" s="5" t="s">
        <v>325</v>
      </c>
      <c r="C145" s="147" t="s">
        <v>689</v>
      </c>
      <c r="D145" s="148"/>
      <c r="E145" s="148"/>
      <c r="F145" s="148"/>
      <c r="G145" s="148"/>
      <c r="H145" s="5" t="s">
        <v>854</v>
      </c>
      <c r="I145" s="13">
        <v>1</v>
      </c>
      <c r="J145" s="61">
        <v>0</v>
      </c>
      <c r="K145" s="13">
        <f>I145*J145</f>
        <v>0</v>
      </c>
      <c r="L145" s="17" t="s">
        <v>941</v>
      </c>
      <c r="Z145" s="67">
        <f>IF(AQ145="5",BJ145,0)</f>
        <v>0</v>
      </c>
      <c r="AB145" s="67">
        <f>IF(AQ145="1",BH145,0)</f>
        <v>0</v>
      </c>
      <c r="AC145" s="67">
        <f>IF(AQ145="1",BI145,0)</f>
        <v>0</v>
      </c>
      <c r="AD145" s="67">
        <f>IF(AQ145="7",BH145,0)</f>
        <v>0</v>
      </c>
      <c r="AE145" s="67">
        <f>IF(AQ145="7",BI145,0)</f>
        <v>0</v>
      </c>
      <c r="AF145" s="67">
        <f>IF(AQ145="2",BH145,0)</f>
        <v>0</v>
      </c>
      <c r="AG145" s="67">
        <f>IF(AQ145="2",BI145,0)</f>
        <v>0</v>
      </c>
      <c r="AH145" s="67">
        <f>IF(AQ145="0",BJ145,0)</f>
        <v>0</v>
      </c>
      <c r="AI145" s="12"/>
      <c r="AJ145" s="13">
        <f>IF(AN145=0,K145,0)</f>
        <v>0</v>
      </c>
      <c r="AK145" s="13">
        <f>IF(AN145=15,K145,0)</f>
        <v>0</v>
      </c>
      <c r="AL145" s="13">
        <f>IF(AN145=21,K145,0)</f>
        <v>0</v>
      </c>
      <c r="AN145" s="67">
        <v>15</v>
      </c>
      <c r="AO145" s="67">
        <f>J145*1</f>
        <v>0</v>
      </c>
      <c r="AP145" s="67">
        <f>J145*(1-1)</f>
        <v>0</v>
      </c>
      <c r="AQ145" s="17" t="s">
        <v>12</v>
      </c>
      <c r="AV145" s="67">
        <f>AW145+AX145</f>
        <v>0</v>
      </c>
      <c r="AW145" s="67">
        <f>I145*AO145</f>
        <v>0</v>
      </c>
      <c r="AX145" s="67">
        <f>I145*AP145</f>
        <v>0</v>
      </c>
      <c r="AY145" s="68" t="s">
        <v>970</v>
      </c>
      <c r="AZ145" s="68" t="s">
        <v>970</v>
      </c>
      <c r="BA145" s="12" t="s">
        <v>996</v>
      </c>
      <c r="BC145" s="67">
        <f>AW145+AX145</f>
        <v>0</v>
      </c>
      <c r="BD145" s="67">
        <f>J145/(100-BE145)*100</f>
        <v>0</v>
      </c>
      <c r="BE145" s="67">
        <v>0</v>
      </c>
      <c r="BF145" s="67">
        <f>145</f>
        <v>145</v>
      </c>
      <c r="BH145" s="13">
        <f>I145*AO145</f>
        <v>0</v>
      </c>
      <c r="BI145" s="13">
        <f>I145*AP145</f>
        <v>0</v>
      </c>
      <c r="BJ145" s="13">
        <f>I145*J145</f>
        <v>0</v>
      </c>
    </row>
    <row r="146" spans="1:62" ht="12.75">
      <c r="A146" s="3" t="s">
        <v>124</v>
      </c>
      <c r="B146" s="3" t="s">
        <v>326</v>
      </c>
      <c r="C146" s="143" t="s">
        <v>691</v>
      </c>
      <c r="D146" s="144"/>
      <c r="E146" s="144"/>
      <c r="F146" s="144"/>
      <c r="G146" s="144"/>
      <c r="H146" s="3" t="s">
        <v>854</v>
      </c>
      <c r="I146" s="10">
        <v>1</v>
      </c>
      <c r="J146" s="59">
        <v>0</v>
      </c>
      <c r="K146" s="10">
        <f>I146*J146</f>
        <v>0</v>
      </c>
      <c r="L146" s="16" t="s">
        <v>941</v>
      </c>
      <c r="Z146" s="67">
        <f>IF(AQ146="5",BJ146,0)</f>
        <v>0</v>
      </c>
      <c r="AB146" s="67">
        <f>IF(AQ146="1",BH146,0)</f>
        <v>0</v>
      </c>
      <c r="AC146" s="67">
        <f>IF(AQ146="1",BI146,0)</f>
        <v>0</v>
      </c>
      <c r="AD146" s="67">
        <f>IF(AQ146="7",BH146,0)</f>
        <v>0</v>
      </c>
      <c r="AE146" s="67">
        <f>IF(AQ146="7",BI146,0)</f>
        <v>0</v>
      </c>
      <c r="AF146" s="67">
        <f>IF(AQ146="2",BH146,0)</f>
        <v>0</v>
      </c>
      <c r="AG146" s="67">
        <f>IF(AQ146="2",BI146,0)</f>
        <v>0</v>
      </c>
      <c r="AH146" s="67">
        <f>IF(AQ146="0",BJ146,0)</f>
        <v>0</v>
      </c>
      <c r="AI146" s="12"/>
      <c r="AJ146" s="10">
        <f>IF(AN146=0,K146,0)</f>
        <v>0</v>
      </c>
      <c r="AK146" s="10">
        <f>IF(AN146=15,K146,0)</f>
        <v>0</v>
      </c>
      <c r="AL146" s="10">
        <f>IF(AN146=21,K146,0)</f>
        <v>0</v>
      </c>
      <c r="AN146" s="67">
        <v>15</v>
      </c>
      <c r="AO146" s="67">
        <f>J146*0.875756949946752</f>
        <v>0</v>
      </c>
      <c r="AP146" s="67">
        <f>J146*(1-0.875756949946752)</f>
        <v>0</v>
      </c>
      <c r="AQ146" s="16" t="s">
        <v>12</v>
      </c>
      <c r="AV146" s="67">
        <f>AW146+AX146</f>
        <v>0</v>
      </c>
      <c r="AW146" s="67">
        <f>I146*AO146</f>
        <v>0</v>
      </c>
      <c r="AX146" s="67">
        <f>I146*AP146</f>
        <v>0</v>
      </c>
      <c r="AY146" s="68" t="s">
        <v>970</v>
      </c>
      <c r="AZ146" s="68" t="s">
        <v>970</v>
      </c>
      <c r="BA146" s="12" t="s">
        <v>996</v>
      </c>
      <c r="BC146" s="67">
        <f>AW146+AX146</f>
        <v>0</v>
      </c>
      <c r="BD146" s="67">
        <f>J146/(100-BE146)*100</f>
        <v>0</v>
      </c>
      <c r="BE146" s="67">
        <v>0</v>
      </c>
      <c r="BF146" s="67">
        <f>146</f>
        <v>146</v>
      </c>
      <c r="BH146" s="10">
        <f>I146*AO146</f>
        <v>0</v>
      </c>
      <c r="BI146" s="10">
        <f>I146*AP146</f>
        <v>0</v>
      </c>
      <c r="BJ146" s="10">
        <f>I146*J146</f>
        <v>0</v>
      </c>
    </row>
    <row r="147" spans="1:62" ht="12.75">
      <c r="A147" s="3" t="s">
        <v>125</v>
      </c>
      <c r="B147" s="3" t="s">
        <v>327</v>
      </c>
      <c r="C147" s="143" t="s">
        <v>692</v>
      </c>
      <c r="D147" s="144"/>
      <c r="E147" s="144"/>
      <c r="F147" s="144"/>
      <c r="G147" s="144"/>
      <c r="H147" s="3" t="s">
        <v>860</v>
      </c>
      <c r="I147" s="10">
        <v>1</v>
      </c>
      <c r="J147" s="59">
        <v>0</v>
      </c>
      <c r="K147" s="10">
        <f>I147*J147</f>
        <v>0</v>
      </c>
      <c r="L147" s="16" t="s">
        <v>941</v>
      </c>
      <c r="Z147" s="67">
        <f>IF(AQ147="5",BJ147,0)</f>
        <v>0</v>
      </c>
      <c r="AB147" s="67">
        <f>IF(AQ147="1",BH147,0)</f>
        <v>0</v>
      </c>
      <c r="AC147" s="67">
        <f>IF(AQ147="1",BI147,0)</f>
        <v>0</v>
      </c>
      <c r="AD147" s="67">
        <f>IF(AQ147="7",BH147,0)</f>
        <v>0</v>
      </c>
      <c r="AE147" s="67">
        <f>IF(AQ147="7",BI147,0)</f>
        <v>0</v>
      </c>
      <c r="AF147" s="67">
        <f>IF(AQ147="2",BH147,0)</f>
        <v>0</v>
      </c>
      <c r="AG147" s="67">
        <f>IF(AQ147="2",BI147,0)</f>
        <v>0</v>
      </c>
      <c r="AH147" s="67">
        <f>IF(AQ147="0",BJ147,0)</f>
        <v>0</v>
      </c>
      <c r="AI147" s="12"/>
      <c r="AJ147" s="10">
        <f>IF(AN147=0,K147,0)</f>
        <v>0</v>
      </c>
      <c r="AK147" s="10">
        <f>IF(AN147=15,K147,0)</f>
        <v>0</v>
      </c>
      <c r="AL147" s="10">
        <f>IF(AN147=21,K147,0)</f>
        <v>0</v>
      </c>
      <c r="AN147" s="67">
        <v>15</v>
      </c>
      <c r="AO147" s="67">
        <f>J147*0.471800606060606</f>
        <v>0</v>
      </c>
      <c r="AP147" s="67">
        <f>J147*(1-0.471800606060606)</f>
        <v>0</v>
      </c>
      <c r="AQ147" s="16" t="s">
        <v>12</v>
      </c>
      <c r="AV147" s="67">
        <f>AW147+AX147</f>
        <v>0</v>
      </c>
      <c r="AW147" s="67">
        <f>I147*AO147</f>
        <v>0</v>
      </c>
      <c r="AX147" s="67">
        <f>I147*AP147</f>
        <v>0</v>
      </c>
      <c r="AY147" s="68" t="s">
        <v>970</v>
      </c>
      <c r="AZ147" s="68" t="s">
        <v>970</v>
      </c>
      <c r="BA147" s="12" t="s">
        <v>996</v>
      </c>
      <c r="BC147" s="67">
        <f>AW147+AX147</f>
        <v>0</v>
      </c>
      <c r="BD147" s="67">
        <f>J147/(100-BE147)*100</f>
        <v>0</v>
      </c>
      <c r="BE147" s="67">
        <v>0</v>
      </c>
      <c r="BF147" s="67">
        <f>147</f>
        <v>147</v>
      </c>
      <c r="BH147" s="10">
        <f>I147*AO147</f>
        <v>0</v>
      </c>
      <c r="BI147" s="10">
        <f>I147*AP147</f>
        <v>0</v>
      </c>
      <c r="BJ147" s="10">
        <f>I147*J147</f>
        <v>0</v>
      </c>
    </row>
    <row r="148" spans="1:62" ht="12.75">
      <c r="A148" s="3" t="s">
        <v>126</v>
      </c>
      <c r="B148" s="3" t="s">
        <v>328</v>
      </c>
      <c r="C148" s="143" t="s">
        <v>693</v>
      </c>
      <c r="D148" s="144"/>
      <c r="E148" s="144"/>
      <c r="F148" s="144"/>
      <c r="G148" s="144"/>
      <c r="H148" s="3" t="s">
        <v>859</v>
      </c>
      <c r="I148" s="10">
        <v>385.47</v>
      </c>
      <c r="J148" s="59">
        <v>0</v>
      </c>
      <c r="K148" s="10">
        <f>I148*J148</f>
        <v>0</v>
      </c>
      <c r="L148" s="16" t="s">
        <v>941</v>
      </c>
      <c r="Z148" s="67">
        <f>IF(AQ148="5",BJ148,0)</f>
        <v>0</v>
      </c>
      <c r="AB148" s="67">
        <f>IF(AQ148="1",BH148,0)</f>
        <v>0</v>
      </c>
      <c r="AC148" s="67">
        <f>IF(AQ148="1",BI148,0)</f>
        <v>0</v>
      </c>
      <c r="AD148" s="67">
        <f>IF(AQ148="7",BH148,0)</f>
        <v>0</v>
      </c>
      <c r="AE148" s="67">
        <f>IF(AQ148="7",BI148,0)</f>
        <v>0</v>
      </c>
      <c r="AF148" s="67">
        <f>IF(AQ148="2",BH148,0)</f>
        <v>0</v>
      </c>
      <c r="AG148" s="67">
        <f>IF(AQ148="2",BI148,0)</f>
        <v>0</v>
      </c>
      <c r="AH148" s="67">
        <f>IF(AQ148="0",BJ148,0)</f>
        <v>0</v>
      </c>
      <c r="AI148" s="12"/>
      <c r="AJ148" s="10">
        <f>IF(AN148=0,K148,0)</f>
        <v>0</v>
      </c>
      <c r="AK148" s="10">
        <f>IF(AN148=15,K148,0)</f>
        <v>0</v>
      </c>
      <c r="AL148" s="10">
        <f>IF(AN148=21,K148,0)</f>
        <v>0</v>
      </c>
      <c r="AN148" s="67">
        <v>15</v>
      </c>
      <c r="AO148" s="67">
        <f>J148*0</f>
        <v>0</v>
      </c>
      <c r="AP148" s="67">
        <f>J148*(1-0)</f>
        <v>0</v>
      </c>
      <c r="AQ148" s="16" t="s">
        <v>10</v>
      </c>
      <c r="AV148" s="67">
        <f>AW148+AX148</f>
        <v>0</v>
      </c>
      <c r="AW148" s="67">
        <f>I148*AO148</f>
        <v>0</v>
      </c>
      <c r="AX148" s="67">
        <f>I148*AP148</f>
        <v>0</v>
      </c>
      <c r="AY148" s="68" t="s">
        <v>970</v>
      </c>
      <c r="AZ148" s="68" t="s">
        <v>970</v>
      </c>
      <c r="BA148" s="12" t="s">
        <v>996</v>
      </c>
      <c r="BC148" s="67">
        <f>AW148+AX148</f>
        <v>0</v>
      </c>
      <c r="BD148" s="67">
        <f>J148/(100-BE148)*100</f>
        <v>0</v>
      </c>
      <c r="BE148" s="67">
        <v>0</v>
      </c>
      <c r="BF148" s="67">
        <f>148</f>
        <v>148</v>
      </c>
      <c r="BH148" s="10">
        <f>I148*AO148</f>
        <v>0</v>
      </c>
      <c r="BI148" s="10">
        <f>I148*AP148</f>
        <v>0</v>
      </c>
      <c r="BJ148" s="10">
        <f>I148*J148</f>
        <v>0</v>
      </c>
    </row>
    <row r="149" spans="1:47" ht="12.75">
      <c r="A149" s="50"/>
      <c r="B149" s="4" t="s">
        <v>329</v>
      </c>
      <c r="C149" s="145" t="s">
        <v>695</v>
      </c>
      <c r="D149" s="146"/>
      <c r="E149" s="146"/>
      <c r="F149" s="146"/>
      <c r="G149" s="146"/>
      <c r="H149" s="50" t="s">
        <v>927</v>
      </c>
      <c r="I149" s="50" t="s">
        <v>927</v>
      </c>
      <c r="J149" s="60" t="s">
        <v>927</v>
      </c>
      <c r="K149" s="70">
        <f>SUM(K150:K156)</f>
        <v>0</v>
      </c>
      <c r="L149" s="12"/>
      <c r="AI149" s="12"/>
      <c r="AS149" s="70">
        <f>SUM(AJ150:AJ156)</f>
        <v>0</v>
      </c>
      <c r="AT149" s="70">
        <f>SUM(AK150:AK156)</f>
        <v>0</v>
      </c>
      <c r="AU149" s="70">
        <f>SUM(AL150:AL156)</f>
        <v>0</v>
      </c>
    </row>
    <row r="150" spans="1:62" ht="12.75">
      <c r="A150" s="3" t="s">
        <v>127</v>
      </c>
      <c r="B150" s="3" t="s">
        <v>330</v>
      </c>
      <c r="C150" s="143" t="s">
        <v>696</v>
      </c>
      <c r="D150" s="144"/>
      <c r="E150" s="144"/>
      <c r="F150" s="144"/>
      <c r="G150" s="144"/>
      <c r="H150" s="3" t="s">
        <v>856</v>
      </c>
      <c r="I150" s="10">
        <v>234.25</v>
      </c>
      <c r="J150" s="59">
        <v>0</v>
      </c>
      <c r="K150" s="10">
        <f aca="true" t="shared" si="162" ref="K150:K156">I150*J150</f>
        <v>0</v>
      </c>
      <c r="L150" s="16" t="s">
        <v>941</v>
      </c>
      <c r="Z150" s="67">
        <f aca="true" t="shared" si="163" ref="Z150:Z156">IF(AQ150="5",BJ150,0)</f>
        <v>0</v>
      </c>
      <c r="AB150" s="67">
        <f aca="true" t="shared" si="164" ref="AB150:AB156">IF(AQ150="1",BH150,0)</f>
        <v>0</v>
      </c>
      <c r="AC150" s="67">
        <f aca="true" t="shared" si="165" ref="AC150:AC156">IF(AQ150="1",BI150,0)</f>
        <v>0</v>
      </c>
      <c r="AD150" s="67">
        <f aca="true" t="shared" si="166" ref="AD150:AD156">IF(AQ150="7",BH150,0)</f>
        <v>0</v>
      </c>
      <c r="AE150" s="67">
        <f aca="true" t="shared" si="167" ref="AE150:AE156">IF(AQ150="7",BI150,0)</f>
        <v>0</v>
      </c>
      <c r="AF150" s="67">
        <f aca="true" t="shared" si="168" ref="AF150:AF156">IF(AQ150="2",BH150,0)</f>
        <v>0</v>
      </c>
      <c r="AG150" s="67">
        <f aca="true" t="shared" si="169" ref="AG150:AG156">IF(AQ150="2",BI150,0)</f>
        <v>0</v>
      </c>
      <c r="AH150" s="67">
        <f aca="true" t="shared" si="170" ref="AH150:AH156">IF(AQ150="0",BJ150,0)</f>
        <v>0</v>
      </c>
      <c r="AI150" s="12"/>
      <c r="AJ150" s="10">
        <f aca="true" t="shared" si="171" ref="AJ150:AJ156">IF(AN150=0,K150,0)</f>
        <v>0</v>
      </c>
      <c r="AK150" s="10">
        <f aca="true" t="shared" si="172" ref="AK150:AK156">IF(AN150=15,K150,0)</f>
        <v>0</v>
      </c>
      <c r="AL150" s="10">
        <f aca="true" t="shared" si="173" ref="AL150:AL156">IF(AN150=21,K150,0)</f>
        <v>0</v>
      </c>
      <c r="AN150" s="67">
        <v>15</v>
      </c>
      <c r="AO150" s="67">
        <f>J150*0.672380360489957</f>
        <v>0</v>
      </c>
      <c r="AP150" s="67">
        <f>J150*(1-0.672380360489957)</f>
        <v>0</v>
      </c>
      <c r="AQ150" s="16" t="s">
        <v>12</v>
      </c>
      <c r="AV150" s="67">
        <f aca="true" t="shared" si="174" ref="AV150:AV156">AW150+AX150</f>
        <v>0</v>
      </c>
      <c r="AW150" s="67">
        <f aca="true" t="shared" si="175" ref="AW150:AW156">I150*AO150</f>
        <v>0</v>
      </c>
      <c r="AX150" s="67">
        <f aca="true" t="shared" si="176" ref="AX150:AX156">I150*AP150</f>
        <v>0</v>
      </c>
      <c r="AY150" s="68" t="s">
        <v>971</v>
      </c>
      <c r="AZ150" s="68" t="s">
        <v>992</v>
      </c>
      <c r="BA150" s="12" t="s">
        <v>996</v>
      </c>
      <c r="BC150" s="67">
        <f aca="true" t="shared" si="177" ref="BC150:BC156">AW150+AX150</f>
        <v>0</v>
      </c>
      <c r="BD150" s="67">
        <f aca="true" t="shared" si="178" ref="BD150:BD156">J150/(100-BE150)*100</f>
        <v>0</v>
      </c>
      <c r="BE150" s="67">
        <v>0</v>
      </c>
      <c r="BF150" s="67">
        <f>150</f>
        <v>150</v>
      </c>
      <c r="BH150" s="10">
        <f aca="true" t="shared" si="179" ref="BH150:BH156">I150*AO150</f>
        <v>0</v>
      </c>
      <c r="BI150" s="10">
        <f aca="true" t="shared" si="180" ref="BI150:BI156">I150*AP150</f>
        <v>0</v>
      </c>
      <c r="BJ150" s="10">
        <f aca="true" t="shared" si="181" ref="BJ150:BJ156">I150*J150</f>
        <v>0</v>
      </c>
    </row>
    <row r="151" spans="1:62" ht="12.75">
      <c r="A151" s="5" t="s">
        <v>128</v>
      </c>
      <c r="B151" s="5" t="s">
        <v>331</v>
      </c>
      <c r="C151" s="147" t="s">
        <v>698</v>
      </c>
      <c r="D151" s="148"/>
      <c r="E151" s="148"/>
      <c r="F151" s="148"/>
      <c r="G151" s="148"/>
      <c r="H151" s="5" t="s">
        <v>851</v>
      </c>
      <c r="I151" s="13">
        <v>6.18</v>
      </c>
      <c r="J151" s="61">
        <v>0</v>
      </c>
      <c r="K151" s="13">
        <f t="shared" si="162"/>
        <v>0</v>
      </c>
      <c r="L151" s="17" t="s">
        <v>941</v>
      </c>
      <c r="Z151" s="67">
        <f t="shared" si="163"/>
        <v>0</v>
      </c>
      <c r="AB151" s="67">
        <f t="shared" si="164"/>
        <v>0</v>
      </c>
      <c r="AC151" s="67">
        <f t="shared" si="165"/>
        <v>0</v>
      </c>
      <c r="AD151" s="67">
        <f t="shared" si="166"/>
        <v>0</v>
      </c>
      <c r="AE151" s="67">
        <f t="shared" si="167"/>
        <v>0</v>
      </c>
      <c r="AF151" s="67">
        <f t="shared" si="168"/>
        <v>0</v>
      </c>
      <c r="AG151" s="67">
        <f t="shared" si="169"/>
        <v>0</v>
      </c>
      <c r="AH151" s="67">
        <f t="shared" si="170"/>
        <v>0</v>
      </c>
      <c r="AI151" s="12"/>
      <c r="AJ151" s="13">
        <f t="shared" si="171"/>
        <v>0</v>
      </c>
      <c r="AK151" s="13">
        <f t="shared" si="172"/>
        <v>0</v>
      </c>
      <c r="AL151" s="13">
        <f t="shared" si="173"/>
        <v>0</v>
      </c>
      <c r="AN151" s="67">
        <v>15</v>
      </c>
      <c r="AO151" s="67">
        <f>J151*1</f>
        <v>0</v>
      </c>
      <c r="AP151" s="67">
        <f>J151*(1-1)</f>
        <v>0</v>
      </c>
      <c r="AQ151" s="17" t="s">
        <v>12</v>
      </c>
      <c r="AV151" s="67">
        <f t="shared" si="174"/>
        <v>0</v>
      </c>
      <c r="AW151" s="67">
        <f t="shared" si="175"/>
        <v>0</v>
      </c>
      <c r="AX151" s="67">
        <f t="shared" si="176"/>
        <v>0</v>
      </c>
      <c r="AY151" s="68" t="s">
        <v>971</v>
      </c>
      <c r="AZ151" s="68" t="s">
        <v>992</v>
      </c>
      <c r="BA151" s="12" t="s">
        <v>996</v>
      </c>
      <c r="BC151" s="67">
        <f t="shared" si="177"/>
        <v>0</v>
      </c>
      <c r="BD151" s="67">
        <f t="shared" si="178"/>
        <v>0</v>
      </c>
      <c r="BE151" s="67">
        <v>0</v>
      </c>
      <c r="BF151" s="67">
        <f>151</f>
        <v>151</v>
      </c>
      <c r="BH151" s="13">
        <f t="shared" si="179"/>
        <v>0</v>
      </c>
      <c r="BI151" s="13">
        <f t="shared" si="180"/>
        <v>0</v>
      </c>
      <c r="BJ151" s="13">
        <f t="shared" si="181"/>
        <v>0</v>
      </c>
    </row>
    <row r="152" spans="1:62" ht="12.75">
      <c r="A152" s="3" t="s">
        <v>129</v>
      </c>
      <c r="B152" s="3" t="s">
        <v>332</v>
      </c>
      <c r="C152" s="143" t="s">
        <v>700</v>
      </c>
      <c r="D152" s="144"/>
      <c r="E152" s="144"/>
      <c r="F152" s="144"/>
      <c r="G152" s="144"/>
      <c r="H152" s="3" t="s">
        <v>851</v>
      </c>
      <c r="I152" s="10">
        <v>5.62</v>
      </c>
      <c r="J152" s="59">
        <v>0</v>
      </c>
      <c r="K152" s="10">
        <f t="shared" si="162"/>
        <v>0</v>
      </c>
      <c r="L152" s="16" t="s">
        <v>941</v>
      </c>
      <c r="Z152" s="67">
        <f t="shared" si="163"/>
        <v>0</v>
      </c>
      <c r="AB152" s="67">
        <f t="shared" si="164"/>
        <v>0</v>
      </c>
      <c r="AC152" s="67">
        <f t="shared" si="165"/>
        <v>0</v>
      </c>
      <c r="AD152" s="67">
        <f t="shared" si="166"/>
        <v>0</v>
      </c>
      <c r="AE152" s="67">
        <f t="shared" si="167"/>
        <v>0</v>
      </c>
      <c r="AF152" s="67">
        <f t="shared" si="168"/>
        <v>0</v>
      </c>
      <c r="AG152" s="67">
        <f t="shared" si="169"/>
        <v>0</v>
      </c>
      <c r="AH152" s="67">
        <f t="shared" si="170"/>
        <v>0</v>
      </c>
      <c r="AI152" s="12"/>
      <c r="AJ152" s="10">
        <f t="shared" si="171"/>
        <v>0</v>
      </c>
      <c r="AK152" s="10">
        <f t="shared" si="172"/>
        <v>0</v>
      </c>
      <c r="AL152" s="10">
        <f t="shared" si="173"/>
        <v>0</v>
      </c>
      <c r="AN152" s="67">
        <v>15</v>
      </c>
      <c r="AO152" s="67">
        <f>J152*1.00044596558317</f>
        <v>0</v>
      </c>
      <c r="AP152" s="67">
        <f>J152*(1-1.00044596558317)</f>
        <v>0</v>
      </c>
      <c r="AQ152" s="16" t="s">
        <v>12</v>
      </c>
      <c r="AV152" s="67">
        <f t="shared" si="174"/>
        <v>0</v>
      </c>
      <c r="AW152" s="67">
        <f t="shared" si="175"/>
        <v>0</v>
      </c>
      <c r="AX152" s="67">
        <f t="shared" si="176"/>
        <v>0</v>
      </c>
      <c r="AY152" s="68" t="s">
        <v>971</v>
      </c>
      <c r="AZ152" s="68" t="s">
        <v>992</v>
      </c>
      <c r="BA152" s="12" t="s">
        <v>996</v>
      </c>
      <c r="BC152" s="67">
        <f t="shared" si="177"/>
        <v>0</v>
      </c>
      <c r="BD152" s="67">
        <f t="shared" si="178"/>
        <v>0</v>
      </c>
      <c r="BE152" s="67">
        <v>0</v>
      </c>
      <c r="BF152" s="67">
        <f>152</f>
        <v>152</v>
      </c>
      <c r="BH152" s="10">
        <f t="shared" si="179"/>
        <v>0</v>
      </c>
      <c r="BI152" s="10">
        <f t="shared" si="180"/>
        <v>0</v>
      </c>
      <c r="BJ152" s="10">
        <f t="shared" si="181"/>
        <v>0</v>
      </c>
    </row>
    <row r="153" spans="1:62" ht="12.75">
      <c r="A153" s="3" t="s">
        <v>130</v>
      </c>
      <c r="B153" s="3" t="s">
        <v>333</v>
      </c>
      <c r="C153" s="143" t="s">
        <v>702</v>
      </c>
      <c r="D153" s="144"/>
      <c r="E153" s="144"/>
      <c r="F153" s="144"/>
      <c r="G153" s="144"/>
      <c r="H153" s="3" t="s">
        <v>852</v>
      </c>
      <c r="I153" s="10">
        <v>150.32</v>
      </c>
      <c r="J153" s="59">
        <v>0</v>
      </c>
      <c r="K153" s="10">
        <f t="shared" si="162"/>
        <v>0</v>
      </c>
      <c r="L153" s="16" t="s">
        <v>941</v>
      </c>
      <c r="Z153" s="67">
        <f t="shared" si="163"/>
        <v>0</v>
      </c>
      <c r="AB153" s="67">
        <f t="shared" si="164"/>
        <v>0</v>
      </c>
      <c r="AC153" s="67">
        <f t="shared" si="165"/>
        <v>0</v>
      </c>
      <c r="AD153" s="67">
        <f t="shared" si="166"/>
        <v>0</v>
      </c>
      <c r="AE153" s="67">
        <f t="shared" si="167"/>
        <v>0</v>
      </c>
      <c r="AF153" s="67">
        <f t="shared" si="168"/>
        <v>0</v>
      </c>
      <c r="AG153" s="67">
        <f t="shared" si="169"/>
        <v>0</v>
      </c>
      <c r="AH153" s="67">
        <f t="shared" si="170"/>
        <v>0</v>
      </c>
      <c r="AI153" s="12"/>
      <c r="AJ153" s="10">
        <f t="shared" si="171"/>
        <v>0</v>
      </c>
      <c r="AK153" s="10">
        <f t="shared" si="172"/>
        <v>0</v>
      </c>
      <c r="AL153" s="10">
        <f t="shared" si="173"/>
        <v>0</v>
      </c>
      <c r="AN153" s="67">
        <v>15</v>
      </c>
      <c r="AO153" s="67">
        <f>J153*0.588136270208729</f>
        <v>0</v>
      </c>
      <c r="AP153" s="67">
        <f>J153*(1-0.588136270208729)</f>
        <v>0</v>
      </c>
      <c r="AQ153" s="16" t="s">
        <v>12</v>
      </c>
      <c r="AV153" s="67">
        <f t="shared" si="174"/>
        <v>0</v>
      </c>
      <c r="AW153" s="67">
        <f t="shared" si="175"/>
        <v>0</v>
      </c>
      <c r="AX153" s="67">
        <f t="shared" si="176"/>
        <v>0</v>
      </c>
      <c r="AY153" s="68" t="s">
        <v>971</v>
      </c>
      <c r="AZ153" s="68" t="s">
        <v>992</v>
      </c>
      <c r="BA153" s="12" t="s">
        <v>996</v>
      </c>
      <c r="BC153" s="67">
        <f t="shared" si="177"/>
        <v>0</v>
      </c>
      <c r="BD153" s="67">
        <f t="shared" si="178"/>
        <v>0</v>
      </c>
      <c r="BE153" s="67">
        <v>0</v>
      </c>
      <c r="BF153" s="67">
        <f>153</f>
        <v>153</v>
      </c>
      <c r="BH153" s="10">
        <f t="shared" si="179"/>
        <v>0</v>
      </c>
      <c r="BI153" s="10">
        <f t="shared" si="180"/>
        <v>0</v>
      </c>
      <c r="BJ153" s="10">
        <f t="shared" si="181"/>
        <v>0</v>
      </c>
    </row>
    <row r="154" spans="1:62" ht="12.75">
      <c r="A154" s="3" t="s">
        <v>131</v>
      </c>
      <c r="B154" s="3" t="s">
        <v>334</v>
      </c>
      <c r="C154" s="143" t="s">
        <v>704</v>
      </c>
      <c r="D154" s="144"/>
      <c r="E154" s="144"/>
      <c r="F154" s="144"/>
      <c r="G154" s="144"/>
      <c r="H154" s="3" t="s">
        <v>860</v>
      </c>
      <c r="I154" s="10">
        <v>1</v>
      </c>
      <c r="J154" s="59">
        <v>0</v>
      </c>
      <c r="K154" s="10">
        <f t="shared" si="162"/>
        <v>0</v>
      </c>
      <c r="L154" s="16" t="s">
        <v>940</v>
      </c>
      <c r="Z154" s="67">
        <f t="shared" si="163"/>
        <v>0</v>
      </c>
      <c r="AB154" s="67">
        <f t="shared" si="164"/>
        <v>0</v>
      </c>
      <c r="AC154" s="67">
        <f t="shared" si="165"/>
        <v>0</v>
      </c>
      <c r="AD154" s="67">
        <f t="shared" si="166"/>
        <v>0</v>
      </c>
      <c r="AE154" s="67">
        <f t="shared" si="167"/>
        <v>0</v>
      </c>
      <c r="AF154" s="67">
        <f t="shared" si="168"/>
        <v>0</v>
      </c>
      <c r="AG154" s="67">
        <f t="shared" si="169"/>
        <v>0</v>
      </c>
      <c r="AH154" s="67">
        <f t="shared" si="170"/>
        <v>0</v>
      </c>
      <c r="AI154" s="12"/>
      <c r="AJ154" s="10">
        <f t="shared" si="171"/>
        <v>0</v>
      </c>
      <c r="AK154" s="10">
        <f t="shared" si="172"/>
        <v>0</v>
      </c>
      <c r="AL154" s="10">
        <f t="shared" si="173"/>
        <v>0</v>
      </c>
      <c r="AN154" s="67">
        <v>15</v>
      </c>
      <c r="AO154" s="67">
        <f>J154*0.369403849154747</f>
        <v>0</v>
      </c>
      <c r="AP154" s="67">
        <f>J154*(1-0.369403849154747)</f>
        <v>0</v>
      </c>
      <c r="AQ154" s="16" t="s">
        <v>12</v>
      </c>
      <c r="AV154" s="67">
        <f t="shared" si="174"/>
        <v>0</v>
      </c>
      <c r="AW154" s="67">
        <f t="shared" si="175"/>
        <v>0</v>
      </c>
      <c r="AX154" s="67">
        <f t="shared" si="176"/>
        <v>0</v>
      </c>
      <c r="AY154" s="68" t="s">
        <v>971</v>
      </c>
      <c r="AZ154" s="68" t="s">
        <v>992</v>
      </c>
      <c r="BA154" s="12" t="s">
        <v>996</v>
      </c>
      <c r="BC154" s="67">
        <f t="shared" si="177"/>
        <v>0</v>
      </c>
      <c r="BD154" s="67">
        <f t="shared" si="178"/>
        <v>0</v>
      </c>
      <c r="BE154" s="67">
        <v>0</v>
      </c>
      <c r="BF154" s="67">
        <f>154</f>
        <v>154</v>
      </c>
      <c r="BH154" s="10">
        <f t="shared" si="179"/>
        <v>0</v>
      </c>
      <c r="BI154" s="10">
        <f t="shared" si="180"/>
        <v>0</v>
      </c>
      <c r="BJ154" s="10">
        <f t="shared" si="181"/>
        <v>0</v>
      </c>
    </row>
    <row r="155" spans="1:62" ht="12.75">
      <c r="A155" s="5" t="s">
        <v>132</v>
      </c>
      <c r="B155" s="5" t="s">
        <v>928</v>
      </c>
      <c r="C155" s="147" t="s">
        <v>930</v>
      </c>
      <c r="D155" s="148"/>
      <c r="E155" s="148"/>
      <c r="F155" s="148"/>
      <c r="G155" s="148"/>
      <c r="H155" s="5" t="s">
        <v>854</v>
      </c>
      <c r="I155" s="13">
        <v>1</v>
      </c>
      <c r="J155" s="61">
        <v>0</v>
      </c>
      <c r="K155" s="13">
        <f t="shared" si="162"/>
        <v>0</v>
      </c>
      <c r="L155" s="17" t="s">
        <v>941</v>
      </c>
      <c r="Z155" s="67">
        <f t="shared" si="163"/>
        <v>0</v>
      </c>
      <c r="AB155" s="67">
        <f t="shared" si="164"/>
        <v>0</v>
      </c>
      <c r="AC155" s="67">
        <f t="shared" si="165"/>
        <v>0</v>
      </c>
      <c r="AD155" s="67">
        <f t="shared" si="166"/>
        <v>0</v>
      </c>
      <c r="AE155" s="67">
        <f t="shared" si="167"/>
        <v>0</v>
      </c>
      <c r="AF155" s="67">
        <f t="shared" si="168"/>
        <v>0</v>
      </c>
      <c r="AG155" s="67">
        <f t="shared" si="169"/>
        <v>0</v>
      </c>
      <c r="AH155" s="67">
        <f t="shared" si="170"/>
        <v>0</v>
      </c>
      <c r="AI155" s="12"/>
      <c r="AJ155" s="13">
        <f t="shared" si="171"/>
        <v>0</v>
      </c>
      <c r="AK155" s="13">
        <f t="shared" si="172"/>
        <v>0</v>
      </c>
      <c r="AL155" s="13">
        <f t="shared" si="173"/>
        <v>0</v>
      </c>
      <c r="AN155" s="67">
        <v>15</v>
      </c>
      <c r="AO155" s="67">
        <f>J155*1</f>
        <v>0</v>
      </c>
      <c r="AP155" s="67">
        <f>J155*(1-1)</f>
        <v>0</v>
      </c>
      <c r="AQ155" s="17" t="s">
        <v>12</v>
      </c>
      <c r="AV155" s="67">
        <f t="shared" si="174"/>
        <v>0</v>
      </c>
      <c r="AW155" s="67">
        <f t="shared" si="175"/>
        <v>0</v>
      </c>
      <c r="AX155" s="67">
        <f t="shared" si="176"/>
        <v>0</v>
      </c>
      <c r="AY155" s="68" t="s">
        <v>971</v>
      </c>
      <c r="AZ155" s="68" t="s">
        <v>992</v>
      </c>
      <c r="BA155" s="12" t="s">
        <v>996</v>
      </c>
      <c r="BC155" s="67">
        <f t="shared" si="177"/>
        <v>0</v>
      </c>
      <c r="BD155" s="67">
        <f t="shared" si="178"/>
        <v>0</v>
      </c>
      <c r="BE155" s="67">
        <v>0</v>
      </c>
      <c r="BF155" s="67">
        <f>155</f>
        <v>155</v>
      </c>
      <c r="BH155" s="13">
        <f t="shared" si="179"/>
        <v>0</v>
      </c>
      <c r="BI155" s="13">
        <f t="shared" si="180"/>
        <v>0</v>
      </c>
      <c r="BJ155" s="13">
        <f t="shared" si="181"/>
        <v>0</v>
      </c>
    </row>
    <row r="156" spans="1:62" ht="12.75">
      <c r="A156" s="3" t="s">
        <v>133</v>
      </c>
      <c r="B156" s="3" t="s">
        <v>335</v>
      </c>
      <c r="C156" s="143" t="s">
        <v>705</v>
      </c>
      <c r="D156" s="144"/>
      <c r="E156" s="144"/>
      <c r="F156" s="144"/>
      <c r="G156" s="144"/>
      <c r="H156" s="3" t="s">
        <v>859</v>
      </c>
      <c r="I156" s="10">
        <v>870.54</v>
      </c>
      <c r="J156" s="59">
        <v>0</v>
      </c>
      <c r="K156" s="10">
        <f t="shared" si="162"/>
        <v>0</v>
      </c>
      <c r="L156" s="16" t="s">
        <v>941</v>
      </c>
      <c r="Z156" s="67">
        <f t="shared" si="163"/>
        <v>0</v>
      </c>
      <c r="AB156" s="67">
        <f t="shared" si="164"/>
        <v>0</v>
      </c>
      <c r="AC156" s="67">
        <f t="shared" si="165"/>
        <v>0</v>
      </c>
      <c r="AD156" s="67">
        <f t="shared" si="166"/>
        <v>0</v>
      </c>
      <c r="AE156" s="67">
        <f t="shared" si="167"/>
        <v>0</v>
      </c>
      <c r="AF156" s="67">
        <f t="shared" si="168"/>
        <v>0</v>
      </c>
      <c r="AG156" s="67">
        <f t="shared" si="169"/>
        <v>0</v>
      </c>
      <c r="AH156" s="67">
        <f t="shared" si="170"/>
        <v>0</v>
      </c>
      <c r="AI156" s="12"/>
      <c r="AJ156" s="10">
        <f t="shared" si="171"/>
        <v>0</v>
      </c>
      <c r="AK156" s="10">
        <f t="shared" si="172"/>
        <v>0</v>
      </c>
      <c r="AL156" s="10">
        <f t="shared" si="173"/>
        <v>0</v>
      </c>
      <c r="AN156" s="67">
        <v>15</v>
      </c>
      <c r="AO156" s="67">
        <f>J156*0</f>
        <v>0</v>
      </c>
      <c r="AP156" s="67">
        <f>J156*(1-0)</f>
        <v>0</v>
      </c>
      <c r="AQ156" s="16" t="s">
        <v>10</v>
      </c>
      <c r="AV156" s="67">
        <f t="shared" si="174"/>
        <v>0</v>
      </c>
      <c r="AW156" s="67">
        <f t="shared" si="175"/>
        <v>0</v>
      </c>
      <c r="AX156" s="67">
        <f t="shared" si="176"/>
        <v>0</v>
      </c>
      <c r="AY156" s="68" t="s">
        <v>971</v>
      </c>
      <c r="AZ156" s="68" t="s">
        <v>992</v>
      </c>
      <c r="BA156" s="12" t="s">
        <v>996</v>
      </c>
      <c r="BC156" s="67">
        <f t="shared" si="177"/>
        <v>0</v>
      </c>
      <c r="BD156" s="67">
        <f t="shared" si="178"/>
        <v>0</v>
      </c>
      <c r="BE156" s="67">
        <v>0</v>
      </c>
      <c r="BF156" s="67">
        <f>156</f>
        <v>156</v>
      </c>
      <c r="BH156" s="10">
        <f t="shared" si="179"/>
        <v>0</v>
      </c>
      <c r="BI156" s="10">
        <f t="shared" si="180"/>
        <v>0</v>
      </c>
      <c r="BJ156" s="10">
        <f t="shared" si="181"/>
        <v>0</v>
      </c>
    </row>
    <row r="157" spans="1:47" ht="12.75">
      <c r="A157" s="50"/>
      <c r="B157" s="4" t="s">
        <v>336</v>
      </c>
      <c r="C157" s="145" t="s">
        <v>707</v>
      </c>
      <c r="D157" s="146"/>
      <c r="E157" s="146"/>
      <c r="F157" s="146"/>
      <c r="G157" s="146"/>
      <c r="H157" s="50" t="s">
        <v>927</v>
      </c>
      <c r="I157" s="50" t="s">
        <v>927</v>
      </c>
      <c r="J157" s="60" t="s">
        <v>927</v>
      </c>
      <c r="K157" s="70">
        <f>SUM(K158:K167)</f>
        <v>0</v>
      </c>
      <c r="L157" s="12"/>
      <c r="AI157" s="12"/>
      <c r="AS157" s="70">
        <f>SUM(AJ158:AJ167)</f>
        <v>0</v>
      </c>
      <c r="AT157" s="70">
        <f>SUM(AK158:AK167)</f>
        <v>0</v>
      </c>
      <c r="AU157" s="70">
        <f>SUM(AL158:AL167)</f>
        <v>0</v>
      </c>
    </row>
    <row r="158" spans="1:62" ht="12.75">
      <c r="A158" s="3" t="s">
        <v>134</v>
      </c>
      <c r="B158" s="3" t="s">
        <v>337</v>
      </c>
      <c r="C158" s="143" t="s">
        <v>708</v>
      </c>
      <c r="D158" s="144"/>
      <c r="E158" s="144"/>
      <c r="F158" s="144"/>
      <c r="G158" s="144"/>
      <c r="H158" s="3" t="s">
        <v>852</v>
      </c>
      <c r="I158" s="10">
        <v>6</v>
      </c>
      <c r="J158" s="59">
        <v>0</v>
      </c>
      <c r="K158" s="10">
        <f aca="true" t="shared" si="182" ref="K158:K167">I158*J158</f>
        <v>0</v>
      </c>
      <c r="L158" s="16" t="s">
        <v>941</v>
      </c>
      <c r="Z158" s="67">
        <f aca="true" t="shared" si="183" ref="Z158:Z167">IF(AQ158="5",BJ158,0)</f>
        <v>0</v>
      </c>
      <c r="AB158" s="67">
        <f aca="true" t="shared" si="184" ref="AB158:AB167">IF(AQ158="1",BH158,0)</f>
        <v>0</v>
      </c>
      <c r="AC158" s="67">
        <f aca="true" t="shared" si="185" ref="AC158:AC167">IF(AQ158="1",BI158,0)</f>
        <v>0</v>
      </c>
      <c r="AD158" s="67">
        <f aca="true" t="shared" si="186" ref="AD158:AD167">IF(AQ158="7",BH158,0)</f>
        <v>0</v>
      </c>
      <c r="AE158" s="67">
        <f aca="true" t="shared" si="187" ref="AE158:AE167">IF(AQ158="7",BI158,0)</f>
        <v>0</v>
      </c>
      <c r="AF158" s="67">
        <f aca="true" t="shared" si="188" ref="AF158:AF167">IF(AQ158="2",BH158,0)</f>
        <v>0</v>
      </c>
      <c r="AG158" s="67">
        <f aca="true" t="shared" si="189" ref="AG158:AG167">IF(AQ158="2",BI158,0)</f>
        <v>0</v>
      </c>
      <c r="AH158" s="67">
        <f aca="true" t="shared" si="190" ref="AH158:AH167">IF(AQ158="0",BJ158,0)</f>
        <v>0</v>
      </c>
      <c r="AI158" s="12"/>
      <c r="AJ158" s="10">
        <f aca="true" t="shared" si="191" ref="AJ158:AJ167">IF(AN158=0,K158,0)</f>
        <v>0</v>
      </c>
      <c r="AK158" s="10">
        <f aca="true" t="shared" si="192" ref="AK158:AK167">IF(AN158=15,K158,0)</f>
        <v>0</v>
      </c>
      <c r="AL158" s="10">
        <f aca="true" t="shared" si="193" ref="AL158:AL167">IF(AN158=21,K158,0)</f>
        <v>0</v>
      </c>
      <c r="AN158" s="67">
        <v>15</v>
      </c>
      <c r="AO158" s="67">
        <f>J158*0</f>
        <v>0</v>
      </c>
      <c r="AP158" s="67">
        <f>J158*(1-0)</f>
        <v>0</v>
      </c>
      <c r="AQ158" s="16" t="s">
        <v>12</v>
      </c>
      <c r="AV158" s="67">
        <f aca="true" t="shared" si="194" ref="AV158:AV167">AW158+AX158</f>
        <v>0</v>
      </c>
      <c r="AW158" s="67">
        <f aca="true" t="shared" si="195" ref="AW158:AW167">I158*AO158</f>
        <v>0</v>
      </c>
      <c r="AX158" s="67">
        <f aca="true" t="shared" si="196" ref="AX158:AX167">I158*AP158</f>
        <v>0</v>
      </c>
      <c r="AY158" s="68" t="s">
        <v>972</v>
      </c>
      <c r="AZ158" s="68" t="s">
        <v>992</v>
      </c>
      <c r="BA158" s="12" t="s">
        <v>996</v>
      </c>
      <c r="BC158" s="67">
        <f aca="true" t="shared" si="197" ref="BC158:BC167">AW158+AX158</f>
        <v>0</v>
      </c>
      <c r="BD158" s="67">
        <f aca="true" t="shared" si="198" ref="BD158:BD167">J158/(100-BE158)*100</f>
        <v>0</v>
      </c>
      <c r="BE158" s="67">
        <v>0</v>
      </c>
      <c r="BF158" s="67">
        <f>158</f>
        <v>158</v>
      </c>
      <c r="BH158" s="10">
        <f aca="true" t="shared" si="199" ref="BH158:BH167">I158*AO158</f>
        <v>0</v>
      </c>
      <c r="BI158" s="10">
        <f aca="true" t="shared" si="200" ref="BI158:BI167">I158*AP158</f>
        <v>0</v>
      </c>
      <c r="BJ158" s="10">
        <f aca="true" t="shared" si="201" ref="BJ158:BJ167">I158*J158</f>
        <v>0</v>
      </c>
    </row>
    <row r="159" spans="1:62" ht="12.75">
      <c r="A159" s="3" t="s">
        <v>135</v>
      </c>
      <c r="B159" s="3" t="s">
        <v>338</v>
      </c>
      <c r="C159" s="143" t="s">
        <v>709</v>
      </c>
      <c r="D159" s="144"/>
      <c r="E159" s="144"/>
      <c r="F159" s="144"/>
      <c r="G159" s="144"/>
      <c r="H159" s="3" t="s">
        <v>856</v>
      </c>
      <c r="I159" s="10">
        <v>21.8</v>
      </c>
      <c r="J159" s="59">
        <v>0</v>
      </c>
      <c r="K159" s="10">
        <f t="shared" si="182"/>
        <v>0</v>
      </c>
      <c r="L159" s="16" t="s">
        <v>941</v>
      </c>
      <c r="Z159" s="67">
        <f t="shared" si="183"/>
        <v>0</v>
      </c>
      <c r="AB159" s="67">
        <f t="shared" si="184"/>
        <v>0</v>
      </c>
      <c r="AC159" s="67">
        <f t="shared" si="185"/>
        <v>0</v>
      </c>
      <c r="AD159" s="67">
        <f t="shared" si="186"/>
        <v>0</v>
      </c>
      <c r="AE159" s="67">
        <f t="shared" si="187"/>
        <v>0</v>
      </c>
      <c r="AF159" s="67">
        <f t="shared" si="188"/>
        <v>0</v>
      </c>
      <c r="AG159" s="67">
        <f t="shared" si="189"/>
        <v>0</v>
      </c>
      <c r="AH159" s="67">
        <f t="shared" si="190"/>
        <v>0</v>
      </c>
      <c r="AI159" s="12"/>
      <c r="AJ159" s="10">
        <f t="shared" si="191"/>
        <v>0</v>
      </c>
      <c r="AK159" s="10">
        <f t="shared" si="192"/>
        <v>0</v>
      </c>
      <c r="AL159" s="10">
        <f t="shared" si="193"/>
        <v>0</v>
      </c>
      <c r="AN159" s="67">
        <v>15</v>
      </c>
      <c r="AO159" s="67">
        <f>J159*0</f>
        <v>0</v>
      </c>
      <c r="AP159" s="67">
        <f>J159*(1-0)</f>
        <v>0</v>
      </c>
      <c r="AQ159" s="16" t="s">
        <v>12</v>
      </c>
      <c r="AV159" s="67">
        <f t="shared" si="194"/>
        <v>0</v>
      </c>
      <c r="AW159" s="67">
        <f t="shared" si="195"/>
        <v>0</v>
      </c>
      <c r="AX159" s="67">
        <f t="shared" si="196"/>
        <v>0</v>
      </c>
      <c r="AY159" s="68" t="s">
        <v>972</v>
      </c>
      <c r="AZ159" s="68" t="s">
        <v>992</v>
      </c>
      <c r="BA159" s="12" t="s">
        <v>996</v>
      </c>
      <c r="BC159" s="67">
        <f t="shared" si="197"/>
        <v>0</v>
      </c>
      <c r="BD159" s="67">
        <f t="shared" si="198"/>
        <v>0</v>
      </c>
      <c r="BE159" s="67">
        <v>0</v>
      </c>
      <c r="BF159" s="67">
        <f>159</f>
        <v>159</v>
      </c>
      <c r="BH159" s="10">
        <f t="shared" si="199"/>
        <v>0</v>
      </c>
      <c r="BI159" s="10">
        <f t="shared" si="200"/>
        <v>0</v>
      </c>
      <c r="BJ159" s="10">
        <f t="shared" si="201"/>
        <v>0</v>
      </c>
    </row>
    <row r="160" spans="1:62" ht="12.75">
      <c r="A160" s="3" t="s">
        <v>136</v>
      </c>
      <c r="B160" s="3" t="s">
        <v>339</v>
      </c>
      <c r="C160" s="143" t="s">
        <v>711</v>
      </c>
      <c r="D160" s="144"/>
      <c r="E160" s="144"/>
      <c r="F160" s="144"/>
      <c r="G160" s="144"/>
      <c r="H160" s="3" t="s">
        <v>854</v>
      </c>
      <c r="I160" s="10">
        <v>2</v>
      </c>
      <c r="J160" s="59">
        <v>0</v>
      </c>
      <c r="K160" s="10">
        <f t="shared" si="182"/>
        <v>0</v>
      </c>
      <c r="L160" s="16" t="s">
        <v>941</v>
      </c>
      <c r="Z160" s="67">
        <f t="shared" si="183"/>
        <v>0</v>
      </c>
      <c r="AB160" s="67">
        <f t="shared" si="184"/>
        <v>0</v>
      </c>
      <c r="AC160" s="67">
        <f t="shared" si="185"/>
        <v>0</v>
      </c>
      <c r="AD160" s="67">
        <f t="shared" si="186"/>
        <v>0</v>
      </c>
      <c r="AE160" s="67">
        <f t="shared" si="187"/>
        <v>0</v>
      </c>
      <c r="AF160" s="67">
        <f t="shared" si="188"/>
        <v>0</v>
      </c>
      <c r="AG160" s="67">
        <f t="shared" si="189"/>
        <v>0</v>
      </c>
      <c r="AH160" s="67">
        <f t="shared" si="190"/>
        <v>0</v>
      </c>
      <c r="AI160" s="12"/>
      <c r="AJ160" s="10">
        <f t="shared" si="191"/>
        <v>0</v>
      </c>
      <c r="AK160" s="10">
        <f t="shared" si="192"/>
        <v>0</v>
      </c>
      <c r="AL160" s="10">
        <f t="shared" si="193"/>
        <v>0</v>
      </c>
      <c r="AN160" s="67">
        <v>15</v>
      </c>
      <c r="AO160" s="67">
        <f>J160*0</f>
        <v>0</v>
      </c>
      <c r="AP160" s="67">
        <f>J160*(1-0)</f>
        <v>0</v>
      </c>
      <c r="AQ160" s="16" t="s">
        <v>12</v>
      </c>
      <c r="AV160" s="67">
        <f t="shared" si="194"/>
        <v>0</v>
      </c>
      <c r="AW160" s="67">
        <f t="shared" si="195"/>
        <v>0</v>
      </c>
      <c r="AX160" s="67">
        <f t="shared" si="196"/>
        <v>0</v>
      </c>
      <c r="AY160" s="68" t="s">
        <v>972</v>
      </c>
      <c r="AZ160" s="68" t="s">
        <v>992</v>
      </c>
      <c r="BA160" s="12" t="s">
        <v>996</v>
      </c>
      <c r="BC160" s="67">
        <f t="shared" si="197"/>
        <v>0</v>
      </c>
      <c r="BD160" s="67">
        <f t="shared" si="198"/>
        <v>0</v>
      </c>
      <c r="BE160" s="67">
        <v>0</v>
      </c>
      <c r="BF160" s="67">
        <f>160</f>
        <v>160</v>
      </c>
      <c r="BH160" s="10">
        <f t="shared" si="199"/>
        <v>0</v>
      </c>
      <c r="BI160" s="10">
        <f t="shared" si="200"/>
        <v>0</v>
      </c>
      <c r="BJ160" s="10">
        <f t="shared" si="201"/>
        <v>0</v>
      </c>
    </row>
    <row r="161" spans="1:62" ht="12.75">
      <c r="A161" s="3" t="s">
        <v>137</v>
      </c>
      <c r="B161" s="3" t="s">
        <v>340</v>
      </c>
      <c r="C161" s="143" t="s">
        <v>713</v>
      </c>
      <c r="D161" s="144"/>
      <c r="E161" s="144"/>
      <c r="F161" s="144"/>
      <c r="G161" s="144"/>
      <c r="H161" s="3" t="s">
        <v>854</v>
      </c>
      <c r="I161" s="10">
        <v>4</v>
      </c>
      <c r="J161" s="59">
        <v>0</v>
      </c>
      <c r="K161" s="10">
        <f t="shared" si="182"/>
        <v>0</v>
      </c>
      <c r="L161" s="16" t="s">
        <v>941</v>
      </c>
      <c r="Z161" s="67">
        <f t="shared" si="183"/>
        <v>0</v>
      </c>
      <c r="AB161" s="67">
        <f t="shared" si="184"/>
        <v>0</v>
      </c>
      <c r="AC161" s="67">
        <f t="shared" si="185"/>
        <v>0</v>
      </c>
      <c r="AD161" s="67">
        <f t="shared" si="186"/>
        <v>0</v>
      </c>
      <c r="AE161" s="67">
        <f t="shared" si="187"/>
        <v>0</v>
      </c>
      <c r="AF161" s="67">
        <f t="shared" si="188"/>
        <v>0</v>
      </c>
      <c r="AG161" s="67">
        <f t="shared" si="189"/>
        <v>0</v>
      </c>
      <c r="AH161" s="67">
        <f t="shared" si="190"/>
        <v>0</v>
      </c>
      <c r="AI161" s="12"/>
      <c r="AJ161" s="10">
        <f t="shared" si="191"/>
        <v>0</v>
      </c>
      <c r="AK161" s="10">
        <f t="shared" si="192"/>
        <v>0</v>
      </c>
      <c r="AL161" s="10">
        <f t="shared" si="193"/>
        <v>0</v>
      </c>
      <c r="AN161" s="67">
        <v>15</v>
      </c>
      <c r="AO161" s="67">
        <f>J161*0.169285052071793</f>
        <v>0</v>
      </c>
      <c r="AP161" s="67">
        <f>J161*(1-0.169285052071793)</f>
        <v>0</v>
      </c>
      <c r="AQ161" s="16" t="s">
        <v>12</v>
      </c>
      <c r="AV161" s="67">
        <f t="shared" si="194"/>
        <v>0</v>
      </c>
      <c r="AW161" s="67">
        <f t="shared" si="195"/>
        <v>0</v>
      </c>
      <c r="AX161" s="67">
        <f t="shared" si="196"/>
        <v>0</v>
      </c>
      <c r="AY161" s="68" t="s">
        <v>972</v>
      </c>
      <c r="AZ161" s="68" t="s">
        <v>992</v>
      </c>
      <c r="BA161" s="12" t="s">
        <v>996</v>
      </c>
      <c r="BC161" s="67">
        <f t="shared" si="197"/>
        <v>0</v>
      </c>
      <c r="BD161" s="67">
        <f t="shared" si="198"/>
        <v>0</v>
      </c>
      <c r="BE161" s="67">
        <v>0</v>
      </c>
      <c r="BF161" s="67">
        <f>161</f>
        <v>161</v>
      </c>
      <c r="BH161" s="10">
        <f t="shared" si="199"/>
        <v>0</v>
      </c>
      <c r="BI161" s="10">
        <f t="shared" si="200"/>
        <v>0</v>
      </c>
      <c r="BJ161" s="10">
        <f t="shared" si="201"/>
        <v>0</v>
      </c>
    </row>
    <row r="162" spans="1:62" ht="12.75">
      <c r="A162" s="3" t="s">
        <v>138</v>
      </c>
      <c r="B162" s="3" t="s">
        <v>341</v>
      </c>
      <c r="C162" s="143" t="s">
        <v>714</v>
      </c>
      <c r="D162" s="144"/>
      <c r="E162" s="144"/>
      <c r="F162" s="144"/>
      <c r="G162" s="144"/>
      <c r="H162" s="3" t="s">
        <v>854</v>
      </c>
      <c r="I162" s="10">
        <v>2</v>
      </c>
      <c r="J162" s="59">
        <v>0</v>
      </c>
      <c r="K162" s="10">
        <f t="shared" si="182"/>
        <v>0</v>
      </c>
      <c r="L162" s="16" t="s">
        <v>941</v>
      </c>
      <c r="Z162" s="67">
        <f t="shared" si="183"/>
        <v>0</v>
      </c>
      <c r="AB162" s="67">
        <f t="shared" si="184"/>
        <v>0</v>
      </c>
      <c r="AC162" s="67">
        <f t="shared" si="185"/>
        <v>0</v>
      </c>
      <c r="AD162" s="67">
        <f t="shared" si="186"/>
        <v>0</v>
      </c>
      <c r="AE162" s="67">
        <f t="shared" si="187"/>
        <v>0</v>
      </c>
      <c r="AF162" s="67">
        <f t="shared" si="188"/>
        <v>0</v>
      </c>
      <c r="AG162" s="67">
        <f t="shared" si="189"/>
        <v>0</v>
      </c>
      <c r="AH162" s="67">
        <f t="shared" si="190"/>
        <v>0</v>
      </c>
      <c r="AI162" s="12"/>
      <c r="AJ162" s="10">
        <f t="shared" si="191"/>
        <v>0</v>
      </c>
      <c r="AK162" s="10">
        <f t="shared" si="192"/>
        <v>0</v>
      </c>
      <c r="AL162" s="10">
        <f t="shared" si="193"/>
        <v>0</v>
      </c>
      <c r="AN162" s="67">
        <v>15</v>
      </c>
      <c r="AO162" s="67">
        <f>J162*0.225767916324856</f>
        <v>0</v>
      </c>
      <c r="AP162" s="67">
        <f>J162*(1-0.225767916324856)</f>
        <v>0</v>
      </c>
      <c r="AQ162" s="16" t="s">
        <v>12</v>
      </c>
      <c r="AV162" s="67">
        <f t="shared" si="194"/>
        <v>0</v>
      </c>
      <c r="AW162" s="67">
        <f t="shared" si="195"/>
        <v>0</v>
      </c>
      <c r="AX162" s="67">
        <f t="shared" si="196"/>
        <v>0</v>
      </c>
      <c r="AY162" s="68" t="s">
        <v>972</v>
      </c>
      <c r="AZ162" s="68" t="s">
        <v>992</v>
      </c>
      <c r="BA162" s="12" t="s">
        <v>996</v>
      </c>
      <c r="BC162" s="67">
        <f t="shared" si="197"/>
        <v>0</v>
      </c>
      <c r="BD162" s="67">
        <f t="shared" si="198"/>
        <v>0</v>
      </c>
      <c r="BE162" s="67">
        <v>0</v>
      </c>
      <c r="BF162" s="67">
        <f>162</f>
        <v>162</v>
      </c>
      <c r="BH162" s="10">
        <f t="shared" si="199"/>
        <v>0</v>
      </c>
      <c r="BI162" s="10">
        <f t="shared" si="200"/>
        <v>0</v>
      </c>
      <c r="BJ162" s="10">
        <f t="shared" si="201"/>
        <v>0</v>
      </c>
    </row>
    <row r="163" spans="1:62" ht="12.75">
      <c r="A163" s="3" t="s">
        <v>139</v>
      </c>
      <c r="B163" s="3" t="s">
        <v>342</v>
      </c>
      <c r="C163" s="143" t="s">
        <v>715</v>
      </c>
      <c r="D163" s="144"/>
      <c r="E163" s="144"/>
      <c r="F163" s="144"/>
      <c r="G163" s="144"/>
      <c r="H163" s="3" t="s">
        <v>852</v>
      </c>
      <c r="I163" s="10">
        <v>10</v>
      </c>
      <c r="J163" s="59">
        <v>0</v>
      </c>
      <c r="K163" s="10">
        <f t="shared" si="182"/>
        <v>0</v>
      </c>
      <c r="L163" s="16" t="s">
        <v>941</v>
      </c>
      <c r="Z163" s="67">
        <f t="shared" si="183"/>
        <v>0</v>
      </c>
      <c r="AB163" s="67">
        <f t="shared" si="184"/>
        <v>0</v>
      </c>
      <c r="AC163" s="67">
        <f t="shared" si="185"/>
        <v>0</v>
      </c>
      <c r="AD163" s="67">
        <f t="shared" si="186"/>
        <v>0</v>
      </c>
      <c r="AE163" s="67">
        <f t="shared" si="187"/>
        <v>0</v>
      </c>
      <c r="AF163" s="67">
        <f t="shared" si="188"/>
        <v>0</v>
      </c>
      <c r="AG163" s="67">
        <f t="shared" si="189"/>
        <v>0</v>
      </c>
      <c r="AH163" s="67">
        <f t="shared" si="190"/>
        <v>0</v>
      </c>
      <c r="AI163" s="12"/>
      <c r="AJ163" s="10">
        <f t="shared" si="191"/>
        <v>0</v>
      </c>
      <c r="AK163" s="10">
        <f t="shared" si="192"/>
        <v>0</v>
      </c>
      <c r="AL163" s="10">
        <f t="shared" si="193"/>
        <v>0</v>
      </c>
      <c r="AN163" s="67">
        <v>15</v>
      </c>
      <c r="AO163" s="67">
        <f>J163*0.187291743472815</f>
        <v>0</v>
      </c>
      <c r="AP163" s="67">
        <f>J163*(1-0.187291743472815)</f>
        <v>0</v>
      </c>
      <c r="AQ163" s="16" t="s">
        <v>12</v>
      </c>
      <c r="AV163" s="67">
        <f t="shared" si="194"/>
        <v>0</v>
      </c>
      <c r="AW163" s="67">
        <f t="shared" si="195"/>
        <v>0</v>
      </c>
      <c r="AX163" s="67">
        <f t="shared" si="196"/>
        <v>0</v>
      </c>
      <c r="AY163" s="68" t="s">
        <v>972</v>
      </c>
      <c r="AZ163" s="68" t="s">
        <v>992</v>
      </c>
      <c r="BA163" s="12" t="s">
        <v>996</v>
      </c>
      <c r="BC163" s="67">
        <f t="shared" si="197"/>
        <v>0</v>
      </c>
      <c r="BD163" s="67">
        <f t="shared" si="198"/>
        <v>0</v>
      </c>
      <c r="BE163" s="67">
        <v>0</v>
      </c>
      <c r="BF163" s="67">
        <f>163</f>
        <v>163</v>
      </c>
      <c r="BH163" s="10">
        <f t="shared" si="199"/>
        <v>0</v>
      </c>
      <c r="BI163" s="10">
        <f t="shared" si="200"/>
        <v>0</v>
      </c>
      <c r="BJ163" s="10">
        <f t="shared" si="201"/>
        <v>0</v>
      </c>
    </row>
    <row r="164" spans="1:62" ht="12.75">
      <c r="A164" s="3" t="s">
        <v>140</v>
      </c>
      <c r="B164" s="3" t="s">
        <v>343</v>
      </c>
      <c r="C164" s="143" t="s">
        <v>717</v>
      </c>
      <c r="D164" s="144"/>
      <c r="E164" s="144"/>
      <c r="F164" s="144"/>
      <c r="G164" s="144"/>
      <c r="H164" s="3" t="s">
        <v>856</v>
      </c>
      <c r="I164" s="10">
        <v>3.6</v>
      </c>
      <c r="J164" s="59">
        <v>0</v>
      </c>
      <c r="K164" s="10">
        <f t="shared" si="182"/>
        <v>0</v>
      </c>
      <c r="L164" s="16" t="s">
        <v>941</v>
      </c>
      <c r="Z164" s="67">
        <f t="shared" si="183"/>
        <v>0</v>
      </c>
      <c r="AB164" s="67">
        <f t="shared" si="184"/>
        <v>0</v>
      </c>
      <c r="AC164" s="67">
        <f t="shared" si="185"/>
        <v>0</v>
      </c>
      <c r="AD164" s="67">
        <f t="shared" si="186"/>
        <v>0</v>
      </c>
      <c r="AE164" s="67">
        <f t="shared" si="187"/>
        <v>0</v>
      </c>
      <c r="AF164" s="67">
        <f t="shared" si="188"/>
        <v>0</v>
      </c>
      <c r="AG164" s="67">
        <f t="shared" si="189"/>
        <v>0</v>
      </c>
      <c r="AH164" s="67">
        <f t="shared" si="190"/>
        <v>0</v>
      </c>
      <c r="AI164" s="12"/>
      <c r="AJ164" s="10">
        <f t="shared" si="191"/>
        <v>0</v>
      </c>
      <c r="AK164" s="10">
        <f t="shared" si="192"/>
        <v>0</v>
      </c>
      <c r="AL164" s="10">
        <f t="shared" si="193"/>
        <v>0</v>
      </c>
      <c r="AN164" s="67">
        <v>15</v>
      </c>
      <c r="AO164" s="67">
        <f>J164*0.361193075718016</f>
        <v>0</v>
      </c>
      <c r="AP164" s="67">
        <f>J164*(1-0.361193075718016)</f>
        <v>0</v>
      </c>
      <c r="AQ164" s="16" t="s">
        <v>12</v>
      </c>
      <c r="AV164" s="67">
        <f t="shared" si="194"/>
        <v>0</v>
      </c>
      <c r="AW164" s="67">
        <f t="shared" si="195"/>
        <v>0</v>
      </c>
      <c r="AX164" s="67">
        <f t="shared" si="196"/>
        <v>0</v>
      </c>
      <c r="AY164" s="68" t="s">
        <v>972</v>
      </c>
      <c r="AZ164" s="68" t="s">
        <v>992</v>
      </c>
      <c r="BA164" s="12" t="s">
        <v>996</v>
      </c>
      <c r="BC164" s="67">
        <f t="shared" si="197"/>
        <v>0</v>
      </c>
      <c r="BD164" s="67">
        <f t="shared" si="198"/>
        <v>0</v>
      </c>
      <c r="BE164" s="67">
        <v>0</v>
      </c>
      <c r="BF164" s="67">
        <f>164</f>
        <v>164</v>
      </c>
      <c r="BH164" s="10">
        <f t="shared" si="199"/>
        <v>0</v>
      </c>
      <c r="BI164" s="10">
        <f t="shared" si="200"/>
        <v>0</v>
      </c>
      <c r="BJ164" s="10">
        <f t="shared" si="201"/>
        <v>0</v>
      </c>
    </row>
    <row r="165" spans="1:62" ht="12.75">
      <c r="A165" s="3" t="s">
        <v>141</v>
      </c>
      <c r="B165" s="3" t="s">
        <v>344</v>
      </c>
      <c r="C165" s="143" t="s">
        <v>719</v>
      </c>
      <c r="D165" s="144"/>
      <c r="E165" s="144"/>
      <c r="F165" s="144"/>
      <c r="G165" s="144"/>
      <c r="H165" s="3" t="s">
        <v>856</v>
      </c>
      <c r="I165" s="10">
        <v>9.6</v>
      </c>
      <c r="J165" s="59">
        <v>0</v>
      </c>
      <c r="K165" s="10">
        <f t="shared" si="182"/>
        <v>0</v>
      </c>
      <c r="L165" s="16" t="s">
        <v>941</v>
      </c>
      <c r="Z165" s="67">
        <f t="shared" si="183"/>
        <v>0</v>
      </c>
      <c r="AB165" s="67">
        <f t="shared" si="184"/>
        <v>0</v>
      </c>
      <c r="AC165" s="67">
        <f t="shared" si="185"/>
        <v>0</v>
      </c>
      <c r="AD165" s="67">
        <f t="shared" si="186"/>
        <v>0</v>
      </c>
      <c r="AE165" s="67">
        <f t="shared" si="187"/>
        <v>0</v>
      </c>
      <c r="AF165" s="67">
        <f t="shared" si="188"/>
        <v>0</v>
      </c>
      <c r="AG165" s="67">
        <f t="shared" si="189"/>
        <v>0</v>
      </c>
      <c r="AH165" s="67">
        <f t="shared" si="190"/>
        <v>0</v>
      </c>
      <c r="AI165" s="12"/>
      <c r="AJ165" s="10">
        <f t="shared" si="191"/>
        <v>0</v>
      </c>
      <c r="AK165" s="10">
        <f t="shared" si="192"/>
        <v>0</v>
      </c>
      <c r="AL165" s="10">
        <f t="shared" si="193"/>
        <v>0</v>
      </c>
      <c r="AN165" s="67">
        <v>15</v>
      </c>
      <c r="AO165" s="67">
        <f>J165*0.316458383049439</f>
        <v>0</v>
      </c>
      <c r="AP165" s="67">
        <f>J165*(1-0.316458383049439)</f>
        <v>0</v>
      </c>
      <c r="AQ165" s="16" t="s">
        <v>12</v>
      </c>
      <c r="AV165" s="67">
        <f t="shared" si="194"/>
        <v>0</v>
      </c>
      <c r="AW165" s="67">
        <f t="shared" si="195"/>
        <v>0</v>
      </c>
      <c r="AX165" s="67">
        <f t="shared" si="196"/>
        <v>0</v>
      </c>
      <c r="AY165" s="68" t="s">
        <v>972</v>
      </c>
      <c r="AZ165" s="68" t="s">
        <v>992</v>
      </c>
      <c r="BA165" s="12" t="s">
        <v>996</v>
      </c>
      <c r="BC165" s="67">
        <f t="shared" si="197"/>
        <v>0</v>
      </c>
      <c r="BD165" s="67">
        <f t="shared" si="198"/>
        <v>0</v>
      </c>
      <c r="BE165" s="67">
        <v>0</v>
      </c>
      <c r="BF165" s="67">
        <f>165</f>
        <v>165</v>
      </c>
      <c r="BH165" s="10">
        <f t="shared" si="199"/>
        <v>0</v>
      </c>
      <c r="BI165" s="10">
        <f t="shared" si="200"/>
        <v>0</v>
      </c>
      <c r="BJ165" s="10">
        <f t="shared" si="201"/>
        <v>0</v>
      </c>
    </row>
    <row r="166" spans="1:62" ht="12.75">
      <c r="A166" s="3" t="s">
        <v>142</v>
      </c>
      <c r="B166" s="3" t="s">
        <v>345</v>
      </c>
      <c r="C166" s="143" t="s">
        <v>721</v>
      </c>
      <c r="D166" s="144"/>
      <c r="E166" s="144"/>
      <c r="F166" s="144"/>
      <c r="G166" s="144"/>
      <c r="H166" s="3" t="s">
        <v>854</v>
      </c>
      <c r="I166" s="10">
        <v>16</v>
      </c>
      <c r="J166" s="59">
        <v>0</v>
      </c>
      <c r="K166" s="10">
        <f t="shared" si="182"/>
        <v>0</v>
      </c>
      <c r="L166" s="16" t="s">
        <v>941</v>
      </c>
      <c r="Z166" s="67">
        <f t="shared" si="183"/>
        <v>0</v>
      </c>
      <c r="AB166" s="67">
        <f t="shared" si="184"/>
        <v>0</v>
      </c>
      <c r="AC166" s="67">
        <f t="shared" si="185"/>
        <v>0</v>
      </c>
      <c r="AD166" s="67">
        <f t="shared" si="186"/>
        <v>0</v>
      </c>
      <c r="AE166" s="67">
        <f t="shared" si="187"/>
        <v>0</v>
      </c>
      <c r="AF166" s="67">
        <f t="shared" si="188"/>
        <v>0</v>
      </c>
      <c r="AG166" s="67">
        <f t="shared" si="189"/>
        <v>0</v>
      </c>
      <c r="AH166" s="67">
        <f t="shared" si="190"/>
        <v>0</v>
      </c>
      <c r="AI166" s="12"/>
      <c r="AJ166" s="10">
        <f t="shared" si="191"/>
        <v>0</v>
      </c>
      <c r="AK166" s="10">
        <f t="shared" si="192"/>
        <v>0</v>
      </c>
      <c r="AL166" s="10">
        <f t="shared" si="193"/>
        <v>0</v>
      </c>
      <c r="AN166" s="67">
        <v>15</v>
      </c>
      <c r="AO166" s="67">
        <f>J166*0.0590732452101589</f>
        <v>0</v>
      </c>
      <c r="AP166" s="67">
        <f>J166*(1-0.0590732452101589)</f>
        <v>0</v>
      </c>
      <c r="AQ166" s="16" t="s">
        <v>12</v>
      </c>
      <c r="AV166" s="67">
        <f t="shared" si="194"/>
        <v>0</v>
      </c>
      <c r="AW166" s="67">
        <f t="shared" si="195"/>
        <v>0</v>
      </c>
      <c r="AX166" s="67">
        <f t="shared" si="196"/>
        <v>0</v>
      </c>
      <c r="AY166" s="68" t="s">
        <v>972</v>
      </c>
      <c r="AZ166" s="68" t="s">
        <v>992</v>
      </c>
      <c r="BA166" s="12" t="s">
        <v>996</v>
      </c>
      <c r="BC166" s="67">
        <f t="shared" si="197"/>
        <v>0</v>
      </c>
      <c r="BD166" s="67">
        <f t="shared" si="198"/>
        <v>0</v>
      </c>
      <c r="BE166" s="67">
        <v>0</v>
      </c>
      <c r="BF166" s="67">
        <f>166</f>
        <v>166</v>
      </c>
      <c r="BH166" s="10">
        <f t="shared" si="199"/>
        <v>0</v>
      </c>
      <c r="BI166" s="10">
        <f t="shared" si="200"/>
        <v>0</v>
      </c>
      <c r="BJ166" s="10">
        <f t="shared" si="201"/>
        <v>0</v>
      </c>
    </row>
    <row r="167" spans="1:62" ht="12.75">
      <c r="A167" s="3" t="s">
        <v>143</v>
      </c>
      <c r="B167" s="3" t="s">
        <v>346</v>
      </c>
      <c r="C167" s="143" t="s">
        <v>723</v>
      </c>
      <c r="D167" s="144"/>
      <c r="E167" s="144"/>
      <c r="F167" s="144"/>
      <c r="G167" s="144"/>
      <c r="H167" s="3" t="s">
        <v>859</v>
      </c>
      <c r="I167" s="10">
        <v>751.37</v>
      </c>
      <c r="J167" s="59">
        <v>0</v>
      </c>
      <c r="K167" s="10">
        <f t="shared" si="182"/>
        <v>0</v>
      </c>
      <c r="L167" s="16" t="s">
        <v>941</v>
      </c>
      <c r="Z167" s="67">
        <f t="shared" si="183"/>
        <v>0</v>
      </c>
      <c r="AB167" s="67">
        <f t="shared" si="184"/>
        <v>0</v>
      </c>
      <c r="AC167" s="67">
        <f t="shared" si="185"/>
        <v>0</v>
      </c>
      <c r="AD167" s="67">
        <f t="shared" si="186"/>
        <v>0</v>
      </c>
      <c r="AE167" s="67">
        <f t="shared" si="187"/>
        <v>0</v>
      </c>
      <c r="AF167" s="67">
        <f t="shared" si="188"/>
        <v>0</v>
      </c>
      <c r="AG167" s="67">
        <f t="shared" si="189"/>
        <v>0</v>
      </c>
      <c r="AH167" s="67">
        <f t="shared" si="190"/>
        <v>0</v>
      </c>
      <c r="AI167" s="12"/>
      <c r="AJ167" s="10">
        <f t="shared" si="191"/>
        <v>0</v>
      </c>
      <c r="AK167" s="10">
        <f t="shared" si="192"/>
        <v>0</v>
      </c>
      <c r="AL167" s="10">
        <f t="shared" si="193"/>
        <v>0</v>
      </c>
      <c r="AN167" s="67">
        <v>15</v>
      </c>
      <c r="AO167" s="67">
        <f>J167*0</f>
        <v>0</v>
      </c>
      <c r="AP167" s="67">
        <f>J167*(1-0)</f>
        <v>0</v>
      </c>
      <c r="AQ167" s="16" t="s">
        <v>10</v>
      </c>
      <c r="AV167" s="67">
        <f t="shared" si="194"/>
        <v>0</v>
      </c>
      <c r="AW167" s="67">
        <f t="shared" si="195"/>
        <v>0</v>
      </c>
      <c r="AX167" s="67">
        <f t="shared" si="196"/>
        <v>0</v>
      </c>
      <c r="AY167" s="68" t="s">
        <v>972</v>
      </c>
      <c r="AZ167" s="68" t="s">
        <v>992</v>
      </c>
      <c r="BA167" s="12" t="s">
        <v>996</v>
      </c>
      <c r="BC167" s="67">
        <f t="shared" si="197"/>
        <v>0</v>
      </c>
      <c r="BD167" s="67">
        <f t="shared" si="198"/>
        <v>0</v>
      </c>
      <c r="BE167" s="67">
        <v>0</v>
      </c>
      <c r="BF167" s="67">
        <f>167</f>
        <v>167</v>
      </c>
      <c r="BH167" s="10">
        <f t="shared" si="199"/>
        <v>0</v>
      </c>
      <c r="BI167" s="10">
        <f t="shared" si="200"/>
        <v>0</v>
      </c>
      <c r="BJ167" s="10">
        <f t="shared" si="201"/>
        <v>0</v>
      </c>
    </row>
    <row r="168" spans="1:47" ht="12.75">
      <c r="A168" s="50"/>
      <c r="B168" s="4" t="s">
        <v>347</v>
      </c>
      <c r="C168" s="145" t="s">
        <v>725</v>
      </c>
      <c r="D168" s="146"/>
      <c r="E168" s="146"/>
      <c r="F168" s="146"/>
      <c r="G168" s="146"/>
      <c r="H168" s="50" t="s">
        <v>927</v>
      </c>
      <c r="I168" s="50" t="s">
        <v>927</v>
      </c>
      <c r="J168" s="60" t="s">
        <v>927</v>
      </c>
      <c r="K168" s="70">
        <f>SUM(K169:K170)</f>
        <v>0</v>
      </c>
      <c r="L168" s="12"/>
      <c r="AI168" s="12"/>
      <c r="AS168" s="70">
        <f>SUM(AJ169:AJ170)</f>
        <v>0</v>
      </c>
      <c r="AT168" s="70">
        <f>SUM(AK169:AK170)</f>
        <v>0</v>
      </c>
      <c r="AU168" s="70">
        <f>SUM(AL169:AL170)</f>
        <v>0</v>
      </c>
    </row>
    <row r="169" spans="1:62" ht="12.75">
      <c r="A169" s="3" t="s">
        <v>144</v>
      </c>
      <c r="B169" s="3" t="s">
        <v>348</v>
      </c>
      <c r="C169" s="143" t="s">
        <v>726</v>
      </c>
      <c r="D169" s="144"/>
      <c r="E169" s="144"/>
      <c r="F169" s="144"/>
      <c r="G169" s="144"/>
      <c r="H169" s="3" t="s">
        <v>858</v>
      </c>
      <c r="I169" s="10">
        <v>20</v>
      </c>
      <c r="J169" s="59">
        <v>0</v>
      </c>
      <c r="K169" s="10">
        <f>I169*J169</f>
        <v>0</v>
      </c>
      <c r="L169" s="16" t="s">
        <v>941</v>
      </c>
      <c r="Z169" s="67">
        <f>IF(AQ169="5",BJ169,0)</f>
        <v>0</v>
      </c>
      <c r="AB169" s="67">
        <f>IF(AQ169="1",BH169,0)</f>
        <v>0</v>
      </c>
      <c r="AC169" s="67">
        <f>IF(AQ169="1",BI169,0)</f>
        <v>0</v>
      </c>
      <c r="AD169" s="67">
        <f>IF(AQ169="7",BH169,0)</f>
        <v>0</v>
      </c>
      <c r="AE169" s="67">
        <f>IF(AQ169="7",BI169,0)</f>
        <v>0</v>
      </c>
      <c r="AF169" s="67">
        <f>IF(AQ169="2",BH169,0)</f>
        <v>0</v>
      </c>
      <c r="AG169" s="67">
        <f>IF(AQ169="2",BI169,0)</f>
        <v>0</v>
      </c>
      <c r="AH169" s="67">
        <f>IF(AQ169="0",BJ169,0)</f>
        <v>0</v>
      </c>
      <c r="AI169" s="12"/>
      <c r="AJ169" s="10">
        <f>IF(AN169=0,K169,0)</f>
        <v>0</v>
      </c>
      <c r="AK169" s="10">
        <f>IF(AN169=15,K169,0)</f>
        <v>0</v>
      </c>
      <c r="AL169" s="10">
        <f>IF(AN169=21,K169,0)</f>
        <v>0</v>
      </c>
      <c r="AN169" s="67">
        <v>15</v>
      </c>
      <c r="AO169" s="67">
        <f>J169*0</f>
        <v>0</v>
      </c>
      <c r="AP169" s="67">
        <f>J169*(1-0)</f>
        <v>0</v>
      </c>
      <c r="AQ169" s="16" t="s">
        <v>12</v>
      </c>
      <c r="AV169" s="67">
        <f>AW169+AX169</f>
        <v>0</v>
      </c>
      <c r="AW169" s="67">
        <f>I169*AO169</f>
        <v>0</v>
      </c>
      <c r="AX169" s="67">
        <f>I169*AP169</f>
        <v>0</v>
      </c>
      <c r="AY169" s="68" t="s">
        <v>973</v>
      </c>
      <c r="AZ169" s="68" t="s">
        <v>992</v>
      </c>
      <c r="BA169" s="12" t="s">
        <v>996</v>
      </c>
      <c r="BC169" s="67">
        <f>AW169+AX169</f>
        <v>0</v>
      </c>
      <c r="BD169" s="67">
        <f>J169/(100-BE169)*100</f>
        <v>0</v>
      </c>
      <c r="BE169" s="67">
        <v>0</v>
      </c>
      <c r="BF169" s="67">
        <f>169</f>
        <v>169</v>
      </c>
      <c r="BH169" s="10">
        <f>I169*AO169</f>
        <v>0</v>
      </c>
      <c r="BI169" s="10">
        <f>I169*AP169</f>
        <v>0</v>
      </c>
      <c r="BJ169" s="10">
        <f>I169*J169</f>
        <v>0</v>
      </c>
    </row>
    <row r="170" spans="1:62" ht="12.75">
      <c r="A170" s="3" t="s">
        <v>145</v>
      </c>
      <c r="B170" s="3" t="s">
        <v>349</v>
      </c>
      <c r="C170" s="143" t="s">
        <v>728</v>
      </c>
      <c r="D170" s="144"/>
      <c r="E170" s="144"/>
      <c r="F170" s="144"/>
      <c r="G170" s="144"/>
      <c r="H170" s="3" t="s">
        <v>859</v>
      </c>
      <c r="I170" s="10">
        <v>110</v>
      </c>
      <c r="J170" s="59">
        <v>0</v>
      </c>
      <c r="K170" s="10">
        <f>I170*J170</f>
        <v>0</v>
      </c>
      <c r="L170" s="16" t="s">
        <v>941</v>
      </c>
      <c r="Z170" s="67">
        <f>IF(AQ170="5",BJ170,0)</f>
        <v>0</v>
      </c>
      <c r="AB170" s="67">
        <f>IF(AQ170="1",BH170,0)</f>
        <v>0</v>
      </c>
      <c r="AC170" s="67">
        <f>IF(AQ170="1",BI170,0)</f>
        <v>0</v>
      </c>
      <c r="AD170" s="67">
        <f>IF(AQ170="7",BH170,0)</f>
        <v>0</v>
      </c>
      <c r="AE170" s="67">
        <f>IF(AQ170="7",BI170,0)</f>
        <v>0</v>
      </c>
      <c r="AF170" s="67">
        <f>IF(AQ170="2",BH170,0)</f>
        <v>0</v>
      </c>
      <c r="AG170" s="67">
        <f>IF(AQ170="2",BI170,0)</f>
        <v>0</v>
      </c>
      <c r="AH170" s="67">
        <f>IF(AQ170="0",BJ170,0)</f>
        <v>0</v>
      </c>
      <c r="AI170" s="12"/>
      <c r="AJ170" s="10">
        <f>IF(AN170=0,K170,0)</f>
        <v>0</v>
      </c>
      <c r="AK170" s="10">
        <f>IF(AN170=15,K170,0)</f>
        <v>0</v>
      </c>
      <c r="AL170" s="10">
        <f>IF(AN170=21,K170,0)</f>
        <v>0</v>
      </c>
      <c r="AN170" s="67">
        <v>15</v>
      </c>
      <c r="AO170" s="67">
        <f>J170*0</f>
        <v>0</v>
      </c>
      <c r="AP170" s="67">
        <f>J170*(1-0)</f>
        <v>0</v>
      </c>
      <c r="AQ170" s="16" t="s">
        <v>10</v>
      </c>
      <c r="AV170" s="67">
        <f>AW170+AX170</f>
        <v>0</v>
      </c>
      <c r="AW170" s="67">
        <f>I170*AO170</f>
        <v>0</v>
      </c>
      <c r="AX170" s="67">
        <f>I170*AP170</f>
        <v>0</v>
      </c>
      <c r="AY170" s="68" t="s">
        <v>973</v>
      </c>
      <c r="AZ170" s="68" t="s">
        <v>992</v>
      </c>
      <c r="BA170" s="12" t="s">
        <v>996</v>
      </c>
      <c r="BC170" s="67">
        <f>AW170+AX170</f>
        <v>0</v>
      </c>
      <c r="BD170" s="67">
        <f>J170/(100-BE170)*100</f>
        <v>0</v>
      </c>
      <c r="BE170" s="67">
        <v>0</v>
      </c>
      <c r="BF170" s="67">
        <f>170</f>
        <v>170</v>
      </c>
      <c r="BH170" s="10">
        <f>I170*AO170</f>
        <v>0</v>
      </c>
      <c r="BI170" s="10">
        <f>I170*AP170</f>
        <v>0</v>
      </c>
      <c r="BJ170" s="10">
        <f>I170*J170</f>
        <v>0</v>
      </c>
    </row>
    <row r="171" spans="1:47" ht="12.75">
      <c r="A171" s="50"/>
      <c r="B171" s="4" t="s">
        <v>350</v>
      </c>
      <c r="C171" s="145" t="s">
        <v>730</v>
      </c>
      <c r="D171" s="146"/>
      <c r="E171" s="146"/>
      <c r="F171" s="146"/>
      <c r="G171" s="146"/>
      <c r="H171" s="50" t="s">
        <v>927</v>
      </c>
      <c r="I171" s="50" t="s">
        <v>927</v>
      </c>
      <c r="J171" s="60" t="s">
        <v>927</v>
      </c>
      <c r="K171" s="70">
        <f>SUM(K172:K178)</f>
        <v>0</v>
      </c>
      <c r="L171" s="12"/>
      <c r="AI171" s="12"/>
      <c r="AS171" s="70">
        <f>SUM(AJ172:AJ178)</f>
        <v>0</v>
      </c>
      <c r="AT171" s="70">
        <f>SUM(AK172:AK178)</f>
        <v>0</v>
      </c>
      <c r="AU171" s="70">
        <f>SUM(AL172:AL178)</f>
        <v>0</v>
      </c>
    </row>
    <row r="172" spans="1:62" ht="12.75">
      <c r="A172" s="3" t="s">
        <v>146</v>
      </c>
      <c r="B172" s="3" t="s">
        <v>351</v>
      </c>
      <c r="C172" s="143" t="s">
        <v>731</v>
      </c>
      <c r="D172" s="144"/>
      <c r="E172" s="144"/>
      <c r="F172" s="144"/>
      <c r="G172" s="144"/>
      <c r="H172" s="3" t="s">
        <v>852</v>
      </c>
      <c r="I172" s="10">
        <v>2.31</v>
      </c>
      <c r="J172" s="59">
        <v>0</v>
      </c>
      <c r="K172" s="10">
        <f aca="true" t="shared" si="202" ref="K172:K178">I172*J172</f>
        <v>0</v>
      </c>
      <c r="L172" s="16" t="s">
        <v>941</v>
      </c>
      <c r="Z172" s="67">
        <f aca="true" t="shared" si="203" ref="Z172:Z178">IF(AQ172="5",BJ172,0)</f>
        <v>0</v>
      </c>
      <c r="AB172" s="67">
        <f aca="true" t="shared" si="204" ref="AB172:AB178">IF(AQ172="1",BH172,0)</f>
        <v>0</v>
      </c>
      <c r="AC172" s="67">
        <f aca="true" t="shared" si="205" ref="AC172:AC178">IF(AQ172="1",BI172,0)</f>
        <v>0</v>
      </c>
      <c r="AD172" s="67">
        <f aca="true" t="shared" si="206" ref="AD172:AD178">IF(AQ172="7",BH172,0)</f>
        <v>0</v>
      </c>
      <c r="AE172" s="67">
        <f aca="true" t="shared" si="207" ref="AE172:AE178">IF(AQ172="7",BI172,0)</f>
        <v>0</v>
      </c>
      <c r="AF172" s="67">
        <f aca="true" t="shared" si="208" ref="AF172:AF178">IF(AQ172="2",BH172,0)</f>
        <v>0</v>
      </c>
      <c r="AG172" s="67">
        <f aca="true" t="shared" si="209" ref="AG172:AG178">IF(AQ172="2",BI172,0)</f>
        <v>0</v>
      </c>
      <c r="AH172" s="67">
        <f aca="true" t="shared" si="210" ref="AH172:AH178">IF(AQ172="0",BJ172,0)</f>
        <v>0</v>
      </c>
      <c r="AI172" s="12"/>
      <c r="AJ172" s="10">
        <f aca="true" t="shared" si="211" ref="AJ172:AJ178">IF(AN172=0,K172,0)</f>
        <v>0</v>
      </c>
      <c r="AK172" s="10">
        <f aca="true" t="shared" si="212" ref="AK172:AK178">IF(AN172=15,K172,0)</f>
        <v>0</v>
      </c>
      <c r="AL172" s="10">
        <f aca="true" t="shared" si="213" ref="AL172:AL178">IF(AN172=21,K172,0)</f>
        <v>0</v>
      </c>
      <c r="AN172" s="67">
        <v>15</v>
      </c>
      <c r="AO172" s="67">
        <f>J172*0</f>
        <v>0</v>
      </c>
      <c r="AP172" s="67">
        <f>J172*(1-0)</f>
        <v>0</v>
      </c>
      <c r="AQ172" s="16" t="s">
        <v>12</v>
      </c>
      <c r="AV172" s="67">
        <f aca="true" t="shared" si="214" ref="AV172:AV178">AW172+AX172</f>
        <v>0</v>
      </c>
      <c r="AW172" s="67">
        <f aca="true" t="shared" si="215" ref="AW172:AW178">I172*AO172</f>
        <v>0</v>
      </c>
      <c r="AX172" s="67">
        <f aca="true" t="shared" si="216" ref="AX172:AX178">I172*AP172</f>
        <v>0</v>
      </c>
      <c r="AY172" s="68" t="s">
        <v>974</v>
      </c>
      <c r="AZ172" s="68" t="s">
        <v>992</v>
      </c>
      <c r="BA172" s="12" t="s">
        <v>996</v>
      </c>
      <c r="BC172" s="67">
        <f aca="true" t="shared" si="217" ref="BC172:BC178">AW172+AX172</f>
        <v>0</v>
      </c>
      <c r="BD172" s="67">
        <f aca="true" t="shared" si="218" ref="BD172:BD178">J172/(100-BE172)*100</f>
        <v>0</v>
      </c>
      <c r="BE172" s="67">
        <v>0</v>
      </c>
      <c r="BF172" s="67">
        <f>172</f>
        <v>172</v>
      </c>
      <c r="BH172" s="10">
        <f aca="true" t="shared" si="219" ref="BH172:BH178">I172*AO172</f>
        <v>0</v>
      </c>
      <c r="BI172" s="10">
        <f aca="true" t="shared" si="220" ref="BI172:BI178">I172*AP172</f>
        <v>0</v>
      </c>
      <c r="BJ172" s="10">
        <f aca="true" t="shared" si="221" ref="BJ172:BJ178">I172*J172</f>
        <v>0</v>
      </c>
    </row>
    <row r="173" spans="1:62" ht="12.75">
      <c r="A173" s="3" t="s">
        <v>147</v>
      </c>
      <c r="B173" s="3" t="s">
        <v>352</v>
      </c>
      <c r="C173" s="143" t="s">
        <v>733</v>
      </c>
      <c r="D173" s="144"/>
      <c r="E173" s="144"/>
      <c r="F173" s="144"/>
      <c r="G173" s="144"/>
      <c r="H173" s="3" t="s">
        <v>854</v>
      </c>
      <c r="I173" s="10">
        <v>1</v>
      </c>
      <c r="J173" s="59">
        <v>0</v>
      </c>
      <c r="K173" s="10">
        <f t="shared" si="202"/>
        <v>0</v>
      </c>
      <c r="L173" s="16" t="s">
        <v>941</v>
      </c>
      <c r="Z173" s="67">
        <f t="shared" si="203"/>
        <v>0</v>
      </c>
      <c r="AB173" s="67">
        <f t="shared" si="204"/>
        <v>0</v>
      </c>
      <c r="AC173" s="67">
        <f t="shared" si="205"/>
        <v>0</v>
      </c>
      <c r="AD173" s="67">
        <f t="shared" si="206"/>
        <v>0</v>
      </c>
      <c r="AE173" s="67">
        <f t="shared" si="207"/>
        <v>0</v>
      </c>
      <c r="AF173" s="67">
        <f t="shared" si="208"/>
        <v>0</v>
      </c>
      <c r="AG173" s="67">
        <f t="shared" si="209"/>
        <v>0</v>
      </c>
      <c r="AH173" s="67">
        <f t="shared" si="210"/>
        <v>0</v>
      </c>
      <c r="AI173" s="12"/>
      <c r="AJ173" s="10">
        <f t="shared" si="211"/>
        <v>0</v>
      </c>
      <c r="AK173" s="10">
        <f t="shared" si="212"/>
        <v>0</v>
      </c>
      <c r="AL173" s="10">
        <f t="shared" si="213"/>
        <v>0</v>
      </c>
      <c r="AN173" s="67">
        <v>15</v>
      </c>
      <c r="AO173" s="67">
        <f>J173*0.0261864748201439</f>
        <v>0</v>
      </c>
      <c r="AP173" s="67">
        <f>J173*(1-0.0261864748201439)</f>
        <v>0</v>
      </c>
      <c r="AQ173" s="16" t="s">
        <v>12</v>
      </c>
      <c r="AV173" s="67">
        <f t="shared" si="214"/>
        <v>0</v>
      </c>
      <c r="AW173" s="67">
        <f t="shared" si="215"/>
        <v>0</v>
      </c>
      <c r="AX173" s="67">
        <f t="shared" si="216"/>
        <v>0</v>
      </c>
      <c r="AY173" s="68" t="s">
        <v>974</v>
      </c>
      <c r="AZ173" s="68" t="s">
        <v>992</v>
      </c>
      <c r="BA173" s="12" t="s">
        <v>996</v>
      </c>
      <c r="BC173" s="67">
        <f t="shared" si="217"/>
        <v>0</v>
      </c>
      <c r="BD173" s="67">
        <f t="shared" si="218"/>
        <v>0</v>
      </c>
      <c r="BE173" s="67">
        <v>0</v>
      </c>
      <c r="BF173" s="67">
        <f>173</f>
        <v>173</v>
      </c>
      <c r="BH173" s="10">
        <f t="shared" si="219"/>
        <v>0</v>
      </c>
      <c r="BI173" s="10">
        <f t="shared" si="220"/>
        <v>0</v>
      </c>
      <c r="BJ173" s="10">
        <f t="shared" si="221"/>
        <v>0</v>
      </c>
    </row>
    <row r="174" spans="1:62" ht="12.75">
      <c r="A174" s="3" t="s">
        <v>148</v>
      </c>
      <c r="B174" s="3" t="s">
        <v>353</v>
      </c>
      <c r="C174" s="143" t="s">
        <v>734</v>
      </c>
      <c r="D174" s="144"/>
      <c r="E174" s="144"/>
      <c r="F174" s="144"/>
      <c r="G174" s="144"/>
      <c r="H174" s="3" t="s">
        <v>854</v>
      </c>
      <c r="I174" s="10">
        <v>13</v>
      </c>
      <c r="J174" s="59">
        <v>0</v>
      </c>
      <c r="K174" s="10">
        <f t="shared" si="202"/>
        <v>0</v>
      </c>
      <c r="L174" s="16" t="s">
        <v>941</v>
      </c>
      <c r="Z174" s="67">
        <f t="shared" si="203"/>
        <v>0</v>
      </c>
      <c r="AB174" s="67">
        <f t="shared" si="204"/>
        <v>0</v>
      </c>
      <c r="AC174" s="67">
        <f t="shared" si="205"/>
        <v>0</v>
      </c>
      <c r="AD174" s="67">
        <f t="shared" si="206"/>
        <v>0</v>
      </c>
      <c r="AE174" s="67">
        <f t="shared" si="207"/>
        <v>0</v>
      </c>
      <c r="AF174" s="67">
        <f t="shared" si="208"/>
        <v>0</v>
      </c>
      <c r="AG174" s="67">
        <f t="shared" si="209"/>
        <v>0</v>
      </c>
      <c r="AH174" s="67">
        <f t="shared" si="210"/>
        <v>0</v>
      </c>
      <c r="AI174" s="12"/>
      <c r="AJ174" s="10">
        <f t="shared" si="211"/>
        <v>0</v>
      </c>
      <c r="AK174" s="10">
        <f t="shared" si="212"/>
        <v>0</v>
      </c>
      <c r="AL174" s="10">
        <f t="shared" si="213"/>
        <v>0</v>
      </c>
      <c r="AN174" s="67">
        <v>15</v>
      </c>
      <c r="AO174" s="67">
        <f>J174*0.0202948082427018</f>
        <v>0</v>
      </c>
      <c r="AP174" s="67">
        <f>J174*(1-0.0202948082427018)</f>
        <v>0</v>
      </c>
      <c r="AQ174" s="16" t="s">
        <v>12</v>
      </c>
      <c r="AV174" s="67">
        <f t="shared" si="214"/>
        <v>0</v>
      </c>
      <c r="AW174" s="67">
        <f t="shared" si="215"/>
        <v>0</v>
      </c>
      <c r="AX174" s="67">
        <f t="shared" si="216"/>
        <v>0</v>
      </c>
      <c r="AY174" s="68" t="s">
        <v>974</v>
      </c>
      <c r="AZ174" s="68" t="s">
        <v>992</v>
      </c>
      <c r="BA174" s="12" t="s">
        <v>996</v>
      </c>
      <c r="BC174" s="67">
        <f t="shared" si="217"/>
        <v>0</v>
      </c>
      <c r="BD174" s="67">
        <f t="shared" si="218"/>
        <v>0</v>
      </c>
      <c r="BE174" s="67">
        <v>0</v>
      </c>
      <c r="BF174" s="67">
        <f>174</f>
        <v>174</v>
      </c>
      <c r="BH174" s="10">
        <f t="shared" si="219"/>
        <v>0</v>
      </c>
      <c r="BI174" s="10">
        <f t="shared" si="220"/>
        <v>0</v>
      </c>
      <c r="BJ174" s="10">
        <f t="shared" si="221"/>
        <v>0</v>
      </c>
    </row>
    <row r="175" spans="1:62" ht="12.75">
      <c r="A175" s="3" t="s">
        <v>149</v>
      </c>
      <c r="B175" s="3" t="s">
        <v>354</v>
      </c>
      <c r="C175" s="143" t="s">
        <v>736</v>
      </c>
      <c r="D175" s="144"/>
      <c r="E175" s="144"/>
      <c r="F175" s="144"/>
      <c r="G175" s="144"/>
      <c r="H175" s="3" t="s">
        <v>854</v>
      </c>
      <c r="I175" s="10">
        <v>2</v>
      </c>
      <c r="J175" s="59">
        <v>0</v>
      </c>
      <c r="K175" s="10">
        <f t="shared" si="202"/>
        <v>0</v>
      </c>
      <c r="L175" s="16" t="s">
        <v>941</v>
      </c>
      <c r="Z175" s="67">
        <f t="shared" si="203"/>
        <v>0</v>
      </c>
      <c r="AB175" s="67">
        <f t="shared" si="204"/>
        <v>0</v>
      </c>
      <c r="AC175" s="67">
        <f t="shared" si="205"/>
        <v>0</v>
      </c>
      <c r="AD175" s="67">
        <f t="shared" si="206"/>
        <v>0</v>
      </c>
      <c r="AE175" s="67">
        <f t="shared" si="207"/>
        <v>0</v>
      </c>
      <c r="AF175" s="67">
        <f t="shared" si="208"/>
        <v>0</v>
      </c>
      <c r="AG175" s="67">
        <f t="shared" si="209"/>
        <v>0</v>
      </c>
      <c r="AH175" s="67">
        <f t="shared" si="210"/>
        <v>0</v>
      </c>
      <c r="AI175" s="12"/>
      <c r="AJ175" s="10">
        <f t="shared" si="211"/>
        <v>0</v>
      </c>
      <c r="AK175" s="10">
        <f t="shared" si="212"/>
        <v>0</v>
      </c>
      <c r="AL175" s="10">
        <f t="shared" si="213"/>
        <v>0</v>
      </c>
      <c r="AN175" s="67">
        <v>15</v>
      </c>
      <c r="AO175" s="67">
        <f>J175*0.0280803857280617</f>
        <v>0</v>
      </c>
      <c r="AP175" s="67">
        <f>J175*(1-0.0280803857280617)</f>
        <v>0</v>
      </c>
      <c r="AQ175" s="16" t="s">
        <v>12</v>
      </c>
      <c r="AV175" s="67">
        <f t="shared" si="214"/>
        <v>0</v>
      </c>
      <c r="AW175" s="67">
        <f t="shared" si="215"/>
        <v>0</v>
      </c>
      <c r="AX175" s="67">
        <f t="shared" si="216"/>
        <v>0</v>
      </c>
      <c r="AY175" s="68" t="s">
        <v>974</v>
      </c>
      <c r="AZ175" s="68" t="s">
        <v>992</v>
      </c>
      <c r="BA175" s="12" t="s">
        <v>996</v>
      </c>
      <c r="BC175" s="67">
        <f t="shared" si="217"/>
        <v>0</v>
      </c>
      <c r="BD175" s="67">
        <f t="shared" si="218"/>
        <v>0</v>
      </c>
      <c r="BE175" s="67">
        <v>0</v>
      </c>
      <c r="BF175" s="67">
        <f>175</f>
        <v>175</v>
      </c>
      <c r="BH175" s="10">
        <f t="shared" si="219"/>
        <v>0</v>
      </c>
      <c r="BI175" s="10">
        <f t="shared" si="220"/>
        <v>0</v>
      </c>
      <c r="BJ175" s="10">
        <f t="shared" si="221"/>
        <v>0</v>
      </c>
    </row>
    <row r="176" spans="1:62" ht="12.75">
      <c r="A176" s="5" t="s">
        <v>150</v>
      </c>
      <c r="B176" s="5" t="s">
        <v>355</v>
      </c>
      <c r="C176" s="147" t="s">
        <v>738</v>
      </c>
      <c r="D176" s="148"/>
      <c r="E176" s="148"/>
      <c r="F176" s="148"/>
      <c r="G176" s="148"/>
      <c r="H176" s="5" t="s">
        <v>854</v>
      </c>
      <c r="I176" s="13">
        <v>26</v>
      </c>
      <c r="J176" s="61">
        <v>0</v>
      </c>
      <c r="K176" s="13">
        <f t="shared" si="202"/>
        <v>0</v>
      </c>
      <c r="L176" s="17" t="s">
        <v>941</v>
      </c>
      <c r="Z176" s="67">
        <f t="shared" si="203"/>
        <v>0</v>
      </c>
      <c r="AB176" s="67">
        <f t="shared" si="204"/>
        <v>0</v>
      </c>
      <c r="AC176" s="67">
        <f t="shared" si="205"/>
        <v>0</v>
      </c>
      <c r="AD176" s="67">
        <f t="shared" si="206"/>
        <v>0</v>
      </c>
      <c r="AE176" s="67">
        <f t="shared" si="207"/>
        <v>0</v>
      </c>
      <c r="AF176" s="67">
        <f t="shared" si="208"/>
        <v>0</v>
      </c>
      <c r="AG176" s="67">
        <f t="shared" si="209"/>
        <v>0</v>
      </c>
      <c r="AH176" s="67">
        <f t="shared" si="210"/>
        <v>0</v>
      </c>
      <c r="AI176" s="12"/>
      <c r="AJ176" s="13">
        <f t="shared" si="211"/>
        <v>0</v>
      </c>
      <c r="AK176" s="13">
        <f t="shared" si="212"/>
        <v>0</v>
      </c>
      <c r="AL176" s="13">
        <f t="shared" si="213"/>
        <v>0</v>
      </c>
      <c r="AN176" s="67">
        <v>15</v>
      </c>
      <c r="AO176" s="67">
        <f>J176*1</f>
        <v>0</v>
      </c>
      <c r="AP176" s="67">
        <f>J176*(1-1)</f>
        <v>0</v>
      </c>
      <c r="AQ176" s="17" t="s">
        <v>12</v>
      </c>
      <c r="AV176" s="67">
        <f t="shared" si="214"/>
        <v>0</v>
      </c>
      <c r="AW176" s="67">
        <f t="shared" si="215"/>
        <v>0</v>
      </c>
      <c r="AX176" s="67">
        <f t="shared" si="216"/>
        <v>0</v>
      </c>
      <c r="AY176" s="68" t="s">
        <v>974</v>
      </c>
      <c r="AZ176" s="68" t="s">
        <v>992</v>
      </c>
      <c r="BA176" s="12" t="s">
        <v>996</v>
      </c>
      <c r="BC176" s="67">
        <f t="shared" si="217"/>
        <v>0</v>
      </c>
      <c r="BD176" s="67">
        <f t="shared" si="218"/>
        <v>0</v>
      </c>
      <c r="BE176" s="67">
        <v>0</v>
      </c>
      <c r="BF176" s="67">
        <f>176</f>
        <v>176</v>
      </c>
      <c r="BH176" s="13">
        <f t="shared" si="219"/>
        <v>0</v>
      </c>
      <c r="BI176" s="13">
        <f t="shared" si="220"/>
        <v>0</v>
      </c>
      <c r="BJ176" s="13">
        <f t="shared" si="221"/>
        <v>0</v>
      </c>
    </row>
    <row r="177" spans="1:62" ht="12.75">
      <c r="A177" s="5" t="s">
        <v>151</v>
      </c>
      <c r="B177" s="5" t="s">
        <v>356</v>
      </c>
      <c r="C177" s="147" t="s">
        <v>740</v>
      </c>
      <c r="D177" s="148"/>
      <c r="E177" s="148"/>
      <c r="F177" s="148"/>
      <c r="G177" s="148"/>
      <c r="H177" s="5" t="s">
        <v>852</v>
      </c>
      <c r="I177" s="13">
        <v>10.02</v>
      </c>
      <c r="J177" s="61">
        <v>0</v>
      </c>
      <c r="K177" s="13">
        <f t="shared" si="202"/>
        <v>0</v>
      </c>
      <c r="L177" s="17" t="s">
        <v>941</v>
      </c>
      <c r="Z177" s="67">
        <f t="shared" si="203"/>
        <v>0</v>
      </c>
      <c r="AB177" s="67">
        <f t="shared" si="204"/>
        <v>0</v>
      </c>
      <c r="AC177" s="67">
        <f t="shared" si="205"/>
        <v>0</v>
      </c>
      <c r="AD177" s="67">
        <f t="shared" si="206"/>
        <v>0</v>
      </c>
      <c r="AE177" s="67">
        <f t="shared" si="207"/>
        <v>0</v>
      </c>
      <c r="AF177" s="67">
        <f t="shared" si="208"/>
        <v>0</v>
      </c>
      <c r="AG177" s="67">
        <f t="shared" si="209"/>
        <v>0</v>
      </c>
      <c r="AH177" s="67">
        <f t="shared" si="210"/>
        <v>0</v>
      </c>
      <c r="AI177" s="12"/>
      <c r="AJ177" s="13">
        <f t="shared" si="211"/>
        <v>0</v>
      </c>
      <c r="AK177" s="13">
        <f t="shared" si="212"/>
        <v>0</v>
      </c>
      <c r="AL177" s="13">
        <f t="shared" si="213"/>
        <v>0</v>
      </c>
      <c r="AN177" s="67">
        <v>15</v>
      </c>
      <c r="AO177" s="67">
        <f>J177*1</f>
        <v>0</v>
      </c>
      <c r="AP177" s="67">
        <f>J177*(1-1)</f>
        <v>0</v>
      </c>
      <c r="AQ177" s="17" t="s">
        <v>12</v>
      </c>
      <c r="AV177" s="67">
        <f t="shared" si="214"/>
        <v>0</v>
      </c>
      <c r="AW177" s="67">
        <f t="shared" si="215"/>
        <v>0</v>
      </c>
      <c r="AX177" s="67">
        <f t="shared" si="216"/>
        <v>0</v>
      </c>
      <c r="AY177" s="68" t="s">
        <v>974</v>
      </c>
      <c r="AZ177" s="68" t="s">
        <v>992</v>
      </c>
      <c r="BA177" s="12" t="s">
        <v>996</v>
      </c>
      <c r="BC177" s="67">
        <f t="shared" si="217"/>
        <v>0</v>
      </c>
      <c r="BD177" s="67">
        <f t="shared" si="218"/>
        <v>0</v>
      </c>
      <c r="BE177" s="67">
        <v>0</v>
      </c>
      <c r="BF177" s="67">
        <f>177</f>
        <v>177</v>
      </c>
      <c r="BH177" s="13">
        <f t="shared" si="219"/>
        <v>0</v>
      </c>
      <c r="BI177" s="13">
        <f t="shared" si="220"/>
        <v>0</v>
      </c>
      <c r="BJ177" s="13">
        <f t="shared" si="221"/>
        <v>0</v>
      </c>
    </row>
    <row r="178" spans="1:62" ht="12.75">
      <c r="A178" s="3" t="s">
        <v>152</v>
      </c>
      <c r="B178" s="3" t="s">
        <v>357</v>
      </c>
      <c r="C178" s="143" t="s">
        <v>742</v>
      </c>
      <c r="D178" s="144"/>
      <c r="E178" s="144"/>
      <c r="F178" s="144"/>
      <c r="G178" s="144"/>
      <c r="H178" s="3" t="s">
        <v>859</v>
      </c>
      <c r="I178" s="10">
        <v>230.77</v>
      </c>
      <c r="J178" s="59">
        <v>0</v>
      </c>
      <c r="K178" s="10">
        <f t="shared" si="202"/>
        <v>0</v>
      </c>
      <c r="L178" s="16" t="s">
        <v>941</v>
      </c>
      <c r="Z178" s="67">
        <f t="shared" si="203"/>
        <v>0</v>
      </c>
      <c r="AB178" s="67">
        <f t="shared" si="204"/>
        <v>0</v>
      </c>
      <c r="AC178" s="67">
        <f t="shared" si="205"/>
        <v>0</v>
      </c>
      <c r="AD178" s="67">
        <f t="shared" si="206"/>
        <v>0</v>
      </c>
      <c r="AE178" s="67">
        <f t="shared" si="207"/>
        <v>0</v>
      </c>
      <c r="AF178" s="67">
        <f t="shared" si="208"/>
        <v>0</v>
      </c>
      <c r="AG178" s="67">
        <f t="shared" si="209"/>
        <v>0</v>
      </c>
      <c r="AH178" s="67">
        <f t="shared" si="210"/>
        <v>0</v>
      </c>
      <c r="AI178" s="12"/>
      <c r="AJ178" s="10">
        <f t="shared" si="211"/>
        <v>0</v>
      </c>
      <c r="AK178" s="10">
        <f t="shared" si="212"/>
        <v>0</v>
      </c>
      <c r="AL178" s="10">
        <f t="shared" si="213"/>
        <v>0</v>
      </c>
      <c r="AN178" s="67">
        <v>15</v>
      </c>
      <c r="AO178" s="67">
        <f>J178*0</f>
        <v>0</v>
      </c>
      <c r="AP178" s="67">
        <f>J178*(1-0)</f>
        <v>0</v>
      </c>
      <c r="AQ178" s="16" t="s">
        <v>10</v>
      </c>
      <c r="AV178" s="67">
        <f t="shared" si="214"/>
        <v>0</v>
      </c>
      <c r="AW178" s="67">
        <f t="shared" si="215"/>
        <v>0</v>
      </c>
      <c r="AX178" s="67">
        <f t="shared" si="216"/>
        <v>0</v>
      </c>
      <c r="AY178" s="68" t="s">
        <v>974</v>
      </c>
      <c r="AZ178" s="68" t="s">
        <v>992</v>
      </c>
      <c r="BA178" s="12" t="s">
        <v>996</v>
      </c>
      <c r="BC178" s="67">
        <f t="shared" si="217"/>
        <v>0</v>
      </c>
      <c r="BD178" s="67">
        <f t="shared" si="218"/>
        <v>0</v>
      </c>
      <c r="BE178" s="67">
        <v>0</v>
      </c>
      <c r="BF178" s="67">
        <f>178</f>
        <v>178</v>
      </c>
      <c r="BH178" s="10">
        <f t="shared" si="219"/>
        <v>0</v>
      </c>
      <c r="BI178" s="10">
        <f t="shared" si="220"/>
        <v>0</v>
      </c>
      <c r="BJ178" s="10">
        <f t="shared" si="221"/>
        <v>0</v>
      </c>
    </row>
    <row r="179" spans="1:47" ht="12.75">
      <c r="A179" s="50"/>
      <c r="B179" s="4" t="s">
        <v>358</v>
      </c>
      <c r="C179" s="145" t="s">
        <v>744</v>
      </c>
      <c r="D179" s="146"/>
      <c r="E179" s="146"/>
      <c r="F179" s="146"/>
      <c r="G179" s="146"/>
      <c r="H179" s="50" t="s">
        <v>927</v>
      </c>
      <c r="I179" s="50" t="s">
        <v>927</v>
      </c>
      <c r="J179" s="60" t="s">
        <v>927</v>
      </c>
      <c r="K179" s="70">
        <f>SUM(K180:K186)</f>
        <v>0</v>
      </c>
      <c r="L179" s="12"/>
      <c r="AI179" s="12"/>
      <c r="AS179" s="70">
        <f>SUM(AJ180:AJ186)</f>
        <v>0</v>
      </c>
      <c r="AT179" s="70">
        <f>SUM(AK180:AK186)</f>
        <v>0</v>
      </c>
      <c r="AU179" s="70">
        <f>SUM(AL180:AL186)</f>
        <v>0</v>
      </c>
    </row>
    <row r="180" spans="1:62" ht="12.75">
      <c r="A180" s="3" t="s">
        <v>153</v>
      </c>
      <c r="B180" s="3" t="s">
        <v>359</v>
      </c>
      <c r="C180" s="143" t="s">
        <v>745</v>
      </c>
      <c r="D180" s="144"/>
      <c r="E180" s="144"/>
      <c r="F180" s="144"/>
      <c r="G180" s="144"/>
      <c r="H180" s="3" t="s">
        <v>861</v>
      </c>
      <c r="I180" s="10">
        <v>15</v>
      </c>
      <c r="J180" s="59">
        <v>0</v>
      </c>
      <c r="K180" s="10">
        <f aca="true" t="shared" si="222" ref="K180:K186">I180*J180</f>
        <v>0</v>
      </c>
      <c r="L180" s="16" t="s">
        <v>941</v>
      </c>
      <c r="Z180" s="67">
        <f aca="true" t="shared" si="223" ref="Z180:Z186">IF(AQ180="5",BJ180,0)</f>
        <v>0</v>
      </c>
      <c r="AB180" s="67">
        <f aca="true" t="shared" si="224" ref="AB180:AB186">IF(AQ180="1",BH180,0)</f>
        <v>0</v>
      </c>
      <c r="AC180" s="67">
        <f aca="true" t="shared" si="225" ref="AC180:AC186">IF(AQ180="1",BI180,0)</f>
        <v>0</v>
      </c>
      <c r="AD180" s="67">
        <f aca="true" t="shared" si="226" ref="AD180:AD186">IF(AQ180="7",BH180,0)</f>
        <v>0</v>
      </c>
      <c r="AE180" s="67">
        <f aca="true" t="shared" si="227" ref="AE180:AE186">IF(AQ180="7",BI180,0)</f>
        <v>0</v>
      </c>
      <c r="AF180" s="67">
        <f aca="true" t="shared" si="228" ref="AF180:AF186">IF(AQ180="2",BH180,0)</f>
        <v>0</v>
      </c>
      <c r="AG180" s="67">
        <f aca="true" t="shared" si="229" ref="AG180:AG186">IF(AQ180="2",BI180,0)</f>
        <v>0</v>
      </c>
      <c r="AH180" s="67">
        <f aca="true" t="shared" si="230" ref="AH180:AH186">IF(AQ180="0",BJ180,0)</f>
        <v>0</v>
      </c>
      <c r="AI180" s="12"/>
      <c r="AJ180" s="10">
        <f aca="true" t="shared" si="231" ref="AJ180:AJ186">IF(AN180=0,K180,0)</f>
        <v>0</v>
      </c>
      <c r="AK180" s="10">
        <f aca="true" t="shared" si="232" ref="AK180:AK186">IF(AN180=15,K180,0)</f>
        <v>0</v>
      </c>
      <c r="AL180" s="10">
        <f aca="true" t="shared" si="233" ref="AL180:AL186">IF(AN180=21,K180,0)</f>
        <v>0</v>
      </c>
      <c r="AN180" s="67">
        <v>15</v>
      </c>
      <c r="AO180" s="67">
        <f>J180*0.0769090909090909</f>
        <v>0</v>
      </c>
      <c r="AP180" s="67">
        <f>J180*(1-0.0769090909090909)</f>
        <v>0</v>
      </c>
      <c r="AQ180" s="16" t="s">
        <v>12</v>
      </c>
      <c r="AV180" s="67">
        <f aca="true" t="shared" si="234" ref="AV180:AV186">AW180+AX180</f>
        <v>0</v>
      </c>
      <c r="AW180" s="67">
        <f aca="true" t="shared" si="235" ref="AW180:AW186">I180*AO180</f>
        <v>0</v>
      </c>
      <c r="AX180" s="67">
        <f aca="true" t="shared" si="236" ref="AX180:AX186">I180*AP180</f>
        <v>0</v>
      </c>
      <c r="AY180" s="68" t="s">
        <v>975</v>
      </c>
      <c r="AZ180" s="68" t="s">
        <v>992</v>
      </c>
      <c r="BA180" s="12" t="s">
        <v>996</v>
      </c>
      <c r="BC180" s="67">
        <f aca="true" t="shared" si="237" ref="BC180:BC186">AW180+AX180</f>
        <v>0</v>
      </c>
      <c r="BD180" s="67">
        <f aca="true" t="shared" si="238" ref="BD180:BD186">J180/(100-BE180)*100</f>
        <v>0</v>
      </c>
      <c r="BE180" s="67">
        <v>0</v>
      </c>
      <c r="BF180" s="67">
        <f>180</f>
        <v>180</v>
      </c>
      <c r="BH180" s="10">
        <f aca="true" t="shared" si="239" ref="BH180:BH186">I180*AO180</f>
        <v>0</v>
      </c>
      <c r="BI180" s="10">
        <f aca="true" t="shared" si="240" ref="BI180:BI186">I180*AP180</f>
        <v>0</v>
      </c>
      <c r="BJ180" s="10">
        <f aca="true" t="shared" si="241" ref="BJ180:BJ186">I180*J180</f>
        <v>0</v>
      </c>
    </row>
    <row r="181" spans="1:62" ht="12.75">
      <c r="A181" s="3" t="s">
        <v>154</v>
      </c>
      <c r="B181" s="3" t="s">
        <v>360</v>
      </c>
      <c r="C181" s="143" t="s">
        <v>747</v>
      </c>
      <c r="D181" s="144"/>
      <c r="E181" s="144"/>
      <c r="F181" s="144"/>
      <c r="G181" s="144"/>
      <c r="H181" s="3" t="s">
        <v>853</v>
      </c>
      <c r="I181" s="10">
        <v>4</v>
      </c>
      <c r="J181" s="59">
        <v>0</v>
      </c>
      <c r="K181" s="10">
        <f t="shared" si="222"/>
        <v>0</v>
      </c>
      <c r="L181" s="16" t="s">
        <v>941</v>
      </c>
      <c r="Z181" s="67">
        <f t="shared" si="223"/>
        <v>0</v>
      </c>
      <c r="AB181" s="67">
        <f t="shared" si="224"/>
        <v>0</v>
      </c>
      <c r="AC181" s="67">
        <f t="shared" si="225"/>
        <v>0</v>
      </c>
      <c r="AD181" s="67">
        <f t="shared" si="226"/>
        <v>0</v>
      </c>
      <c r="AE181" s="67">
        <f t="shared" si="227"/>
        <v>0</v>
      </c>
      <c r="AF181" s="67">
        <f t="shared" si="228"/>
        <v>0</v>
      </c>
      <c r="AG181" s="67">
        <f t="shared" si="229"/>
        <v>0</v>
      </c>
      <c r="AH181" s="67">
        <f t="shared" si="230"/>
        <v>0</v>
      </c>
      <c r="AI181" s="12"/>
      <c r="AJ181" s="10">
        <f t="shared" si="231"/>
        <v>0</v>
      </c>
      <c r="AK181" s="10">
        <f t="shared" si="232"/>
        <v>0</v>
      </c>
      <c r="AL181" s="10">
        <f t="shared" si="233"/>
        <v>0</v>
      </c>
      <c r="AN181" s="67">
        <v>15</v>
      </c>
      <c r="AO181" s="67">
        <f>J181*0.139054772759212</f>
        <v>0</v>
      </c>
      <c r="AP181" s="67">
        <f>J181*(1-0.139054772759212)</f>
        <v>0</v>
      </c>
      <c r="AQ181" s="16" t="s">
        <v>12</v>
      </c>
      <c r="AV181" s="67">
        <f t="shared" si="234"/>
        <v>0</v>
      </c>
      <c r="AW181" s="67">
        <f t="shared" si="235"/>
        <v>0</v>
      </c>
      <c r="AX181" s="67">
        <f t="shared" si="236"/>
        <v>0</v>
      </c>
      <c r="AY181" s="68" t="s">
        <v>975</v>
      </c>
      <c r="AZ181" s="68" t="s">
        <v>992</v>
      </c>
      <c r="BA181" s="12" t="s">
        <v>996</v>
      </c>
      <c r="BC181" s="67">
        <f t="shared" si="237"/>
        <v>0</v>
      </c>
      <c r="BD181" s="67">
        <f t="shared" si="238"/>
        <v>0</v>
      </c>
      <c r="BE181" s="67">
        <v>0</v>
      </c>
      <c r="BF181" s="67">
        <f>181</f>
        <v>181</v>
      </c>
      <c r="BH181" s="10">
        <f t="shared" si="239"/>
        <v>0</v>
      </c>
      <c r="BI181" s="10">
        <f t="shared" si="240"/>
        <v>0</v>
      </c>
      <c r="BJ181" s="10">
        <f t="shared" si="241"/>
        <v>0</v>
      </c>
    </row>
    <row r="182" spans="1:62" ht="12.75">
      <c r="A182" s="3" t="s">
        <v>155</v>
      </c>
      <c r="B182" s="3" t="s">
        <v>361</v>
      </c>
      <c r="C182" s="143" t="s">
        <v>748</v>
      </c>
      <c r="D182" s="144"/>
      <c r="E182" s="144"/>
      <c r="F182" s="144"/>
      <c r="G182" s="144"/>
      <c r="H182" s="3" t="s">
        <v>861</v>
      </c>
      <c r="I182" s="10">
        <v>1</v>
      </c>
      <c r="J182" s="59">
        <v>0</v>
      </c>
      <c r="K182" s="10">
        <f t="shared" si="222"/>
        <v>0</v>
      </c>
      <c r="L182" s="16" t="s">
        <v>941</v>
      </c>
      <c r="Z182" s="67">
        <f t="shared" si="223"/>
        <v>0</v>
      </c>
      <c r="AB182" s="67">
        <f t="shared" si="224"/>
        <v>0</v>
      </c>
      <c r="AC182" s="67">
        <f t="shared" si="225"/>
        <v>0</v>
      </c>
      <c r="AD182" s="67">
        <f t="shared" si="226"/>
        <v>0</v>
      </c>
      <c r="AE182" s="67">
        <f t="shared" si="227"/>
        <v>0</v>
      </c>
      <c r="AF182" s="67">
        <f t="shared" si="228"/>
        <v>0</v>
      </c>
      <c r="AG182" s="67">
        <f t="shared" si="229"/>
        <v>0</v>
      </c>
      <c r="AH182" s="67">
        <f t="shared" si="230"/>
        <v>0</v>
      </c>
      <c r="AI182" s="12"/>
      <c r="AJ182" s="10">
        <f t="shared" si="231"/>
        <v>0</v>
      </c>
      <c r="AK182" s="10">
        <f t="shared" si="232"/>
        <v>0</v>
      </c>
      <c r="AL182" s="10">
        <f t="shared" si="233"/>
        <v>0</v>
      </c>
      <c r="AN182" s="67">
        <v>15</v>
      </c>
      <c r="AO182" s="67">
        <f>J182*0.0769128888888889</f>
        <v>0</v>
      </c>
      <c r="AP182" s="67">
        <f>J182*(1-0.0769128888888889)</f>
        <v>0</v>
      </c>
      <c r="AQ182" s="16" t="s">
        <v>12</v>
      </c>
      <c r="AV182" s="67">
        <f t="shared" si="234"/>
        <v>0</v>
      </c>
      <c r="AW182" s="67">
        <f t="shared" si="235"/>
        <v>0</v>
      </c>
      <c r="AX182" s="67">
        <f t="shared" si="236"/>
        <v>0</v>
      </c>
      <c r="AY182" s="68" t="s">
        <v>975</v>
      </c>
      <c r="AZ182" s="68" t="s">
        <v>992</v>
      </c>
      <c r="BA182" s="12" t="s">
        <v>996</v>
      </c>
      <c r="BC182" s="67">
        <f t="shared" si="237"/>
        <v>0</v>
      </c>
      <c r="BD182" s="67">
        <f t="shared" si="238"/>
        <v>0</v>
      </c>
      <c r="BE182" s="67">
        <v>0</v>
      </c>
      <c r="BF182" s="67">
        <f>182</f>
        <v>182</v>
      </c>
      <c r="BH182" s="10">
        <f t="shared" si="239"/>
        <v>0</v>
      </c>
      <c r="BI182" s="10">
        <f t="shared" si="240"/>
        <v>0</v>
      </c>
      <c r="BJ182" s="10">
        <f t="shared" si="241"/>
        <v>0</v>
      </c>
    </row>
    <row r="183" spans="1:62" ht="12.75">
      <c r="A183" s="3" t="s">
        <v>156</v>
      </c>
      <c r="B183" s="3" t="s">
        <v>362</v>
      </c>
      <c r="C183" s="143" t="s">
        <v>749</v>
      </c>
      <c r="D183" s="144"/>
      <c r="E183" s="144"/>
      <c r="F183" s="144"/>
      <c r="G183" s="144"/>
      <c r="H183" s="3" t="s">
        <v>852</v>
      </c>
      <c r="I183" s="10">
        <v>24.67</v>
      </c>
      <c r="J183" s="59">
        <v>0</v>
      </c>
      <c r="K183" s="10">
        <f t="shared" si="222"/>
        <v>0</v>
      </c>
      <c r="L183" s="16" t="s">
        <v>941</v>
      </c>
      <c r="Z183" s="67">
        <f t="shared" si="223"/>
        <v>0</v>
      </c>
      <c r="AB183" s="67">
        <f t="shared" si="224"/>
        <v>0</v>
      </c>
      <c r="AC183" s="67">
        <f t="shared" si="225"/>
        <v>0</v>
      </c>
      <c r="AD183" s="67">
        <f t="shared" si="226"/>
        <v>0</v>
      </c>
      <c r="AE183" s="67">
        <f t="shared" si="227"/>
        <v>0</v>
      </c>
      <c r="AF183" s="67">
        <f t="shared" si="228"/>
        <v>0</v>
      </c>
      <c r="AG183" s="67">
        <f t="shared" si="229"/>
        <v>0</v>
      </c>
      <c r="AH183" s="67">
        <f t="shared" si="230"/>
        <v>0</v>
      </c>
      <c r="AI183" s="12"/>
      <c r="AJ183" s="10">
        <f t="shared" si="231"/>
        <v>0</v>
      </c>
      <c r="AK183" s="10">
        <f t="shared" si="232"/>
        <v>0</v>
      </c>
      <c r="AL183" s="10">
        <f t="shared" si="233"/>
        <v>0</v>
      </c>
      <c r="AN183" s="67">
        <v>15</v>
      </c>
      <c r="AO183" s="67">
        <f>J183*0.0853154840652447</f>
        <v>0</v>
      </c>
      <c r="AP183" s="67">
        <f>J183*(1-0.0853154840652447)</f>
        <v>0</v>
      </c>
      <c r="AQ183" s="16" t="s">
        <v>12</v>
      </c>
      <c r="AV183" s="67">
        <f t="shared" si="234"/>
        <v>0</v>
      </c>
      <c r="AW183" s="67">
        <f t="shared" si="235"/>
        <v>0</v>
      </c>
      <c r="AX183" s="67">
        <f t="shared" si="236"/>
        <v>0</v>
      </c>
      <c r="AY183" s="68" t="s">
        <v>975</v>
      </c>
      <c r="AZ183" s="68" t="s">
        <v>992</v>
      </c>
      <c r="BA183" s="12" t="s">
        <v>996</v>
      </c>
      <c r="BC183" s="67">
        <f t="shared" si="237"/>
        <v>0</v>
      </c>
      <c r="BD183" s="67">
        <f t="shared" si="238"/>
        <v>0</v>
      </c>
      <c r="BE183" s="67">
        <v>0</v>
      </c>
      <c r="BF183" s="67">
        <f>183</f>
        <v>183</v>
      </c>
      <c r="BH183" s="10">
        <f t="shared" si="239"/>
        <v>0</v>
      </c>
      <c r="BI183" s="10">
        <f t="shared" si="240"/>
        <v>0</v>
      </c>
      <c r="BJ183" s="10">
        <f t="shared" si="241"/>
        <v>0</v>
      </c>
    </row>
    <row r="184" spans="1:62" ht="12.75">
      <c r="A184" s="5" t="s">
        <v>157</v>
      </c>
      <c r="B184" s="5" t="s">
        <v>363</v>
      </c>
      <c r="C184" s="147" t="s">
        <v>751</v>
      </c>
      <c r="D184" s="148"/>
      <c r="E184" s="148"/>
      <c r="F184" s="148"/>
      <c r="G184" s="148"/>
      <c r="H184" s="5" t="s">
        <v>857</v>
      </c>
      <c r="I184" s="13">
        <v>0.63</v>
      </c>
      <c r="J184" s="61">
        <v>0</v>
      </c>
      <c r="K184" s="13">
        <f t="shared" si="222"/>
        <v>0</v>
      </c>
      <c r="L184" s="17" t="s">
        <v>941</v>
      </c>
      <c r="Z184" s="67">
        <f t="shared" si="223"/>
        <v>0</v>
      </c>
      <c r="AB184" s="67">
        <f t="shared" si="224"/>
        <v>0</v>
      </c>
      <c r="AC184" s="67">
        <f t="shared" si="225"/>
        <v>0</v>
      </c>
      <c r="AD184" s="67">
        <f t="shared" si="226"/>
        <v>0</v>
      </c>
      <c r="AE184" s="67">
        <f t="shared" si="227"/>
        <v>0</v>
      </c>
      <c r="AF184" s="67">
        <f t="shared" si="228"/>
        <v>0</v>
      </c>
      <c r="AG184" s="67">
        <f t="shared" si="229"/>
        <v>0</v>
      </c>
      <c r="AH184" s="67">
        <f t="shared" si="230"/>
        <v>0</v>
      </c>
      <c r="AI184" s="12"/>
      <c r="AJ184" s="13">
        <f t="shared" si="231"/>
        <v>0</v>
      </c>
      <c r="AK184" s="13">
        <f t="shared" si="232"/>
        <v>0</v>
      </c>
      <c r="AL184" s="13">
        <f t="shared" si="233"/>
        <v>0</v>
      </c>
      <c r="AN184" s="67">
        <v>15</v>
      </c>
      <c r="AO184" s="67">
        <f>J184*1</f>
        <v>0</v>
      </c>
      <c r="AP184" s="67">
        <f>J184*(1-1)</f>
        <v>0</v>
      </c>
      <c r="AQ184" s="17" t="s">
        <v>12</v>
      </c>
      <c r="AV184" s="67">
        <f t="shared" si="234"/>
        <v>0</v>
      </c>
      <c r="AW184" s="67">
        <f t="shared" si="235"/>
        <v>0</v>
      </c>
      <c r="AX184" s="67">
        <f t="shared" si="236"/>
        <v>0</v>
      </c>
      <c r="AY184" s="68" t="s">
        <v>975</v>
      </c>
      <c r="AZ184" s="68" t="s">
        <v>992</v>
      </c>
      <c r="BA184" s="12" t="s">
        <v>996</v>
      </c>
      <c r="BC184" s="67">
        <f t="shared" si="237"/>
        <v>0</v>
      </c>
      <c r="BD184" s="67">
        <f t="shared" si="238"/>
        <v>0</v>
      </c>
      <c r="BE184" s="67">
        <v>0</v>
      </c>
      <c r="BF184" s="67">
        <f>184</f>
        <v>184</v>
      </c>
      <c r="BH184" s="13">
        <f t="shared" si="239"/>
        <v>0</v>
      </c>
      <c r="BI184" s="13">
        <f t="shared" si="240"/>
        <v>0</v>
      </c>
      <c r="BJ184" s="13">
        <f t="shared" si="241"/>
        <v>0</v>
      </c>
    </row>
    <row r="185" spans="1:62" ht="12.75">
      <c r="A185" s="5" t="s">
        <v>158</v>
      </c>
      <c r="B185" s="5" t="s">
        <v>364</v>
      </c>
      <c r="C185" s="147" t="s">
        <v>753</v>
      </c>
      <c r="D185" s="148"/>
      <c r="E185" s="148"/>
      <c r="F185" s="148"/>
      <c r="G185" s="148"/>
      <c r="H185" s="5" t="s">
        <v>852</v>
      </c>
      <c r="I185" s="13">
        <v>35.03</v>
      </c>
      <c r="J185" s="61">
        <v>0</v>
      </c>
      <c r="K185" s="13">
        <f t="shared" si="222"/>
        <v>0</v>
      </c>
      <c r="L185" s="17" t="s">
        <v>941</v>
      </c>
      <c r="Z185" s="67">
        <f t="shared" si="223"/>
        <v>0</v>
      </c>
      <c r="AB185" s="67">
        <f t="shared" si="224"/>
        <v>0</v>
      </c>
      <c r="AC185" s="67">
        <f t="shared" si="225"/>
        <v>0</v>
      </c>
      <c r="AD185" s="67">
        <f t="shared" si="226"/>
        <v>0</v>
      </c>
      <c r="AE185" s="67">
        <f t="shared" si="227"/>
        <v>0</v>
      </c>
      <c r="AF185" s="67">
        <f t="shared" si="228"/>
        <v>0</v>
      </c>
      <c r="AG185" s="67">
        <f t="shared" si="229"/>
        <v>0</v>
      </c>
      <c r="AH185" s="67">
        <f t="shared" si="230"/>
        <v>0</v>
      </c>
      <c r="AI185" s="12"/>
      <c r="AJ185" s="13">
        <f t="shared" si="231"/>
        <v>0</v>
      </c>
      <c r="AK185" s="13">
        <f t="shared" si="232"/>
        <v>0</v>
      </c>
      <c r="AL185" s="13">
        <f t="shared" si="233"/>
        <v>0</v>
      </c>
      <c r="AN185" s="67">
        <v>15</v>
      </c>
      <c r="AO185" s="67">
        <f>J185*1</f>
        <v>0</v>
      </c>
      <c r="AP185" s="67">
        <f>J185*(1-1)</f>
        <v>0</v>
      </c>
      <c r="AQ185" s="17" t="s">
        <v>12</v>
      </c>
      <c r="AV185" s="67">
        <f t="shared" si="234"/>
        <v>0</v>
      </c>
      <c r="AW185" s="67">
        <f t="shared" si="235"/>
        <v>0</v>
      </c>
      <c r="AX185" s="67">
        <f t="shared" si="236"/>
        <v>0</v>
      </c>
      <c r="AY185" s="68" t="s">
        <v>975</v>
      </c>
      <c r="AZ185" s="68" t="s">
        <v>992</v>
      </c>
      <c r="BA185" s="12" t="s">
        <v>996</v>
      </c>
      <c r="BC185" s="67">
        <f t="shared" si="237"/>
        <v>0</v>
      </c>
      <c r="BD185" s="67">
        <f t="shared" si="238"/>
        <v>0</v>
      </c>
      <c r="BE185" s="67">
        <v>0</v>
      </c>
      <c r="BF185" s="67">
        <f>185</f>
        <v>185</v>
      </c>
      <c r="BH185" s="13">
        <f t="shared" si="239"/>
        <v>0</v>
      </c>
      <c r="BI185" s="13">
        <f t="shared" si="240"/>
        <v>0</v>
      </c>
      <c r="BJ185" s="13">
        <f t="shared" si="241"/>
        <v>0</v>
      </c>
    </row>
    <row r="186" spans="1:62" ht="12.75">
      <c r="A186" s="3" t="s">
        <v>159</v>
      </c>
      <c r="B186" s="3" t="s">
        <v>365</v>
      </c>
      <c r="C186" s="143" t="s">
        <v>755</v>
      </c>
      <c r="D186" s="144"/>
      <c r="E186" s="144"/>
      <c r="F186" s="144"/>
      <c r="G186" s="144"/>
      <c r="H186" s="3" t="s">
        <v>859</v>
      </c>
      <c r="I186" s="10">
        <v>1061.74</v>
      </c>
      <c r="J186" s="59">
        <v>0</v>
      </c>
      <c r="K186" s="10">
        <f t="shared" si="222"/>
        <v>0</v>
      </c>
      <c r="L186" s="16" t="s">
        <v>941</v>
      </c>
      <c r="Z186" s="67">
        <f t="shared" si="223"/>
        <v>0</v>
      </c>
      <c r="AB186" s="67">
        <f t="shared" si="224"/>
        <v>0</v>
      </c>
      <c r="AC186" s="67">
        <f t="shared" si="225"/>
        <v>0</v>
      </c>
      <c r="AD186" s="67">
        <f t="shared" si="226"/>
        <v>0</v>
      </c>
      <c r="AE186" s="67">
        <f t="shared" si="227"/>
        <v>0</v>
      </c>
      <c r="AF186" s="67">
        <f t="shared" si="228"/>
        <v>0</v>
      </c>
      <c r="AG186" s="67">
        <f t="shared" si="229"/>
        <v>0</v>
      </c>
      <c r="AH186" s="67">
        <f t="shared" si="230"/>
        <v>0</v>
      </c>
      <c r="AI186" s="12"/>
      <c r="AJ186" s="10">
        <f t="shared" si="231"/>
        <v>0</v>
      </c>
      <c r="AK186" s="10">
        <f t="shared" si="232"/>
        <v>0</v>
      </c>
      <c r="AL186" s="10">
        <f t="shared" si="233"/>
        <v>0</v>
      </c>
      <c r="AN186" s="67">
        <v>15</v>
      </c>
      <c r="AO186" s="67">
        <f>J186*0</f>
        <v>0</v>
      </c>
      <c r="AP186" s="67">
        <f>J186*(1-0)</f>
        <v>0</v>
      </c>
      <c r="AQ186" s="16" t="s">
        <v>10</v>
      </c>
      <c r="AV186" s="67">
        <f t="shared" si="234"/>
        <v>0</v>
      </c>
      <c r="AW186" s="67">
        <f t="shared" si="235"/>
        <v>0</v>
      </c>
      <c r="AX186" s="67">
        <f t="shared" si="236"/>
        <v>0</v>
      </c>
      <c r="AY186" s="68" t="s">
        <v>975</v>
      </c>
      <c r="AZ186" s="68" t="s">
        <v>992</v>
      </c>
      <c r="BA186" s="12" t="s">
        <v>996</v>
      </c>
      <c r="BC186" s="67">
        <f t="shared" si="237"/>
        <v>0</v>
      </c>
      <c r="BD186" s="67">
        <f t="shared" si="238"/>
        <v>0</v>
      </c>
      <c r="BE186" s="67">
        <v>0</v>
      </c>
      <c r="BF186" s="67">
        <f>186</f>
        <v>186</v>
      </c>
      <c r="BH186" s="10">
        <f t="shared" si="239"/>
        <v>0</v>
      </c>
      <c r="BI186" s="10">
        <f t="shared" si="240"/>
        <v>0</v>
      </c>
      <c r="BJ186" s="10">
        <f t="shared" si="241"/>
        <v>0</v>
      </c>
    </row>
    <row r="187" spans="1:47" ht="12.75">
      <c r="A187" s="50"/>
      <c r="B187" s="4" t="s">
        <v>366</v>
      </c>
      <c r="C187" s="145" t="s">
        <v>757</v>
      </c>
      <c r="D187" s="146"/>
      <c r="E187" s="146"/>
      <c r="F187" s="146"/>
      <c r="G187" s="146"/>
      <c r="H187" s="50" t="s">
        <v>927</v>
      </c>
      <c r="I187" s="50" t="s">
        <v>927</v>
      </c>
      <c r="J187" s="60" t="s">
        <v>927</v>
      </c>
      <c r="K187" s="70">
        <f>SUM(K188:K195)</f>
        <v>0</v>
      </c>
      <c r="L187" s="12"/>
      <c r="AI187" s="12"/>
      <c r="AS187" s="70">
        <f>SUM(AJ188:AJ195)</f>
        <v>0</v>
      </c>
      <c r="AT187" s="70">
        <f>SUM(AK188:AK195)</f>
        <v>0</v>
      </c>
      <c r="AU187" s="70">
        <f>SUM(AL188:AL195)</f>
        <v>0</v>
      </c>
    </row>
    <row r="188" spans="1:62" ht="12.75">
      <c r="A188" s="3" t="s">
        <v>160</v>
      </c>
      <c r="B188" s="3" t="s">
        <v>367</v>
      </c>
      <c r="C188" s="143" t="s">
        <v>758</v>
      </c>
      <c r="D188" s="144"/>
      <c r="E188" s="144"/>
      <c r="F188" s="144"/>
      <c r="G188" s="144"/>
      <c r="H188" s="3" t="s">
        <v>856</v>
      </c>
      <c r="I188" s="10">
        <v>2</v>
      </c>
      <c r="J188" s="59">
        <v>0</v>
      </c>
      <c r="K188" s="10">
        <f aca="true" t="shared" si="242" ref="K188:K195">I188*J188</f>
        <v>0</v>
      </c>
      <c r="L188" s="16" t="s">
        <v>941</v>
      </c>
      <c r="Z188" s="67">
        <f aca="true" t="shared" si="243" ref="Z188:Z195">IF(AQ188="5",BJ188,0)</f>
        <v>0</v>
      </c>
      <c r="AB188" s="67">
        <f aca="true" t="shared" si="244" ref="AB188:AB195">IF(AQ188="1",BH188,0)</f>
        <v>0</v>
      </c>
      <c r="AC188" s="67">
        <f aca="true" t="shared" si="245" ref="AC188:AC195">IF(AQ188="1",BI188,0)</f>
        <v>0</v>
      </c>
      <c r="AD188" s="67">
        <f aca="true" t="shared" si="246" ref="AD188:AD195">IF(AQ188="7",BH188,0)</f>
        <v>0</v>
      </c>
      <c r="AE188" s="67">
        <f aca="true" t="shared" si="247" ref="AE188:AE195">IF(AQ188="7",BI188,0)</f>
        <v>0</v>
      </c>
      <c r="AF188" s="67">
        <f aca="true" t="shared" si="248" ref="AF188:AF195">IF(AQ188="2",BH188,0)</f>
        <v>0</v>
      </c>
      <c r="AG188" s="67">
        <f aca="true" t="shared" si="249" ref="AG188:AG195">IF(AQ188="2",BI188,0)</f>
        <v>0</v>
      </c>
      <c r="AH188" s="67">
        <f aca="true" t="shared" si="250" ref="AH188:AH195">IF(AQ188="0",BJ188,0)</f>
        <v>0</v>
      </c>
      <c r="AI188" s="12"/>
      <c r="AJ188" s="10">
        <f aca="true" t="shared" si="251" ref="AJ188:AJ195">IF(AN188=0,K188,0)</f>
        <v>0</v>
      </c>
      <c r="AK188" s="10">
        <f aca="true" t="shared" si="252" ref="AK188:AK195">IF(AN188=15,K188,0)</f>
        <v>0</v>
      </c>
      <c r="AL188" s="10">
        <f aca="true" t="shared" si="253" ref="AL188:AL195">IF(AN188=21,K188,0)</f>
        <v>0</v>
      </c>
      <c r="AN188" s="67">
        <v>15</v>
      </c>
      <c r="AO188" s="67">
        <f>J188*0.245299682539683</f>
        <v>0</v>
      </c>
      <c r="AP188" s="67">
        <f>J188*(1-0.245299682539683)</f>
        <v>0</v>
      </c>
      <c r="AQ188" s="16" t="s">
        <v>12</v>
      </c>
      <c r="AV188" s="67">
        <f aca="true" t="shared" si="254" ref="AV188:AV195">AW188+AX188</f>
        <v>0</v>
      </c>
      <c r="AW188" s="67">
        <f aca="true" t="shared" si="255" ref="AW188:AW195">I188*AO188</f>
        <v>0</v>
      </c>
      <c r="AX188" s="67">
        <f aca="true" t="shared" si="256" ref="AX188:AX195">I188*AP188</f>
        <v>0</v>
      </c>
      <c r="AY188" s="68" t="s">
        <v>976</v>
      </c>
      <c r="AZ188" s="68" t="s">
        <v>993</v>
      </c>
      <c r="BA188" s="12" t="s">
        <v>996</v>
      </c>
      <c r="BC188" s="67">
        <f aca="true" t="shared" si="257" ref="BC188:BC195">AW188+AX188</f>
        <v>0</v>
      </c>
      <c r="BD188" s="67">
        <f aca="true" t="shared" si="258" ref="BD188:BD195">J188/(100-BE188)*100</f>
        <v>0</v>
      </c>
      <c r="BE188" s="67">
        <v>0</v>
      </c>
      <c r="BF188" s="67">
        <f>188</f>
        <v>188</v>
      </c>
      <c r="BH188" s="10">
        <f aca="true" t="shared" si="259" ref="BH188:BH195">I188*AO188</f>
        <v>0</v>
      </c>
      <c r="BI188" s="10">
        <f aca="true" t="shared" si="260" ref="BI188:BI195">I188*AP188</f>
        <v>0</v>
      </c>
      <c r="BJ188" s="10">
        <f aca="true" t="shared" si="261" ref="BJ188:BJ195">I188*J188</f>
        <v>0</v>
      </c>
    </row>
    <row r="189" spans="1:62" ht="12.75">
      <c r="A189" s="3" t="s">
        <v>161</v>
      </c>
      <c r="B189" s="3" t="s">
        <v>368</v>
      </c>
      <c r="C189" s="143" t="s">
        <v>759</v>
      </c>
      <c r="D189" s="144"/>
      <c r="E189" s="144"/>
      <c r="F189" s="144"/>
      <c r="G189" s="144"/>
      <c r="H189" s="3" t="s">
        <v>856</v>
      </c>
      <c r="I189" s="10">
        <v>2</v>
      </c>
      <c r="J189" s="59">
        <v>0</v>
      </c>
      <c r="K189" s="10">
        <f t="shared" si="242"/>
        <v>0</v>
      </c>
      <c r="L189" s="16" t="s">
        <v>941</v>
      </c>
      <c r="Z189" s="67">
        <f t="shared" si="243"/>
        <v>0</v>
      </c>
      <c r="AB189" s="67">
        <f t="shared" si="244"/>
        <v>0</v>
      </c>
      <c r="AC189" s="67">
        <f t="shared" si="245"/>
        <v>0</v>
      </c>
      <c r="AD189" s="67">
        <f t="shared" si="246"/>
        <v>0</v>
      </c>
      <c r="AE189" s="67">
        <f t="shared" si="247"/>
        <v>0</v>
      </c>
      <c r="AF189" s="67">
        <f t="shared" si="248"/>
        <v>0</v>
      </c>
      <c r="AG189" s="67">
        <f t="shared" si="249"/>
        <v>0</v>
      </c>
      <c r="AH189" s="67">
        <f t="shared" si="250"/>
        <v>0</v>
      </c>
      <c r="AI189" s="12"/>
      <c r="AJ189" s="10">
        <f t="shared" si="251"/>
        <v>0</v>
      </c>
      <c r="AK189" s="10">
        <f t="shared" si="252"/>
        <v>0</v>
      </c>
      <c r="AL189" s="10">
        <f t="shared" si="253"/>
        <v>0</v>
      </c>
      <c r="AN189" s="67">
        <v>15</v>
      </c>
      <c r="AO189" s="67">
        <f>J189*0.369497742782152</f>
        <v>0</v>
      </c>
      <c r="AP189" s="67">
        <f>J189*(1-0.369497742782152)</f>
        <v>0</v>
      </c>
      <c r="AQ189" s="16" t="s">
        <v>12</v>
      </c>
      <c r="AV189" s="67">
        <f t="shared" si="254"/>
        <v>0</v>
      </c>
      <c r="AW189" s="67">
        <f t="shared" si="255"/>
        <v>0</v>
      </c>
      <c r="AX189" s="67">
        <f t="shared" si="256"/>
        <v>0</v>
      </c>
      <c r="AY189" s="68" t="s">
        <v>976</v>
      </c>
      <c r="AZ189" s="68" t="s">
        <v>993</v>
      </c>
      <c r="BA189" s="12" t="s">
        <v>996</v>
      </c>
      <c r="BC189" s="67">
        <f t="shared" si="257"/>
        <v>0</v>
      </c>
      <c r="BD189" s="67">
        <f t="shared" si="258"/>
        <v>0</v>
      </c>
      <c r="BE189" s="67">
        <v>0</v>
      </c>
      <c r="BF189" s="67">
        <f>189</f>
        <v>189</v>
      </c>
      <c r="BH189" s="10">
        <f t="shared" si="259"/>
        <v>0</v>
      </c>
      <c r="BI189" s="10">
        <f t="shared" si="260"/>
        <v>0</v>
      </c>
      <c r="BJ189" s="10">
        <f t="shared" si="261"/>
        <v>0</v>
      </c>
    </row>
    <row r="190" spans="1:62" ht="12.75">
      <c r="A190" s="3" t="s">
        <v>162</v>
      </c>
      <c r="B190" s="3" t="s">
        <v>369</v>
      </c>
      <c r="C190" s="143" t="s">
        <v>760</v>
      </c>
      <c r="D190" s="144"/>
      <c r="E190" s="144"/>
      <c r="F190" s="144"/>
      <c r="G190" s="144"/>
      <c r="H190" s="3" t="s">
        <v>852</v>
      </c>
      <c r="I190" s="10">
        <v>11.13</v>
      </c>
      <c r="J190" s="59">
        <v>0</v>
      </c>
      <c r="K190" s="10">
        <f t="shared" si="242"/>
        <v>0</v>
      </c>
      <c r="L190" s="16" t="s">
        <v>941</v>
      </c>
      <c r="Z190" s="67">
        <f t="shared" si="243"/>
        <v>0</v>
      </c>
      <c r="AB190" s="67">
        <f t="shared" si="244"/>
        <v>0</v>
      </c>
      <c r="AC190" s="67">
        <f t="shared" si="245"/>
        <v>0</v>
      </c>
      <c r="AD190" s="67">
        <f t="shared" si="246"/>
        <v>0</v>
      </c>
      <c r="AE190" s="67">
        <f t="shared" si="247"/>
        <v>0</v>
      </c>
      <c r="AF190" s="67">
        <f t="shared" si="248"/>
        <v>0</v>
      </c>
      <c r="AG190" s="67">
        <f t="shared" si="249"/>
        <v>0</v>
      </c>
      <c r="AH190" s="67">
        <f t="shared" si="250"/>
        <v>0</v>
      </c>
      <c r="AI190" s="12"/>
      <c r="AJ190" s="10">
        <f t="shared" si="251"/>
        <v>0</v>
      </c>
      <c r="AK190" s="10">
        <f t="shared" si="252"/>
        <v>0</v>
      </c>
      <c r="AL190" s="10">
        <f t="shared" si="253"/>
        <v>0</v>
      </c>
      <c r="AN190" s="67">
        <v>15</v>
      </c>
      <c r="AO190" s="67">
        <f>J190*0.177428053966416</f>
        <v>0</v>
      </c>
      <c r="AP190" s="67">
        <f>J190*(1-0.177428053966416)</f>
        <v>0</v>
      </c>
      <c r="AQ190" s="16" t="s">
        <v>12</v>
      </c>
      <c r="AV190" s="67">
        <f t="shared" si="254"/>
        <v>0</v>
      </c>
      <c r="AW190" s="67">
        <f t="shared" si="255"/>
        <v>0</v>
      </c>
      <c r="AX190" s="67">
        <f t="shared" si="256"/>
        <v>0</v>
      </c>
      <c r="AY190" s="68" t="s">
        <v>976</v>
      </c>
      <c r="AZ190" s="68" t="s">
        <v>993</v>
      </c>
      <c r="BA190" s="12" t="s">
        <v>996</v>
      </c>
      <c r="BC190" s="67">
        <f t="shared" si="257"/>
        <v>0</v>
      </c>
      <c r="BD190" s="67">
        <f t="shared" si="258"/>
        <v>0</v>
      </c>
      <c r="BE190" s="67">
        <v>0</v>
      </c>
      <c r="BF190" s="67">
        <f>190</f>
        <v>190</v>
      </c>
      <c r="BH190" s="10">
        <f t="shared" si="259"/>
        <v>0</v>
      </c>
      <c r="BI190" s="10">
        <f t="shared" si="260"/>
        <v>0</v>
      </c>
      <c r="BJ190" s="10">
        <f t="shared" si="261"/>
        <v>0</v>
      </c>
    </row>
    <row r="191" spans="1:62" ht="12.75">
      <c r="A191" s="3" t="s">
        <v>163</v>
      </c>
      <c r="B191" s="3" t="s">
        <v>370</v>
      </c>
      <c r="C191" s="143" t="s">
        <v>762</v>
      </c>
      <c r="D191" s="144"/>
      <c r="E191" s="144"/>
      <c r="F191" s="144"/>
      <c r="G191" s="144"/>
      <c r="H191" s="3" t="s">
        <v>852</v>
      </c>
      <c r="I191" s="10">
        <v>11.13</v>
      </c>
      <c r="J191" s="59">
        <v>0</v>
      </c>
      <c r="K191" s="10">
        <f t="shared" si="242"/>
        <v>0</v>
      </c>
      <c r="L191" s="16" t="s">
        <v>941</v>
      </c>
      <c r="Z191" s="67">
        <f t="shared" si="243"/>
        <v>0</v>
      </c>
      <c r="AB191" s="67">
        <f t="shared" si="244"/>
        <v>0</v>
      </c>
      <c r="AC191" s="67">
        <f t="shared" si="245"/>
        <v>0</v>
      </c>
      <c r="AD191" s="67">
        <f t="shared" si="246"/>
        <v>0</v>
      </c>
      <c r="AE191" s="67">
        <f t="shared" si="247"/>
        <v>0</v>
      </c>
      <c r="AF191" s="67">
        <f t="shared" si="248"/>
        <v>0</v>
      </c>
      <c r="AG191" s="67">
        <f t="shared" si="249"/>
        <v>0</v>
      </c>
      <c r="AH191" s="67">
        <f t="shared" si="250"/>
        <v>0</v>
      </c>
      <c r="AI191" s="12"/>
      <c r="AJ191" s="10">
        <f t="shared" si="251"/>
        <v>0</v>
      </c>
      <c r="AK191" s="10">
        <f t="shared" si="252"/>
        <v>0</v>
      </c>
      <c r="AL191" s="10">
        <f t="shared" si="253"/>
        <v>0</v>
      </c>
      <c r="AN191" s="67">
        <v>15</v>
      </c>
      <c r="AO191" s="67">
        <f>J191*0.351488588760331</f>
        <v>0</v>
      </c>
      <c r="AP191" s="67">
        <f>J191*(1-0.351488588760331)</f>
        <v>0</v>
      </c>
      <c r="AQ191" s="16" t="s">
        <v>12</v>
      </c>
      <c r="AV191" s="67">
        <f t="shared" si="254"/>
        <v>0</v>
      </c>
      <c r="AW191" s="67">
        <f t="shared" si="255"/>
        <v>0</v>
      </c>
      <c r="AX191" s="67">
        <f t="shared" si="256"/>
        <v>0</v>
      </c>
      <c r="AY191" s="68" t="s">
        <v>976</v>
      </c>
      <c r="AZ191" s="68" t="s">
        <v>993</v>
      </c>
      <c r="BA191" s="12" t="s">
        <v>996</v>
      </c>
      <c r="BC191" s="67">
        <f t="shared" si="257"/>
        <v>0</v>
      </c>
      <c r="BD191" s="67">
        <f t="shared" si="258"/>
        <v>0</v>
      </c>
      <c r="BE191" s="67">
        <v>0</v>
      </c>
      <c r="BF191" s="67">
        <f>191</f>
        <v>191</v>
      </c>
      <c r="BH191" s="10">
        <f t="shared" si="259"/>
        <v>0</v>
      </c>
      <c r="BI191" s="10">
        <f t="shared" si="260"/>
        <v>0</v>
      </c>
      <c r="BJ191" s="10">
        <f t="shared" si="261"/>
        <v>0</v>
      </c>
    </row>
    <row r="192" spans="1:62" ht="12.75">
      <c r="A192" s="5" t="s">
        <v>164</v>
      </c>
      <c r="B192" s="5" t="s">
        <v>371</v>
      </c>
      <c r="C192" s="147" t="s">
        <v>763</v>
      </c>
      <c r="D192" s="148"/>
      <c r="E192" s="148"/>
      <c r="F192" s="148"/>
      <c r="G192" s="148"/>
      <c r="H192" s="5" t="s">
        <v>852</v>
      </c>
      <c r="I192" s="13">
        <v>13.36</v>
      </c>
      <c r="J192" s="61">
        <v>0</v>
      </c>
      <c r="K192" s="13">
        <f t="shared" si="242"/>
        <v>0</v>
      </c>
      <c r="L192" s="17" t="s">
        <v>944</v>
      </c>
      <c r="Z192" s="67">
        <f t="shared" si="243"/>
        <v>0</v>
      </c>
      <c r="AB192" s="67">
        <f t="shared" si="244"/>
        <v>0</v>
      </c>
      <c r="AC192" s="67">
        <f t="shared" si="245"/>
        <v>0</v>
      </c>
      <c r="AD192" s="67">
        <f t="shared" si="246"/>
        <v>0</v>
      </c>
      <c r="AE192" s="67">
        <f t="shared" si="247"/>
        <v>0</v>
      </c>
      <c r="AF192" s="67">
        <f t="shared" si="248"/>
        <v>0</v>
      </c>
      <c r="AG192" s="67">
        <f t="shared" si="249"/>
        <v>0</v>
      </c>
      <c r="AH192" s="67">
        <f t="shared" si="250"/>
        <v>0</v>
      </c>
      <c r="AI192" s="12"/>
      <c r="AJ192" s="13">
        <f t="shared" si="251"/>
        <v>0</v>
      </c>
      <c r="AK192" s="13">
        <f t="shared" si="252"/>
        <v>0</v>
      </c>
      <c r="AL192" s="13">
        <f t="shared" si="253"/>
        <v>0</v>
      </c>
      <c r="AN192" s="67">
        <v>15</v>
      </c>
      <c r="AO192" s="67">
        <f>J192*1</f>
        <v>0</v>
      </c>
      <c r="AP192" s="67">
        <f>J192*(1-1)</f>
        <v>0</v>
      </c>
      <c r="AQ192" s="17" t="s">
        <v>12</v>
      </c>
      <c r="AV192" s="67">
        <f t="shared" si="254"/>
        <v>0</v>
      </c>
      <c r="AW192" s="67">
        <f t="shared" si="255"/>
        <v>0</v>
      </c>
      <c r="AX192" s="67">
        <f t="shared" si="256"/>
        <v>0</v>
      </c>
      <c r="AY192" s="68" t="s">
        <v>976</v>
      </c>
      <c r="AZ192" s="68" t="s">
        <v>993</v>
      </c>
      <c r="BA192" s="12" t="s">
        <v>996</v>
      </c>
      <c r="BC192" s="67">
        <f t="shared" si="257"/>
        <v>0</v>
      </c>
      <c r="BD192" s="67">
        <f t="shared" si="258"/>
        <v>0</v>
      </c>
      <c r="BE192" s="67">
        <v>0</v>
      </c>
      <c r="BF192" s="67">
        <f>192</f>
        <v>192</v>
      </c>
      <c r="BH192" s="13">
        <f t="shared" si="259"/>
        <v>0</v>
      </c>
      <c r="BI192" s="13">
        <f t="shared" si="260"/>
        <v>0</v>
      </c>
      <c r="BJ192" s="13">
        <f t="shared" si="261"/>
        <v>0</v>
      </c>
    </row>
    <row r="193" spans="1:62" ht="12.75">
      <c r="A193" s="3" t="s">
        <v>165</v>
      </c>
      <c r="B193" s="3" t="s">
        <v>372</v>
      </c>
      <c r="C193" s="143" t="s">
        <v>765</v>
      </c>
      <c r="D193" s="144"/>
      <c r="E193" s="144"/>
      <c r="F193" s="144"/>
      <c r="G193" s="144"/>
      <c r="H193" s="3" t="s">
        <v>852</v>
      </c>
      <c r="I193" s="10">
        <v>120.18</v>
      </c>
      <c r="J193" s="59">
        <v>0</v>
      </c>
      <c r="K193" s="10">
        <f t="shared" si="242"/>
        <v>0</v>
      </c>
      <c r="L193" s="16" t="s">
        <v>940</v>
      </c>
      <c r="Z193" s="67">
        <f t="shared" si="243"/>
        <v>0</v>
      </c>
      <c r="AB193" s="67">
        <f t="shared" si="244"/>
        <v>0</v>
      </c>
      <c r="AC193" s="67">
        <f t="shared" si="245"/>
        <v>0</v>
      </c>
      <c r="AD193" s="67">
        <f t="shared" si="246"/>
        <v>0</v>
      </c>
      <c r="AE193" s="67">
        <f t="shared" si="247"/>
        <v>0</v>
      </c>
      <c r="AF193" s="67">
        <f t="shared" si="248"/>
        <v>0</v>
      </c>
      <c r="AG193" s="67">
        <f t="shared" si="249"/>
        <v>0</v>
      </c>
      <c r="AH193" s="67">
        <f t="shared" si="250"/>
        <v>0</v>
      </c>
      <c r="AI193" s="12"/>
      <c r="AJ193" s="10">
        <f t="shared" si="251"/>
        <v>0</v>
      </c>
      <c r="AK193" s="10">
        <f t="shared" si="252"/>
        <v>0</v>
      </c>
      <c r="AL193" s="10">
        <f t="shared" si="253"/>
        <v>0</v>
      </c>
      <c r="AN193" s="67">
        <v>15</v>
      </c>
      <c r="AO193" s="67">
        <f>J193*0.640599149894441</f>
        <v>0</v>
      </c>
      <c r="AP193" s="67">
        <f>J193*(1-0.640599149894441)</f>
        <v>0</v>
      </c>
      <c r="AQ193" s="16" t="s">
        <v>12</v>
      </c>
      <c r="AV193" s="67">
        <f t="shared" si="254"/>
        <v>0</v>
      </c>
      <c r="AW193" s="67">
        <f t="shared" si="255"/>
        <v>0</v>
      </c>
      <c r="AX193" s="67">
        <f t="shared" si="256"/>
        <v>0</v>
      </c>
      <c r="AY193" s="68" t="s">
        <v>976</v>
      </c>
      <c r="AZ193" s="68" t="s">
        <v>993</v>
      </c>
      <c r="BA193" s="12" t="s">
        <v>996</v>
      </c>
      <c r="BC193" s="67">
        <f t="shared" si="257"/>
        <v>0</v>
      </c>
      <c r="BD193" s="67">
        <f t="shared" si="258"/>
        <v>0</v>
      </c>
      <c r="BE193" s="67">
        <v>0</v>
      </c>
      <c r="BF193" s="67">
        <f>193</f>
        <v>193</v>
      </c>
      <c r="BH193" s="10">
        <f t="shared" si="259"/>
        <v>0</v>
      </c>
      <c r="BI193" s="10">
        <f t="shared" si="260"/>
        <v>0</v>
      </c>
      <c r="BJ193" s="10">
        <f t="shared" si="261"/>
        <v>0</v>
      </c>
    </row>
    <row r="194" spans="1:62" ht="12.75">
      <c r="A194" s="3" t="s">
        <v>166</v>
      </c>
      <c r="B194" s="3" t="s">
        <v>373</v>
      </c>
      <c r="C194" s="143" t="s">
        <v>767</v>
      </c>
      <c r="D194" s="144"/>
      <c r="E194" s="144"/>
      <c r="F194" s="144"/>
      <c r="G194" s="144"/>
      <c r="H194" s="3" t="s">
        <v>856</v>
      </c>
      <c r="I194" s="10">
        <v>5</v>
      </c>
      <c r="J194" s="59">
        <v>0</v>
      </c>
      <c r="K194" s="10">
        <f t="shared" si="242"/>
        <v>0</v>
      </c>
      <c r="L194" s="16" t="s">
        <v>941</v>
      </c>
      <c r="Z194" s="67">
        <f t="shared" si="243"/>
        <v>0</v>
      </c>
      <c r="AB194" s="67">
        <f t="shared" si="244"/>
        <v>0</v>
      </c>
      <c r="AC194" s="67">
        <f t="shared" si="245"/>
        <v>0</v>
      </c>
      <c r="AD194" s="67">
        <f t="shared" si="246"/>
        <v>0</v>
      </c>
      <c r="AE194" s="67">
        <f t="shared" si="247"/>
        <v>0</v>
      </c>
      <c r="AF194" s="67">
        <f t="shared" si="248"/>
        <v>0</v>
      </c>
      <c r="AG194" s="67">
        <f t="shared" si="249"/>
        <v>0</v>
      </c>
      <c r="AH194" s="67">
        <f t="shared" si="250"/>
        <v>0</v>
      </c>
      <c r="AI194" s="12"/>
      <c r="AJ194" s="10">
        <f t="shared" si="251"/>
        <v>0</v>
      </c>
      <c r="AK194" s="10">
        <f t="shared" si="252"/>
        <v>0</v>
      </c>
      <c r="AL194" s="10">
        <f t="shared" si="253"/>
        <v>0</v>
      </c>
      <c r="AN194" s="67">
        <v>15</v>
      </c>
      <c r="AO194" s="67">
        <f>J194*0.716403620564808</f>
        <v>0</v>
      </c>
      <c r="AP194" s="67">
        <f>J194*(1-0.716403620564808)</f>
        <v>0</v>
      </c>
      <c r="AQ194" s="16" t="s">
        <v>12</v>
      </c>
      <c r="AV194" s="67">
        <f t="shared" si="254"/>
        <v>0</v>
      </c>
      <c r="AW194" s="67">
        <f t="shared" si="255"/>
        <v>0</v>
      </c>
      <c r="AX194" s="67">
        <f t="shared" si="256"/>
        <v>0</v>
      </c>
      <c r="AY194" s="68" t="s">
        <v>976</v>
      </c>
      <c r="AZ194" s="68" t="s">
        <v>993</v>
      </c>
      <c r="BA194" s="12" t="s">
        <v>996</v>
      </c>
      <c r="BC194" s="67">
        <f t="shared" si="257"/>
        <v>0</v>
      </c>
      <c r="BD194" s="67">
        <f t="shared" si="258"/>
        <v>0</v>
      </c>
      <c r="BE194" s="67">
        <v>0</v>
      </c>
      <c r="BF194" s="67">
        <f>194</f>
        <v>194</v>
      </c>
      <c r="BH194" s="10">
        <f t="shared" si="259"/>
        <v>0</v>
      </c>
      <c r="BI194" s="10">
        <f t="shared" si="260"/>
        <v>0</v>
      </c>
      <c r="BJ194" s="10">
        <f t="shared" si="261"/>
        <v>0</v>
      </c>
    </row>
    <row r="195" spans="1:62" ht="12.75">
      <c r="A195" s="3" t="s">
        <v>167</v>
      </c>
      <c r="B195" s="3" t="s">
        <v>374</v>
      </c>
      <c r="C195" s="143" t="s">
        <v>768</v>
      </c>
      <c r="D195" s="144"/>
      <c r="E195" s="144"/>
      <c r="F195" s="144"/>
      <c r="G195" s="144"/>
      <c r="H195" s="3" t="s">
        <v>859</v>
      </c>
      <c r="I195" s="10">
        <v>250.57</v>
      </c>
      <c r="J195" s="59">
        <v>0</v>
      </c>
      <c r="K195" s="10">
        <f t="shared" si="242"/>
        <v>0</v>
      </c>
      <c r="L195" s="16" t="s">
        <v>941</v>
      </c>
      <c r="Z195" s="67">
        <f t="shared" si="243"/>
        <v>0</v>
      </c>
      <c r="AB195" s="67">
        <f t="shared" si="244"/>
        <v>0</v>
      </c>
      <c r="AC195" s="67">
        <f t="shared" si="245"/>
        <v>0</v>
      </c>
      <c r="AD195" s="67">
        <f t="shared" si="246"/>
        <v>0</v>
      </c>
      <c r="AE195" s="67">
        <f t="shared" si="247"/>
        <v>0</v>
      </c>
      <c r="AF195" s="67">
        <f t="shared" si="248"/>
        <v>0</v>
      </c>
      <c r="AG195" s="67">
        <f t="shared" si="249"/>
        <v>0</v>
      </c>
      <c r="AH195" s="67">
        <f t="shared" si="250"/>
        <v>0</v>
      </c>
      <c r="AI195" s="12"/>
      <c r="AJ195" s="10">
        <f t="shared" si="251"/>
        <v>0</v>
      </c>
      <c r="AK195" s="10">
        <f t="shared" si="252"/>
        <v>0</v>
      </c>
      <c r="AL195" s="10">
        <f t="shared" si="253"/>
        <v>0</v>
      </c>
      <c r="AN195" s="67">
        <v>15</v>
      </c>
      <c r="AO195" s="67">
        <f>J195*0</f>
        <v>0</v>
      </c>
      <c r="AP195" s="67">
        <f>J195*(1-0)</f>
        <v>0</v>
      </c>
      <c r="AQ195" s="16" t="s">
        <v>10</v>
      </c>
      <c r="AV195" s="67">
        <f t="shared" si="254"/>
        <v>0</v>
      </c>
      <c r="AW195" s="67">
        <f t="shared" si="255"/>
        <v>0</v>
      </c>
      <c r="AX195" s="67">
        <f t="shared" si="256"/>
        <v>0</v>
      </c>
      <c r="AY195" s="68" t="s">
        <v>976</v>
      </c>
      <c r="AZ195" s="68" t="s">
        <v>993</v>
      </c>
      <c r="BA195" s="12" t="s">
        <v>996</v>
      </c>
      <c r="BC195" s="67">
        <f t="shared" si="257"/>
        <v>0</v>
      </c>
      <c r="BD195" s="67">
        <f t="shared" si="258"/>
        <v>0</v>
      </c>
      <c r="BE195" s="67">
        <v>0</v>
      </c>
      <c r="BF195" s="67">
        <f>195</f>
        <v>195</v>
      </c>
      <c r="BH195" s="10">
        <f t="shared" si="259"/>
        <v>0</v>
      </c>
      <c r="BI195" s="10">
        <f t="shared" si="260"/>
        <v>0</v>
      </c>
      <c r="BJ195" s="10">
        <f t="shared" si="261"/>
        <v>0</v>
      </c>
    </row>
    <row r="196" spans="1:47" ht="12.75">
      <c r="A196" s="50"/>
      <c r="B196" s="4" t="s">
        <v>375</v>
      </c>
      <c r="C196" s="145" t="s">
        <v>770</v>
      </c>
      <c r="D196" s="146"/>
      <c r="E196" s="146"/>
      <c r="F196" s="146"/>
      <c r="G196" s="146"/>
      <c r="H196" s="50" t="s">
        <v>927</v>
      </c>
      <c r="I196" s="50" t="s">
        <v>927</v>
      </c>
      <c r="J196" s="60" t="s">
        <v>927</v>
      </c>
      <c r="K196" s="70">
        <f>SUM(K197:K203)</f>
        <v>0</v>
      </c>
      <c r="L196" s="12"/>
      <c r="AI196" s="12"/>
      <c r="AS196" s="70">
        <f>SUM(AJ197:AJ203)</f>
        <v>0</v>
      </c>
      <c r="AT196" s="70">
        <f>SUM(AK197:AK203)</f>
        <v>0</v>
      </c>
      <c r="AU196" s="70">
        <f>SUM(AL197:AL203)</f>
        <v>0</v>
      </c>
    </row>
    <row r="197" spans="1:62" ht="12.75">
      <c r="A197" s="3" t="s">
        <v>168</v>
      </c>
      <c r="B197" s="3" t="s">
        <v>376</v>
      </c>
      <c r="C197" s="143" t="s">
        <v>771</v>
      </c>
      <c r="D197" s="144"/>
      <c r="E197" s="144"/>
      <c r="F197" s="144"/>
      <c r="G197" s="144"/>
      <c r="H197" s="3" t="s">
        <v>852</v>
      </c>
      <c r="I197" s="10">
        <v>27.87</v>
      </c>
      <c r="J197" s="59">
        <v>0</v>
      </c>
      <c r="K197" s="10">
        <f aca="true" t="shared" si="262" ref="K197:K203">I197*J197</f>
        <v>0</v>
      </c>
      <c r="L197" s="16" t="s">
        <v>941</v>
      </c>
      <c r="Z197" s="67">
        <f aca="true" t="shared" si="263" ref="Z197:Z203">IF(AQ197="5",BJ197,0)</f>
        <v>0</v>
      </c>
      <c r="AB197" s="67">
        <f aca="true" t="shared" si="264" ref="AB197:AB203">IF(AQ197="1",BH197,0)</f>
        <v>0</v>
      </c>
      <c r="AC197" s="67">
        <f aca="true" t="shared" si="265" ref="AC197:AC203">IF(AQ197="1",BI197,0)</f>
        <v>0</v>
      </c>
      <c r="AD197" s="67">
        <f aca="true" t="shared" si="266" ref="AD197:AD203">IF(AQ197="7",BH197,0)</f>
        <v>0</v>
      </c>
      <c r="AE197" s="67">
        <f aca="true" t="shared" si="267" ref="AE197:AE203">IF(AQ197="7",BI197,0)</f>
        <v>0</v>
      </c>
      <c r="AF197" s="67">
        <f aca="true" t="shared" si="268" ref="AF197:AF203">IF(AQ197="2",BH197,0)</f>
        <v>0</v>
      </c>
      <c r="AG197" s="67">
        <f aca="true" t="shared" si="269" ref="AG197:AG203">IF(AQ197="2",BI197,0)</f>
        <v>0</v>
      </c>
      <c r="AH197" s="67">
        <f aca="true" t="shared" si="270" ref="AH197:AH203">IF(AQ197="0",BJ197,0)</f>
        <v>0</v>
      </c>
      <c r="AI197" s="12"/>
      <c r="AJ197" s="10">
        <f aca="true" t="shared" si="271" ref="AJ197:AJ203">IF(AN197=0,K197,0)</f>
        <v>0</v>
      </c>
      <c r="AK197" s="10">
        <f aca="true" t="shared" si="272" ref="AK197:AK203">IF(AN197=15,K197,0)</f>
        <v>0</v>
      </c>
      <c r="AL197" s="10">
        <f aca="true" t="shared" si="273" ref="AL197:AL203">IF(AN197=21,K197,0)</f>
        <v>0</v>
      </c>
      <c r="AN197" s="67">
        <v>15</v>
      </c>
      <c r="AO197" s="67">
        <f>J197*0</f>
        <v>0</v>
      </c>
      <c r="AP197" s="67">
        <f>J197*(1-0)</f>
        <v>0</v>
      </c>
      <c r="AQ197" s="16" t="s">
        <v>12</v>
      </c>
      <c r="AV197" s="67">
        <f aca="true" t="shared" si="274" ref="AV197:AV203">AW197+AX197</f>
        <v>0</v>
      </c>
      <c r="AW197" s="67">
        <f aca="true" t="shared" si="275" ref="AW197:AW203">I197*AO197</f>
        <v>0</v>
      </c>
      <c r="AX197" s="67">
        <f aca="true" t="shared" si="276" ref="AX197:AX203">I197*AP197</f>
        <v>0</v>
      </c>
      <c r="AY197" s="68" t="s">
        <v>977</v>
      </c>
      <c r="AZ197" s="68" t="s">
        <v>993</v>
      </c>
      <c r="BA197" s="12" t="s">
        <v>996</v>
      </c>
      <c r="BC197" s="67">
        <f aca="true" t="shared" si="277" ref="BC197:BC203">AW197+AX197</f>
        <v>0</v>
      </c>
      <c r="BD197" s="67">
        <f aca="true" t="shared" si="278" ref="BD197:BD203">J197/(100-BE197)*100</f>
        <v>0</v>
      </c>
      <c r="BE197" s="67">
        <v>0</v>
      </c>
      <c r="BF197" s="67">
        <f>197</f>
        <v>197</v>
      </c>
      <c r="BH197" s="10">
        <f aca="true" t="shared" si="279" ref="BH197:BH203">I197*AO197</f>
        <v>0</v>
      </c>
      <c r="BI197" s="10">
        <f aca="true" t="shared" si="280" ref="BI197:BI203">I197*AP197</f>
        <v>0</v>
      </c>
      <c r="BJ197" s="10">
        <f aca="true" t="shared" si="281" ref="BJ197:BJ203">I197*J197</f>
        <v>0</v>
      </c>
    </row>
    <row r="198" spans="1:62" ht="12.75">
      <c r="A198" s="3" t="s">
        <v>169</v>
      </c>
      <c r="B198" s="3" t="s">
        <v>377</v>
      </c>
      <c r="C198" s="143" t="s">
        <v>773</v>
      </c>
      <c r="D198" s="144"/>
      <c r="E198" s="144"/>
      <c r="F198" s="144"/>
      <c r="G198" s="144"/>
      <c r="H198" s="3" t="s">
        <v>852</v>
      </c>
      <c r="I198" s="10">
        <v>27.87</v>
      </c>
      <c r="J198" s="59">
        <v>0</v>
      </c>
      <c r="K198" s="10">
        <f t="shared" si="262"/>
        <v>0</v>
      </c>
      <c r="L198" s="16" t="s">
        <v>941</v>
      </c>
      <c r="Z198" s="67">
        <f t="shared" si="263"/>
        <v>0</v>
      </c>
      <c r="AB198" s="67">
        <f t="shared" si="264"/>
        <v>0</v>
      </c>
      <c r="AC198" s="67">
        <f t="shared" si="265"/>
        <v>0</v>
      </c>
      <c r="AD198" s="67">
        <f t="shared" si="266"/>
        <v>0</v>
      </c>
      <c r="AE198" s="67">
        <f t="shared" si="267"/>
        <v>0</v>
      </c>
      <c r="AF198" s="67">
        <f t="shared" si="268"/>
        <v>0</v>
      </c>
      <c r="AG198" s="67">
        <f t="shared" si="269"/>
        <v>0</v>
      </c>
      <c r="AH198" s="67">
        <f t="shared" si="270"/>
        <v>0</v>
      </c>
      <c r="AI198" s="12"/>
      <c r="AJ198" s="10">
        <f t="shared" si="271"/>
        <v>0</v>
      </c>
      <c r="AK198" s="10">
        <f t="shared" si="272"/>
        <v>0</v>
      </c>
      <c r="AL198" s="10">
        <f t="shared" si="273"/>
        <v>0</v>
      </c>
      <c r="AN198" s="67">
        <v>15</v>
      </c>
      <c r="AO198" s="67">
        <f>J198*0</f>
        <v>0</v>
      </c>
      <c r="AP198" s="67">
        <f>J198*(1-0)</f>
        <v>0</v>
      </c>
      <c r="AQ198" s="16" t="s">
        <v>12</v>
      </c>
      <c r="AV198" s="67">
        <f t="shared" si="274"/>
        <v>0</v>
      </c>
      <c r="AW198" s="67">
        <f t="shared" si="275"/>
        <v>0</v>
      </c>
      <c r="AX198" s="67">
        <f t="shared" si="276"/>
        <v>0</v>
      </c>
      <c r="AY198" s="68" t="s">
        <v>977</v>
      </c>
      <c r="AZ198" s="68" t="s">
        <v>993</v>
      </c>
      <c r="BA198" s="12" t="s">
        <v>996</v>
      </c>
      <c r="BC198" s="67">
        <f t="shared" si="277"/>
        <v>0</v>
      </c>
      <c r="BD198" s="67">
        <f t="shared" si="278"/>
        <v>0</v>
      </c>
      <c r="BE198" s="67">
        <v>0</v>
      </c>
      <c r="BF198" s="67">
        <f>198</f>
        <v>198</v>
      </c>
      <c r="BH198" s="10">
        <f t="shared" si="279"/>
        <v>0</v>
      </c>
      <c r="BI198" s="10">
        <f t="shared" si="280"/>
        <v>0</v>
      </c>
      <c r="BJ198" s="10">
        <f t="shared" si="281"/>
        <v>0</v>
      </c>
    </row>
    <row r="199" spans="1:62" ht="12.75">
      <c r="A199" s="3" t="s">
        <v>170</v>
      </c>
      <c r="B199" s="3" t="s">
        <v>378</v>
      </c>
      <c r="C199" s="143" t="s">
        <v>774</v>
      </c>
      <c r="D199" s="144"/>
      <c r="E199" s="144"/>
      <c r="F199" s="144"/>
      <c r="G199" s="144"/>
      <c r="H199" s="3" t="s">
        <v>852</v>
      </c>
      <c r="I199" s="10">
        <v>27.87</v>
      </c>
      <c r="J199" s="59">
        <v>0</v>
      </c>
      <c r="K199" s="10">
        <f t="shared" si="262"/>
        <v>0</v>
      </c>
      <c r="L199" s="16" t="s">
        <v>941</v>
      </c>
      <c r="Z199" s="67">
        <f t="shared" si="263"/>
        <v>0</v>
      </c>
      <c r="AB199" s="67">
        <f t="shared" si="264"/>
        <v>0</v>
      </c>
      <c r="AC199" s="67">
        <f t="shared" si="265"/>
        <v>0</v>
      </c>
      <c r="AD199" s="67">
        <f t="shared" si="266"/>
        <v>0</v>
      </c>
      <c r="AE199" s="67">
        <f t="shared" si="267"/>
        <v>0</v>
      </c>
      <c r="AF199" s="67">
        <f t="shared" si="268"/>
        <v>0</v>
      </c>
      <c r="AG199" s="67">
        <f t="shared" si="269"/>
        <v>0</v>
      </c>
      <c r="AH199" s="67">
        <f t="shared" si="270"/>
        <v>0</v>
      </c>
      <c r="AI199" s="12"/>
      <c r="AJ199" s="10">
        <f t="shared" si="271"/>
        <v>0</v>
      </c>
      <c r="AK199" s="10">
        <f t="shared" si="272"/>
        <v>0</v>
      </c>
      <c r="AL199" s="10">
        <f t="shared" si="273"/>
        <v>0</v>
      </c>
      <c r="AN199" s="67">
        <v>15</v>
      </c>
      <c r="AO199" s="67">
        <f>J199*0.352371655959631</f>
        <v>0</v>
      </c>
      <c r="AP199" s="67">
        <f>J199*(1-0.352371655959631)</f>
        <v>0</v>
      </c>
      <c r="AQ199" s="16" t="s">
        <v>12</v>
      </c>
      <c r="AV199" s="67">
        <f t="shared" si="274"/>
        <v>0</v>
      </c>
      <c r="AW199" s="67">
        <f t="shared" si="275"/>
        <v>0</v>
      </c>
      <c r="AX199" s="67">
        <f t="shared" si="276"/>
        <v>0</v>
      </c>
      <c r="AY199" s="68" t="s">
        <v>977</v>
      </c>
      <c r="AZ199" s="68" t="s">
        <v>993</v>
      </c>
      <c r="BA199" s="12" t="s">
        <v>996</v>
      </c>
      <c r="BC199" s="67">
        <f t="shared" si="277"/>
        <v>0</v>
      </c>
      <c r="BD199" s="67">
        <f t="shared" si="278"/>
        <v>0</v>
      </c>
      <c r="BE199" s="67">
        <v>0</v>
      </c>
      <c r="BF199" s="67">
        <f>199</f>
        <v>199</v>
      </c>
      <c r="BH199" s="10">
        <f t="shared" si="279"/>
        <v>0</v>
      </c>
      <c r="BI199" s="10">
        <f t="shared" si="280"/>
        <v>0</v>
      </c>
      <c r="BJ199" s="10">
        <f t="shared" si="281"/>
        <v>0</v>
      </c>
    </row>
    <row r="200" spans="1:62" ht="12.75">
      <c r="A200" s="5" t="s">
        <v>171</v>
      </c>
      <c r="B200" s="5" t="s">
        <v>379</v>
      </c>
      <c r="C200" s="147" t="s">
        <v>775</v>
      </c>
      <c r="D200" s="148"/>
      <c r="E200" s="148"/>
      <c r="F200" s="148"/>
      <c r="G200" s="148"/>
      <c r="H200" s="5" t="s">
        <v>852</v>
      </c>
      <c r="I200" s="13">
        <v>33.44</v>
      </c>
      <c r="J200" s="61">
        <v>0</v>
      </c>
      <c r="K200" s="13">
        <f t="shared" si="262"/>
        <v>0</v>
      </c>
      <c r="L200" s="17" t="s">
        <v>941</v>
      </c>
      <c r="Z200" s="67">
        <f t="shared" si="263"/>
        <v>0</v>
      </c>
      <c r="AB200" s="67">
        <f t="shared" si="264"/>
        <v>0</v>
      </c>
      <c r="AC200" s="67">
        <f t="shared" si="265"/>
        <v>0</v>
      </c>
      <c r="AD200" s="67">
        <f t="shared" si="266"/>
        <v>0</v>
      </c>
      <c r="AE200" s="67">
        <f t="shared" si="267"/>
        <v>0</v>
      </c>
      <c r="AF200" s="67">
        <f t="shared" si="268"/>
        <v>0</v>
      </c>
      <c r="AG200" s="67">
        <f t="shared" si="269"/>
        <v>0</v>
      </c>
      <c r="AH200" s="67">
        <f t="shared" si="270"/>
        <v>0</v>
      </c>
      <c r="AI200" s="12"/>
      <c r="AJ200" s="13">
        <f t="shared" si="271"/>
        <v>0</v>
      </c>
      <c r="AK200" s="13">
        <f t="shared" si="272"/>
        <v>0</v>
      </c>
      <c r="AL200" s="13">
        <f t="shared" si="273"/>
        <v>0</v>
      </c>
      <c r="AN200" s="67">
        <v>15</v>
      </c>
      <c r="AO200" s="67">
        <f>J200*1</f>
        <v>0</v>
      </c>
      <c r="AP200" s="67">
        <f>J200*(1-1)</f>
        <v>0</v>
      </c>
      <c r="AQ200" s="17" t="s">
        <v>12</v>
      </c>
      <c r="AV200" s="67">
        <f t="shared" si="274"/>
        <v>0</v>
      </c>
      <c r="AW200" s="67">
        <f t="shared" si="275"/>
        <v>0</v>
      </c>
      <c r="AX200" s="67">
        <f t="shared" si="276"/>
        <v>0</v>
      </c>
      <c r="AY200" s="68" t="s">
        <v>977</v>
      </c>
      <c r="AZ200" s="68" t="s">
        <v>993</v>
      </c>
      <c r="BA200" s="12" t="s">
        <v>996</v>
      </c>
      <c r="BC200" s="67">
        <f t="shared" si="277"/>
        <v>0</v>
      </c>
      <c r="BD200" s="67">
        <f t="shared" si="278"/>
        <v>0</v>
      </c>
      <c r="BE200" s="67">
        <v>0</v>
      </c>
      <c r="BF200" s="67">
        <f>200</f>
        <v>200</v>
      </c>
      <c r="BH200" s="13">
        <f t="shared" si="279"/>
        <v>0</v>
      </c>
      <c r="BI200" s="13">
        <f t="shared" si="280"/>
        <v>0</v>
      </c>
      <c r="BJ200" s="13">
        <f t="shared" si="281"/>
        <v>0</v>
      </c>
    </row>
    <row r="201" spans="1:62" ht="12.75">
      <c r="A201" s="3" t="s">
        <v>172</v>
      </c>
      <c r="B201" s="3" t="s">
        <v>380</v>
      </c>
      <c r="C201" s="143" t="s">
        <v>777</v>
      </c>
      <c r="D201" s="144"/>
      <c r="E201" s="144"/>
      <c r="F201" s="144"/>
      <c r="G201" s="144"/>
      <c r="H201" s="3" t="s">
        <v>856</v>
      </c>
      <c r="I201" s="10">
        <v>8.6</v>
      </c>
      <c r="J201" s="59">
        <v>0</v>
      </c>
      <c r="K201" s="10">
        <f t="shared" si="262"/>
        <v>0</v>
      </c>
      <c r="L201" s="16" t="s">
        <v>941</v>
      </c>
      <c r="Z201" s="67">
        <f t="shared" si="263"/>
        <v>0</v>
      </c>
      <c r="AB201" s="67">
        <f t="shared" si="264"/>
        <v>0</v>
      </c>
      <c r="AC201" s="67">
        <f t="shared" si="265"/>
        <v>0</v>
      </c>
      <c r="AD201" s="67">
        <f t="shared" si="266"/>
        <v>0</v>
      </c>
      <c r="AE201" s="67">
        <f t="shared" si="267"/>
        <v>0</v>
      </c>
      <c r="AF201" s="67">
        <f t="shared" si="268"/>
        <v>0</v>
      </c>
      <c r="AG201" s="67">
        <f t="shared" si="269"/>
        <v>0</v>
      </c>
      <c r="AH201" s="67">
        <f t="shared" si="270"/>
        <v>0</v>
      </c>
      <c r="AI201" s="12"/>
      <c r="AJ201" s="10">
        <f t="shared" si="271"/>
        <v>0</v>
      </c>
      <c r="AK201" s="10">
        <f t="shared" si="272"/>
        <v>0</v>
      </c>
      <c r="AL201" s="10">
        <f t="shared" si="273"/>
        <v>0</v>
      </c>
      <c r="AN201" s="67">
        <v>15</v>
      </c>
      <c r="AO201" s="67">
        <f>J201*0.141901023809524</f>
        <v>0</v>
      </c>
      <c r="AP201" s="67">
        <f>J201*(1-0.141901023809524)</f>
        <v>0</v>
      </c>
      <c r="AQ201" s="16" t="s">
        <v>12</v>
      </c>
      <c r="AV201" s="67">
        <f t="shared" si="274"/>
        <v>0</v>
      </c>
      <c r="AW201" s="67">
        <f t="shared" si="275"/>
        <v>0</v>
      </c>
      <c r="AX201" s="67">
        <f t="shared" si="276"/>
        <v>0</v>
      </c>
      <c r="AY201" s="68" t="s">
        <v>977</v>
      </c>
      <c r="AZ201" s="68" t="s">
        <v>993</v>
      </c>
      <c r="BA201" s="12" t="s">
        <v>996</v>
      </c>
      <c r="BC201" s="67">
        <f t="shared" si="277"/>
        <v>0</v>
      </c>
      <c r="BD201" s="67">
        <f t="shared" si="278"/>
        <v>0</v>
      </c>
      <c r="BE201" s="67">
        <v>0</v>
      </c>
      <c r="BF201" s="67">
        <f>201</f>
        <v>201</v>
      </c>
      <c r="BH201" s="10">
        <f t="shared" si="279"/>
        <v>0</v>
      </c>
      <c r="BI201" s="10">
        <f t="shared" si="280"/>
        <v>0</v>
      </c>
      <c r="BJ201" s="10">
        <f t="shared" si="281"/>
        <v>0</v>
      </c>
    </row>
    <row r="202" spans="1:62" ht="12.75">
      <c r="A202" s="5" t="s">
        <v>173</v>
      </c>
      <c r="B202" s="5" t="s">
        <v>381</v>
      </c>
      <c r="C202" s="147" t="s">
        <v>1023</v>
      </c>
      <c r="D202" s="148"/>
      <c r="E202" s="148"/>
      <c r="F202" s="148"/>
      <c r="G202" s="148"/>
      <c r="H202" s="5" t="s">
        <v>856</v>
      </c>
      <c r="I202" s="13">
        <v>9.46</v>
      </c>
      <c r="J202" s="61">
        <v>0</v>
      </c>
      <c r="K202" s="13">
        <f t="shared" si="262"/>
        <v>0</v>
      </c>
      <c r="L202" s="17" t="s">
        <v>941</v>
      </c>
      <c r="Z202" s="67">
        <f t="shared" si="263"/>
        <v>0</v>
      </c>
      <c r="AB202" s="67">
        <f t="shared" si="264"/>
        <v>0</v>
      </c>
      <c r="AC202" s="67">
        <f t="shared" si="265"/>
        <v>0</v>
      </c>
      <c r="AD202" s="67">
        <f t="shared" si="266"/>
        <v>0</v>
      </c>
      <c r="AE202" s="67">
        <f t="shared" si="267"/>
        <v>0</v>
      </c>
      <c r="AF202" s="67">
        <f t="shared" si="268"/>
        <v>0</v>
      </c>
      <c r="AG202" s="67">
        <f t="shared" si="269"/>
        <v>0</v>
      </c>
      <c r="AH202" s="67">
        <f t="shared" si="270"/>
        <v>0</v>
      </c>
      <c r="AI202" s="12"/>
      <c r="AJ202" s="13">
        <f t="shared" si="271"/>
        <v>0</v>
      </c>
      <c r="AK202" s="13">
        <f t="shared" si="272"/>
        <v>0</v>
      </c>
      <c r="AL202" s="13">
        <f t="shared" si="273"/>
        <v>0</v>
      </c>
      <c r="AN202" s="67">
        <v>15</v>
      </c>
      <c r="AO202" s="67">
        <f>J202*1</f>
        <v>0</v>
      </c>
      <c r="AP202" s="67">
        <f>J202*(1-1)</f>
        <v>0</v>
      </c>
      <c r="AQ202" s="17" t="s">
        <v>12</v>
      </c>
      <c r="AV202" s="67">
        <f t="shared" si="274"/>
        <v>0</v>
      </c>
      <c r="AW202" s="67">
        <f t="shared" si="275"/>
        <v>0</v>
      </c>
      <c r="AX202" s="67">
        <f t="shared" si="276"/>
        <v>0</v>
      </c>
      <c r="AY202" s="68" t="s">
        <v>977</v>
      </c>
      <c r="AZ202" s="68" t="s">
        <v>993</v>
      </c>
      <c r="BA202" s="12" t="s">
        <v>996</v>
      </c>
      <c r="BC202" s="67">
        <f t="shared" si="277"/>
        <v>0</v>
      </c>
      <c r="BD202" s="67">
        <f t="shared" si="278"/>
        <v>0</v>
      </c>
      <c r="BE202" s="67">
        <v>0</v>
      </c>
      <c r="BF202" s="67">
        <f>202</f>
        <v>202</v>
      </c>
      <c r="BH202" s="13">
        <f t="shared" si="279"/>
        <v>0</v>
      </c>
      <c r="BI202" s="13">
        <f t="shared" si="280"/>
        <v>0</v>
      </c>
      <c r="BJ202" s="13">
        <f t="shared" si="281"/>
        <v>0</v>
      </c>
    </row>
    <row r="203" spans="1:62" ht="12.75">
      <c r="A203" s="3" t="s">
        <v>174</v>
      </c>
      <c r="B203" s="3" t="s">
        <v>382</v>
      </c>
      <c r="C203" s="143" t="s">
        <v>780</v>
      </c>
      <c r="D203" s="144"/>
      <c r="E203" s="144"/>
      <c r="F203" s="144"/>
      <c r="G203" s="144"/>
      <c r="H203" s="3" t="s">
        <v>859</v>
      </c>
      <c r="I203" s="10">
        <v>261.87</v>
      </c>
      <c r="J203" s="59">
        <v>0</v>
      </c>
      <c r="K203" s="10">
        <f t="shared" si="262"/>
        <v>0</v>
      </c>
      <c r="L203" s="16" t="s">
        <v>941</v>
      </c>
      <c r="Z203" s="67">
        <f t="shared" si="263"/>
        <v>0</v>
      </c>
      <c r="AB203" s="67">
        <f t="shared" si="264"/>
        <v>0</v>
      </c>
      <c r="AC203" s="67">
        <f t="shared" si="265"/>
        <v>0</v>
      </c>
      <c r="AD203" s="67">
        <f t="shared" si="266"/>
        <v>0</v>
      </c>
      <c r="AE203" s="67">
        <f t="shared" si="267"/>
        <v>0</v>
      </c>
      <c r="AF203" s="67">
        <f t="shared" si="268"/>
        <v>0</v>
      </c>
      <c r="AG203" s="67">
        <f t="shared" si="269"/>
        <v>0</v>
      </c>
      <c r="AH203" s="67">
        <f t="shared" si="270"/>
        <v>0</v>
      </c>
      <c r="AI203" s="12"/>
      <c r="AJ203" s="10">
        <f t="shared" si="271"/>
        <v>0</v>
      </c>
      <c r="AK203" s="10">
        <f t="shared" si="272"/>
        <v>0</v>
      </c>
      <c r="AL203" s="10">
        <f t="shared" si="273"/>
        <v>0</v>
      </c>
      <c r="AN203" s="67">
        <v>15</v>
      </c>
      <c r="AO203" s="67">
        <f>J203*0</f>
        <v>0</v>
      </c>
      <c r="AP203" s="67">
        <f>J203*(1-0)</f>
        <v>0</v>
      </c>
      <c r="AQ203" s="16" t="s">
        <v>10</v>
      </c>
      <c r="AV203" s="67">
        <f t="shared" si="274"/>
        <v>0</v>
      </c>
      <c r="AW203" s="67">
        <f t="shared" si="275"/>
        <v>0</v>
      </c>
      <c r="AX203" s="67">
        <f t="shared" si="276"/>
        <v>0</v>
      </c>
      <c r="AY203" s="68" t="s">
        <v>977</v>
      </c>
      <c r="AZ203" s="68" t="s">
        <v>993</v>
      </c>
      <c r="BA203" s="12" t="s">
        <v>996</v>
      </c>
      <c r="BC203" s="67">
        <f t="shared" si="277"/>
        <v>0</v>
      </c>
      <c r="BD203" s="67">
        <f t="shared" si="278"/>
        <v>0</v>
      </c>
      <c r="BE203" s="67">
        <v>0</v>
      </c>
      <c r="BF203" s="67">
        <f>203</f>
        <v>203</v>
      </c>
      <c r="BH203" s="10">
        <f t="shared" si="279"/>
        <v>0</v>
      </c>
      <c r="BI203" s="10">
        <f t="shared" si="280"/>
        <v>0</v>
      </c>
      <c r="BJ203" s="10">
        <f t="shared" si="281"/>
        <v>0</v>
      </c>
    </row>
    <row r="204" spans="1:47" ht="12.75">
      <c r="A204" s="50"/>
      <c r="B204" s="4" t="s">
        <v>383</v>
      </c>
      <c r="C204" s="145" t="s">
        <v>782</v>
      </c>
      <c r="D204" s="146"/>
      <c r="E204" s="146"/>
      <c r="F204" s="146"/>
      <c r="G204" s="146"/>
      <c r="H204" s="50" t="s">
        <v>927</v>
      </c>
      <c r="I204" s="50" t="s">
        <v>927</v>
      </c>
      <c r="J204" s="60" t="s">
        <v>927</v>
      </c>
      <c r="K204" s="70">
        <f>SUM(K205:K205)</f>
        <v>0</v>
      </c>
      <c r="L204" s="12"/>
      <c r="AI204" s="12"/>
      <c r="AS204" s="70">
        <f>SUM(AJ205:AJ205)</f>
        <v>0</v>
      </c>
      <c r="AT204" s="70">
        <f>SUM(AK205:AK205)</f>
        <v>0</v>
      </c>
      <c r="AU204" s="70">
        <f>SUM(AL205:AL205)</f>
        <v>0</v>
      </c>
    </row>
    <row r="205" spans="1:62" ht="12.75">
      <c r="A205" s="3" t="s">
        <v>175</v>
      </c>
      <c r="B205" s="3" t="s">
        <v>384</v>
      </c>
      <c r="C205" s="143" t="s">
        <v>783</v>
      </c>
      <c r="D205" s="144"/>
      <c r="E205" s="144"/>
      <c r="F205" s="144"/>
      <c r="G205" s="144"/>
      <c r="H205" s="3" t="s">
        <v>852</v>
      </c>
      <c r="I205" s="10">
        <v>126.73</v>
      </c>
      <c r="J205" s="59">
        <v>0</v>
      </c>
      <c r="K205" s="10">
        <f>I205*J205</f>
        <v>0</v>
      </c>
      <c r="L205" s="16" t="s">
        <v>941</v>
      </c>
      <c r="Z205" s="67">
        <f>IF(AQ205="5",BJ205,0)</f>
        <v>0</v>
      </c>
      <c r="AB205" s="67">
        <f>IF(AQ205="1",BH205,0)</f>
        <v>0</v>
      </c>
      <c r="AC205" s="67">
        <f>IF(AQ205="1",BI205,0)</f>
        <v>0</v>
      </c>
      <c r="AD205" s="67">
        <f>IF(AQ205="7",BH205,0)</f>
        <v>0</v>
      </c>
      <c r="AE205" s="67">
        <f>IF(AQ205="7",BI205,0)</f>
        <v>0</v>
      </c>
      <c r="AF205" s="67">
        <f>IF(AQ205="2",BH205,0)</f>
        <v>0</v>
      </c>
      <c r="AG205" s="67">
        <f>IF(AQ205="2",BI205,0)</f>
        <v>0</v>
      </c>
      <c r="AH205" s="67">
        <f>IF(AQ205="0",BJ205,0)</f>
        <v>0</v>
      </c>
      <c r="AI205" s="12"/>
      <c r="AJ205" s="10">
        <f>IF(AN205=0,K205,0)</f>
        <v>0</v>
      </c>
      <c r="AK205" s="10">
        <f>IF(AN205=15,K205,0)</f>
        <v>0</v>
      </c>
      <c r="AL205" s="10">
        <f>IF(AN205=21,K205,0)</f>
        <v>0</v>
      </c>
      <c r="AN205" s="67">
        <v>15</v>
      </c>
      <c r="AO205" s="67">
        <f>J205*0.175297158842217</f>
        <v>0</v>
      </c>
      <c r="AP205" s="67">
        <f>J205*(1-0.175297158842217)</f>
        <v>0</v>
      </c>
      <c r="AQ205" s="16" t="s">
        <v>12</v>
      </c>
      <c r="AV205" s="67">
        <f>AW205+AX205</f>
        <v>0</v>
      </c>
      <c r="AW205" s="67">
        <f>I205*AO205</f>
        <v>0</v>
      </c>
      <c r="AX205" s="67">
        <f>I205*AP205</f>
        <v>0</v>
      </c>
      <c r="AY205" s="68" t="s">
        <v>978</v>
      </c>
      <c r="AZ205" s="68" t="s">
        <v>994</v>
      </c>
      <c r="BA205" s="12" t="s">
        <v>996</v>
      </c>
      <c r="BC205" s="67">
        <f>AW205+AX205</f>
        <v>0</v>
      </c>
      <c r="BD205" s="67">
        <f>J205/(100-BE205)*100</f>
        <v>0</v>
      </c>
      <c r="BE205" s="67">
        <v>0</v>
      </c>
      <c r="BF205" s="67">
        <f>205</f>
        <v>205</v>
      </c>
      <c r="BH205" s="10">
        <f>I205*AO205</f>
        <v>0</v>
      </c>
      <c r="BI205" s="10">
        <f>I205*AP205</f>
        <v>0</v>
      </c>
      <c r="BJ205" s="10">
        <f>I205*J205</f>
        <v>0</v>
      </c>
    </row>
    <row r="206" spans="1:47" ht="12.75">
      <c r="A206" s="50"/>
      <c r="B206" s="4" t="s">
        <v>99</v>
      </c>
      <c r="C206" s="145" t="s">
        <v>785</v>
      </c>
      <c r="D206" s="146"/>
      <c r="E206" s="146"/>
      <c r="F206" s="146"/>
      <c r="G206" s="146"/>
      <c r="H206" s="50" t="s">
        <v>927</v>
      </c>
      <c r="I206" s="50" t="s">
        <v>927</v>
      </c>
      <c r="J206" s="60" t="s">
        <v>927</v>
      </c>
      <c r="K206" s="70">
        <f>SUM(K207:K211)</f>
        <v>0</v>
      </c>
      <c r="L206" s="12"/>
      <c r="AI206" s="12"/>
      <c r="AS206" s="70">
        <f>SUM(AJ207:AJ211)</f>
        <v>0</v>
      </c>
      <c r="AT206" s="70">
        <f>SUM(AK207:AK211)</f>
        <v>0</v>
      </c>
      <c r="AU206" s="70">
        <f>SUM(AL207:AL211)</f>
        <v>0</v>
      </c>
    </row>
    <row r="207" spans="1:62" ht="12.75">
      <c r="A207" s="3" t="s">
        <v>176</v>
      </c>
      <c r="B207" s="3" t="s">
        <v>385</v>
      </c>
      <c r="C207" s="143" t="s">
        <v>786</v>
      </c>
      <c r="D207" s="144"/>
      <c r="E207" s="144"/>
      <c r="F207" s="144"/>
      <c r="G207" s="144"/>
      <c r="H207" s="3" t="s">
        <v>852</v>
      </c>
      <c r="I207" s="10">
        <v>250</v>
      </c>
      <c r="J207" s="59">
        <v>0</v>
      </c>
      <c r="K207" s="10">
        <f>I207*J207</f>
        <v>0</v>
      </c>
      <c r="L207" s="16" t="s">
        <v>941</v>
      </c>
      <c r="Z207" s="67">
        <f>IF(AQ207="5",BJ207,0)</f>
        <v>0</v>
      </c>
      <c r="AB207" s="67">
        <f>IF(AQ207="1",BH207,0)</f>
        <v>0</v>
      </c>
      <c r="AC207" s="67">
        <f>IF(AQ207="1",BI207,0)</f>
        <v>0</v>
      </c>
      <c r="AD207" s="67">
        <f>IF(AQ207="7",BH207,0)</f>
        <v>0</v>
      </c>
      <c r="AE207" s="67">
        <f>IF(AQ207="7",BI207,0)</f>
        <v>0</v>
      </c>
      <c r="AF207" s="67">
        <f>IF(AQ207="2",BH207,0)</f>
        <v>0</v>
      </c>
      <c r="AG207" s="67">
        <f>IF(AQ207="2",BI207,0)</f>
        <v>0</v>
      </c>
      <c r="AH207" s="67">
        <f>IF(AQ207="0",BJ207,0)</f>
        <v>0</v>
      </c>
      <c r="AI207" s="12"/>
      <c r="AJ207" s="10">
        <f>IF(AN207=0,K207,0)</f>
        <v>0</v>
      </c>
      <c r="AK207" s="10">
        <f>IF(AN207=15,K207,0)</f>
        <v>0</v>
      </c>
      <c r="AL207" s="10">
        <f>IF(AN207=21,K207,0)</f>
        <v>0</v>
      </c>
      <c r="AN207" s="67">
        <v>15</v>
      </c>
      <c r="AO207" s="67">
        <f>J207*0.355789473684211</f>
        <v>0</v>
      </c>
      <c r="AP207" s="67">
        <f>J207*(1-0.355789473684211)</f>
        <v>0</v>
      </c>
      <c r="AQ207" s="16" t="s">
        <v>6</v>
      </c>
      <c r="AV207" s="67">
        <f>AW207+AX207</f>
        <v>0</v>
      </c>
      <c r="AW207" s="67">
        <f>I207*AO207</f>
        <v>0</v>
      </c>
      <c r="AX207" s="67">
        <f>I207*AP207</f>
        <v>0</v>
      </c>
      <c r="AY207" s="68" t="s">
        <v>979</v>
      </c>
      <c r="AZ207" s="68" t="s">
        <v>995</v>
      </c>
      <c r="BA207" s="12" t="s">
        <v>996</v>
      </c>
      <c r="BC207" s="67">
        <f>AW207+AX207</f>
        <v>0</v>
      </c>
      <c r="BD207" s="67">
        <f>J207/(100-BE207)*100</f>
        <v>0</v>
      </c>
      <c r="BE207" s="67">
        <v>0</v>
      </c>
      <c r="BF207" s="67">
        <f>207</f>
        <v>207</v>
      </c>
      <c r="BH207" s="10">
        <f>I207*AO207</f>
        <v>0</v>
      </c>
      <c r="BI207" s="10">
        <f>I207*AP207</f>
        <v>0</v>
      </c>
      <c r="BJ207" s="10">
        <f>I207*J207</f>
        <v>0</v>
      </c>
    </row>
    <row r="208" spans="1:62" ht="12.75">
      <c r="A208" s="3" t="s">
        <v>177</v>
      </c>
      <c r="B208" s="3" t="s">
        <v>386</v>
      </c>
      <c r="C208" s="143" t="s">
        <v>788</v>
      </c>
      <c r="D208" s="144"/>
      <c r="E208" s="144"/>
      <c r="F208" s="144"/>
      <c r="G208" s="144"/>
      <c r="H208" s="3" t="s">
        <v>862</v>
      </c>
      <c r="I208" s="10">
        <v>30</v>
      </c>
      <c r="J208" s="59">
        <v>0</v>
      </c>
      <c r="K208" s="10">
        <f>I208*J208</f>
        <v>0</v>
      </c>
      <c r="L208" s="16" t="s">
        <v>941</v>
      </c>
      <c r="Z208" s="67">
        <f>IF(AQ208="5",BJ208,0)</f>
        <v>0</v>
      </c>
      <c r="AB208" s="67">
        <f>IF(AQ208="1",BH208,0)</f>
        <v>0</v>
      </c>
      <c r="AC208" s="67">
        <f>IF(AQ208="1",BI208,0)</f>
        <v>0</v>
      </c>
      <c r="AD208" s="67">
        <f>IF(AQ208="7",BH208,0)</f>
        <v>0</v>
      </c>
      <c r="AE208" s="67">
        <f>IF(AQ208="7",BI208,0)</f>
        <v>0</v>
      </c>
      <c r="AF208" s="67">
        <f>IF(AQ208="2",BH208,0)</f>
        <v>0</v>
      </c>
      <c r="AG208" s="67">
        <f>IF(AQ208="2",BI208,0)</f>
        <v>0</v>
      </c>
      <c r="AH208" s="67">
        <f>IF(AQ208="0",BJ208,0)</f>
        <v>0</v>
      </c>
      <c r="AI208" s="12"/>
      <c r="AJ208" s="10">
        <f>IF(AN208=0,K208,0)</f>
        <v>0</v>
      </c>
      <c r="AK208" s="10">
        <f>IF(AN208=15,K208,0)</f>
        <v>0</v>
      </c>
      <c r="AL208" s="10">
        <f>IF(AN208=21,K208,0)</f>
        <v>0</v>
      </c>
      <c r="AN208" s="67">
        <v>15</v>
      </c>
      <c r="AO208" s="67">
        <f>J208*0</f>
        <v>0</v>
      </c>
      <c r="AP208" s="67">
        <f>J208*(1-0)</f>
        <v>0</v>
      </c>
      <c r="AQ208" s="16" t="s">
        <v>6</v>
      </c>
      <c r="AV208" s="67">
        <f>AW208+AX208</f>
        <v>0</v>
      </c>
      <c r="AW208" s="67">
        <f>I208*AO208</f>
        <v>0</v>
      </c>
      <c r="AX208" s="67">
        <f>I208*AP208</f>
        <v>0</v>
      </c>
      <c r="AY208" s="68" t="s">
        <v>979</v>
      </c>
      <c r="AZ208" s="68" t="s">
        <v>995</v>
      </c>
      <c r="BA208" s="12" t="s">
        <v>996</v>
      </c>
      <c r="BC208" s="67">
        <f>AW208+AX208</f>
        <v>0</v>
      </c>
      <c r="BD208" s="67">
        <f>J208/(100-BE208)*100</f>
        <v>0</v>
      </c>
      <c r="BE208" s="67">
        <v>0</v>
      </c>
      <c r="BF208" s="67">
        <f>208</f>
        <v>208</v>
      </c>
      <c r="BH208" s="10">
        <f>I208*AO208</f>
        <v>0</v>
      </c>
      <c r="BI208" s="10">
        <f>I208*AP208</f>
        <v>0</v>
      </c>
      <c r="BJ208" s="10">
        <f>I208*J208</f>
        <v>0</v>
      </c>
    </row>
    <row r="209" spans="1:62" ht="12.75">
      <c r="A209" s="3" t="s">
        <v>178</v>
      </c>
      <c r="B209" s="3" t="s">
        <v>387</v>
      </c>
      <c r="C209" s="143" t="s">
        <v>790</v>
      </c>
      <c r="D209" s="144"/>
      <c r="E209" s="144"/>
      <c r="F209" s="144"/>
      <c r="G209" s="144"/>
      <c r="H209" s="3" t="s">
        <v>852</v>
      </c>
      <c r="I209" s="10">
        <v>66</v>
      </c>
      <c r="J209" s="59">
        <v>0</v>
      </c>
      <c r="K209" s="10">
        <f>I209*J209</f>
        <v>0</v>
      </c>
      <c r="L209" s="16" t="s">
        <v>941</v>
      </c>
      <c r="Z209" s="67">
        <f>IF(AQ209="5",BJ209,0)</f>
        <v>0</v>
      </c>
      <c r="AB209" s="67">
        <f>IF(AQ209="1",BH209,0)</f>
        <v>0</v>
      </c>
      <c r="AC209" s="67">
        <f>IF(AQ209="1",BI209,0)</f>
        <v>0</v>
      </c>
      <c r="AD209" s="67">
        <f>IF(AQ209="7",BH209,0)</f>
        <v>0</v>
      </c>
      <c r="AE209" s="67">
        <f>IF(AQ209="7",BI209,0)</f>
        <v>0</v>
      </c>
      <c r="AF209" s="67">
        <f>IF(AQ209="2",BH209,0)</f>
        <v>0</v>
      </c>
      <c r="AG209" s="67">
        <f>IF(AQ209="2",BI209,0)</f>
        <v>0</v>
      </c>
      <c r="AH209" s="67">
        <f>IF(AQ209="0",BJ209,0)</f>
        <v>0</v>
      </c>
      <c r="AI209" s="12"/>
      <c r="AJ209" s="10">
        <f>IF(AN209=0,K209,0)</f>
        <v>0</v>
      </c>
      <c r="AK209" s="10">
        <f>IF(AN209=15,K209,0)</f>
        <v>0</v>
      </c>
      <c r="AL209" s="10">
        <f>IF(AN209=21,K209,0)</f>
        <v>0</v>
      </c>
      <c r="AN209" s="67">
        <v>15</v>
      </c>
      <c r="AO209" s="67">
        <f>J209*0.000325208430913349</f>
        <v>0</v>
      </c>
      <c r="AP209" s="67">
        <f>J209*(1-0.000325208430913349)</f>
        <v>0</v>
      </c>
      <c r="AQ209" s="16" t="s">
        <v>6</v>
      </c>
      <c r="AV209" s="67">
        <f>AW209+AX209</f>
        <v>0</v>
      </c>
      <c r="AW209" s="67">
        <f>I209*AO209</f>
        <v>0</v>
      </c>
      <c r="AX209" s="67">
        <f>I209*AP209</f>
        <v>0</v>
      </c>
      <c r="AY209" s="68" t="s">
        <v>979</v>
      </c>
      <c r="AZ209" s="68" t="s">
        <v>995</v>
      </c>
      <c r="BA209" s="12" t="s">
        <v>996</v>
      </c>
      <c r="BC209" s="67">
        <f>AW209+AX209</f>
        <v>0</v>
      </c>
      <c r="BD209" s="67">
        <f>J209/(100-BE209)*100</f>
        <v>0</v>
      </c>
      <c r="BE209" s="67">
        <v>0</v>
      </c>
      <c r="BF209" s="67">
        <f>209</f>
        <v>209</v>
      </c>
      <c r="BH209" s="10">
        <f>I209*AO209</f>
        <v>0</v>
      </c>
      <c r="BI209" s="10">
        <f>I209*AP209</f>
        <v>0</v>
      </c>
      <c r="BJ209" s="10">
        <f>I209*J209</f>
        <v>0</v>
      </c>
    </row>
    <row r="210" spans="1:62" ht="12.75">
      <c r="A210" s="3" t="s">
        <v>179</v>
      </c>
      <c r="B210" s="3" t="s">
        <v>388</v>
      </c>
      <c r="C210" s="143" t="s">
        <v>792</v>
      </c>
      <c r="D210" s="144"/>
      <c r="E210" s="144"/>
      <c r="F210" s="144"/>
      <c r="G210" s="144"/>
      <c r="H210" s="3" t="s">
        <v>852</v>
      </c>
      <c r="I210" s="10">
        <v>1914</v>
      </c>
      <c r="J210" s="59">
        <v>0</v>
      </c>
      <c r="K210" s="10">
        <f>I210*J210</f>
        <v>0</v>
      </c>
      <c r="L210" s="16" t="s">
        <v>941</v>
      </c>
      <c r="Z210" s="67">
        <f>IF(AQ210="5",BJ210,0)</f>
        <v>0</v>
      </c>
      <c r="AB210" s="67">
        <f>IF(AQ210="1",BH210,0)</f>
        <v>0</v>
      </c>
      <c r="AC210" s="67">
        <f>IF(AQ210="1",BI210,0)</f>
        <v>0</v>
      </c>
      <c r="AD210" s="67">
        <f>IF(AQ210="7",BH210,0)</f>
        <v>0</v>
      </c>
      <c r="AE210" s="67">
        <f>IF(AQ210="7",BI210,0)</f>
        <v>0</v>
      </c>
      <c r="AF210" s="67">
        <f>IF(AQ210="2",BH210,0)</f>
        <v>0</v>
      </c>
      <c r="AG210" s="67">
        <f>IF(AQ210="2",BI210,0)</f>
        <v>0</v>
      </c>
      <c r="AH210" s="67">
        <f>IF(AQ210="0",BJ210,0)</f>
        <v>0</v>
      </c>
      <c r="AI210" s="12"/>
      <c r="AJ210" s="10">
        <f>IF(AN210=0,K210,0)</f>
        <v>0</v>
      </c>
      <c r="AK210" s="10">
        <f>IF(AN210=15,K210,0)</f>
        <v>0</v>
      </c>
      <c r="AL210" s="10">
        <f>IF(AN210=21,K210,0)</f>
        <v>0</v>
      </c>
      <c r="AN210" s="67">
        <v>15</v>
      </c>
      <c r="AO210" s="67">
        <f>J210*0</f>
        <v>0</v>
      </c>
      <c r="AP210" s="67">
        <f>J210*(1-0)</f>
        <v>0</v>
      </c>
      <c r="AQ210" s="16" t="s">
        <v>6</v>
      </c>
      <c r="AV210" s="67">
        <f>AW210+AX210</f>
        <v>0</v>
      </c>
      <c r="AW210" s="67">
        <f>I210*AO210</f>
        <v>0</v>
      </c>
      <c r="AX210" s="67">
        <f>I210*AP210</f>
        <v>0</v>
      </c>
      <c r="AY210" s="68" t="s">
        <v>979</v>
      </c>
      <c r="AZ210" s="68" t="s">
        <v>995</v>
      </c>
      <c r="BA210" s="12" t="s">
        <v>996</v>
      </c>
      <c r="BC210" s="67">
        <f>AW210+AX210</f>
        <v>0</v>
      </c>
      <c r="BD210" s="67">
        <f>J210/(100-BE210)*100</f>
        <v>0</v>
      </c>
      <c r="BE210" s="67">
        <v>0</v>
      </c>
      <c r="BF210" s="67">
        <f>210</f>
        <v>210</v>
      </c>
      <c r="BH210" s="10">
        <f>I210*AO210</f>
        <v>0</v>
      </c>
      <c r="BI210" s="10">
        <f>I210*AP210</f>
        <v>0</v>
      </c>
      <c r="BJ210" s="10">
        <f>I210*J210</f>
        <v>0</v>
      </c>
    </row>
    <row r="211" spans="1:62" ht="12.75">
      <c r="A211" s="3" t="s">
        <v>180</v>
      </c>
      <c r="B211" s="3" t="s">
        <v>389</v>
      </c>
      <c r="C211" s="143" t="s">
        <v>794</v>
      </c>
      <c r="D211" s="144"/>
      <c r="E211" s="144"/>
      <c r="F211" s="144"/>
      <c r="G211" s="144"/>
      <c r="H211" s="3" t="s">
        <v>852</v>
      </c>
      <c r="I211" s="10">
        <v>66</v>
      </c>
      <c r="J211" s="59">
        <v>0</v>
      </c>
      <c r="K211" s="10">
        <f>I211*J211</f>
        <v>0</v>
      </c>
      <c r="L211" s="16" t="s">
        <v>941</v>
      </c>
      <c r="Z211" s="67">
        <f>IF(AQ211="5",BJ211,0)</f>
        <v>0</v>
      </c>
      <c r="AB211" s="67">
        <f>IF(AQ211="1",BH211,0)</f>
        <v>0</v>
      </c>
      <c r="AC211" s="67">
        <f>IF(AQ211="1",BI211,0)</f>
        <v>0</v>
      </c>
      <c r="AD211" s="67">
        <f>IF(AQ211="7",BH211,0)</f>
        <v>0</v>
      </c>
      <c r="AE211" s="67">
        <f>IF(AQ211="7",BI211,0)</f>
        <v>0</v>
      </c>
      <c r="AF211" s="67">
        <f>IF(AQ211="2",BH211,0)</f>
        <v>0</v>
      </c>
      <c r="AG211" s="67">
        <f>IF(AQ211="2",BI211,0)</f>
        <v>0</v>
      </c>
      <c r="AH211" s="67">
        <f>IF(AQ211="0",BJ211,0)</f>
        <v>0</v>
      </c>
      <c r="AI211" s="12"/>
      <c r="AJ211" s="10">
        <f>IF(AN211=0,K211,0)</f>
        <v>0</v>
      </c>
      <c r="AK211" s="10">
        <f>IF(AN211=15,K211,0)</f>
        <v>0</v>
      </c>
      <c r="AL211" s="10">
        <f>IF(AN211=21,K211,0)</f>
        <v>0</v>
      </c>
      <c r="AN211" s="67">
        <v>15</v>
      </c>
      <c r="AO211" s="67">
        <f>J211*0</f>
        <v>0</v>
      </c>
      <c r="AP211" s="67">
        <f>J211*(1-0)</f>
        <v>0</v>
      </c>
      <c r="AQ211" s="16" t="s">
        <v>6</v>
      </c>
      <c r="AV211" s="67">
        <f>AW211+AX211</f>
        <v>0</v>
      </c>
      <c r="AW211" s="67">
        <f>I211*AO211</f>
        <v>0</v>
      </c>
      <c r="AX211" s="67">
        <f>I211*AP211</f>
        <v>0</v>
      </c>
      <c r="AY211" s="68" t="s">
        <v>979</v>
      </c>
      <c r="AZ211" s="68" t="s">
        <v>995</v>
      </c>
      <c r="BA211" s="12" t="s">
        <v>996</v>
      </c>
      <c r="BC211" s="67">
        <f>AW211+AX211</f>
        <v>0</v>
      </c>
      <c r="BD211" s="67">
        <f>J211/(100-BE211)*100</f>
        <v>0</v>
      </c>
      <c r="BE211" s="67">
        <v>0</v>
      </c>
      <c r="BF211" s="67">
        <f>211</f>
        <v>211</v>
      </c>
      <c r="BH211" s="10">
        <f>I211*AO211</f>
        <v>0</v>
      </c>
      <c r="BI211" s="10">
        <f>I211*AP211</f>
        <v>0</v>
      </c>
      <c r="BJ211" s="10">
        <f>I211*J211</f>
        <v>0</v>
      </c>
    </row>
    <row r="212" spans="1:47" ht="12.75">
      <c r="A212" s="50"/>
      <c r="B212" s="4" t="s">
        <v>101</v>
      </c>
      <c r="C212" s="145" t="s">
        <v>796</v>
      </c>
      <c r="D212" s="146"/>
      <c r="E212" s="146"/>
      <c r="F212" s="146"/>
      <c r="G212" s="146"/>
      <c r="H212" s="50" t="s">
        <v>927</v>
      </c>
      <c r="I212" s="50" t="s">
        <v>927</v>
      </c>
      <c r="J212" s="60" t="s">
        <v>927</v>
      </c>
      <c r="K212" s="70">
        <f>SUM(K213:K219)</f>
        <v>0</v>
      </c>
      <c r="L212" s="12"/>
      <c r="AI212" s="12"/>
      <c r="AS212" s="70">
        <f>SUM(AJ213:AJ219)</f>
        <v>0</v>
      </c>
      <c r="AT212" s="70">
        <f>SUM(AK213:AK219)</f>
        <v>0</v>
      </c>
      <c r="AU212" s="70">
        <f>SUM(AL213:AL219)</f>
        <v>0</v>
      </c>
    </row>
    <row r="213" spans="1:62" ht="12.75">
      <c r="A213" s="3" t="s">
        <v>181</v>
      </c>
      <c r="B213" s="3" t="s">
        <v>390</v>
      </c>
      <c r="C213" s="143" t="s">
        <v>797</v>
      </c>
      <c r="D213" s="144"/>
      <c r="E213" s="144"/>
      <c r="F213" s="144"/>
      <c r="G213" s="144"/>
      <c r="H213" s="3" t="s">
        <v>861</v>
      </c>
      <c r="I213" s="10">
        <v>6</v>
      </c>
      <c r="J213" s="59">
        <v>0</v>
      </c>
      <c r="K213" s="10">
        <f aca="true" t="shared" si="282" ref="K213:K219">I213*J213</f>
        <v>0</v>
      </c>
      <c r="L213" s="16" t="s">
        <v>941</v>
      </c>
      <c r="Z213" s="67">
        <f aca="true" t="shared" si="283" ref="Z213:Z219">IF(AQ213="5",BJ213,0)</f>
        <v>0</v>
      </c>
      <c r="AB213" s="67">
        <f aca="true" t="shared" si="284" ref="AB213:AB219">IF(AQ213="1",BH213,0)</f>
        <v>0</v>
      </c>
      <c r="AC213" s="67">
        <f aca="true" t="shared" si="285" ref="AC213:AC219">IF(AQ213="1",BI213,0)</f>
        <v>0</v>
      </c>
      <c r="AD213" s="67">
        <f aca="true" t="shared" si="286" ref="AD213:AD219">IF(AQ213="7",BH213,0)</f>
        <v>0</v>
      </c>
      <c r="AE213" s="67">
        <f aca="true" t="shared" si="287" ref="AE213:AE219">IF(AQ213="7",BI213,0)</f>
        <v>0</v>
      </c>
      <c r="AF213" s="67">
        <f aca="true" t="shared" si="288" ref="AF213:AF219">IF(AQ213="2",BH213,0)</f>
        <v>0</v>
      </c>
      <c r="AG213" s="67">
        <f aca="true" t="shared" si="289" ref="AG213:AG219">IF(AQ213="2",BI213,0)</f>
        <v>0</v>
      </c>
      <c r="AH213" s="67">
        <f aca="true" t="shared" si="290" ref="AH213:AH219">IF(AQ213="0",BJ213,0)</f>
        <v>0</v>
      </c>
      <c r="AI213" s="12"/>
      <c r="AJ213" s="10">
        <f aca="true" t="shared" si="291" ref="AJ213:AJ219">IF(AN213=0,K213,0)</f>
        <v>0</v>
      </c>
      <c r="AK213" s="10">
        <f aca="true" t="shared" si="292" ref="AK213:AK219">IF(AN213=15,K213,0)</f>
        <v>0</v>
      </c>
      <c r="AL213" s="10">
        <f aca="true" t="shared" si="293" ref="AL213:AL219">IF(AN213=21,K213,0)</f>
        <v>0</v>
      </c>
      <c r="AN213" s="67">
        <v>15</v>
      </c>
      <c r="AO213" s="67">
        <f>J213*0.115824158415842</f>
        <v>0</v>
      </c>
      <c r="AP213" s="67">
        <f>J213*(1-0.115824158415842)</f>
        <v>0</v>
      </c>
      <c r="AQ213" s="16" t="s">
        <v>6</v>
      </c>
      <c r="AV213" s="67">
        <f aca="true" t="shared" si="294" ref="AV213:AV219">AW213+AX213</f>
        <v>0</v>
      </c>
      <c r="AW213" s="67">
        <f aca="true" t="shared" si="295" ref="AW213:AW219">I213*AO213</f>
        <v>0</v>
      </c>
      <c r="AX213" s="67">
        <f aca="true" t="shared" si="296" ref="AX213:AX219">I213*AP213</f>
        <v>0</v>
      </c>
      <c r="AY213" s="68" t="s">
        <v>980</v>
      </c>
      <c r="AZ213" s="68" t="s">
        <v>995</v>
      </c>
      <c r="BA213" s="12" t="s">
        <v>996</v>
      </c>
      <c r="BC213" s="67">
        <f aca="true" t="shared" si="297" ref="BC213:BC219">AW213+AX213</f>
        <v>0</v>
      </c>
      <c r="BD213" s="67">
        <f aca="true" t="shared" si="298" ref="BD213:BD219">J213/(100-BE213)*100</f>
        <v>0</v>
      </c>
      <c r="BE213" s="67">
        <v>0</v>
      </c>
      <c r="BF213" s="67">
        <f>213</f>
        <v>213</v>
      </c>
      <c r="BH213" s="10">
        <f aca="true" t="shared" si="299" ref="BH213:BH219">I213*AO213</f>
        <v>0</v>
      </c>
      <c r="BI213" s="10">
        <f aca="true" t="shared" si="300" ref="BI213:BI219">I213*AP213</f>
        <v>0</v>
      </c>
      <c r="BJ213" s="10">
        <f aca="true" t="shared" si="301" ref="BJ213:BJ219">I213*J213</f>
        <v>0</v>
      </c>
    </row>
    <row r="214" spans="1:62" ht="12.75">
      <c r="A214" s="3" t="s">
        <v>182</v>
      </c>
      <c r="B214" s="3" t="s">
        <v>391</v>
      </c>
      <c r="C214" s="143" t="s">
        <v>799</v>
      </c>
      <c r="D214" s="144"/>
      <c r="E214" s="144"/>
      <c r="F214" s="144"/>
      <c r="G214" s="144"/>
      <c r="H214" s="3" t="s">
        <v>857</v>
      </c>
      <c r="I214" s="10">
        <v>0.02</v>
      </c>
      <c r="J214" s="59">
        <v>0</v>
      </c>
      <c r="K214" s="10">
        <f t="shared" si="282"/>
        <v>0</v>
      </c>
      <c r="L214" s="16" t="s">
        <v>942</v>
      </c>
      <c r="Z214" s="67">
        <f t="shared" si="283"/>
        <v>0</v>
      </c>
      <c r="AB214" s="67">
        <f t="shared" si="284"/>
        <v>0</v>
      </c>
      <c r="AC214" s="67">
        <f t="shared" si="285"/>
        <v>0</v>
      </c>
      <c r="AD214" s="67">
        <f t="shared" si="286"/>
        <v>0</v>
      </c>
      <c r="AE214" s="67">
        <f t="shared" si="287"/>
        <v>0</v>
      </c>
      <c r="AF214" s="67">
        <f t="shared" si="288"/>
        <v>0</v>
      </c>
      <c r="AG214" s="67">
        <f t="shared" si="289"/>
        <v>0</v>
      </c>
      <c r="AH214" s="67">
        <f t="shared" si="290"/>
        <v>0</v>
      </c>
      <c r="AI214" s="12"/>
      <c r="AJ214" s="10">
        <f t="shared" si="291"/>
        <v>0</v>
      </c>
      <c r="AK214" s="10">
        <f t="shared" si="292"/>
        <v>0</v>
      </c>
      <c r="AL214" s="10">
        <f t="shared" si="293"/>
        <v>0</v>
      </c>
      <c r="AN214" s="67">
        <v>15</v>
      </c>
      <c r="AO214" s="67">
        <f>J214*0.0952108130718954</f>
        <v>0</v>
      </c>
      <c r="AP214" s="67">
        <f>J214*(1-0.0952108130718954)</f>
        <v>0</v>
      </c>
      <c r="AQ214" s="16" t="s">
        <v>6</v>
      </c>
      <c r="AV214" s="67">
        <f t="shared" si="294"/>
        <v>0</v>
      </c>
      <c r="AW214" s="67">
        <f t="shared" si="295"/>
        <v>0</v>
      </c>
      <c r="AX214" s="67">
        <f t="shared" si="296"/>
        <v>0</v>
      </c>
      <c r="AY214" s="68" t="s">
        <v>980</v>
      </c>
      <c r="AZ214" s="68" t="s">
        <v>995</v>
      </c>
      <c r="BA214" s="12" t="s">
        <v>996</v>
      </c>
      <c r="BC214" s="67">
        <f t="shared" si="297"/>
        <v>0</v>
      </c>
      <c r="BD214" s="67">
        <f t="shared" si="298"/>
        <v>0</v>
      </c>
      <c r="BE214" s="67">
        <v>0</v>
      </c>
      <c r="BF214" s="67">
        <f>214</f>
        <v>214</v>
      </c>
      <c r="BH214" s="10">
        <f t="shared" si="299"/>
        <v>0</v>
      </c>
      <c r="BI214" s="10">
        <f t="shared" si="300"/>
        <v>0</v>
      </c>
      <c r="BJ214" s="10">
        <f t="shared" si="301"/>
        <v>0</v>
      </c>
    </row>
    <row r="215" spans="1:62" ht="12.75">
      <c r="A215" s="3" t="s">
        <v>183</v>
      </c>
      <c r="B215" s="3" t="s">
        <v>392</v>
      </c>
      <c r="C215" s="143" t="s">
        <v>801</v>
      </c>
      <c r="D215" s="144"/>
      <c r="E215" s="144"/>
      <c r="F215" s="144"/>
      <c r="G215" s="144"/>
      <c r="H215" s="3" t="s">
        <v>851</v>
      </c>
      <c r="I215" s="10">
        <v>2.31</v>
      </c>
      <c r="J215" s="59">
        <v>0</v>
      </c>
      <c r="K215" s="10">
        <f t="shared" si="282"/>
        <v>0</v>
      </c>
      <c r="L215" s="16" t="s">
        <v>942</v>
      </c>
      <c r="Z215" s="67">
        <f t="shared" si="283"/>
        <v>0</v>
      </c>
      <c r="AB215" s="67">
        <f t="shared" si="284"/>
        <v>0</v>
      </c>
      <c r="AC215" s="67">
        <f t="shared" si="285"/>
        <v>0</v>
      </c>
      <c r="AD215" s="67">
        <f t="shared" si="286"/>
        <v>0</v>
      </c>
      <c r="AE215" s="67">
        <f t="shared" si="287"/>
        <v>0</v>
      </c>
      <c r="AF215" s="67">
        <f t="shared" si="288"/>
        <v>0</v>
      </c>
      <c r="AG215" s="67">
        <f t="shared" si="289"/>
        <v>0</v>
      </c>
      <c r="AH215" s="67">
        <f t="shared" si="290"/>
        <v>0</v>
      </c>
      <c r="AI215" s="12"/>
      <c r="AJ215" s="10">
        <f t="shared" si="291"/>
        <v>0</v>
      </c>
      <c r="AK215" s="10">
        <f t="shared" si="292"/>
        <v>0</v>
      </c>
      <c r="AL215" s="10">
        <f t="shared" si="293"/>
        <v>0</v>
      </c>
      <c r="AN215" s="67">
        <v>15</v>
      </c>
      <c r="AO215" s="67">
        <f>J215*0.0386322913366337</f>
        <v>0</v>
      </c>
      <c r="AP215" s="67">
        <f>J215*(1-0.0386322913366337)</f>
        <v>0</v>
      </c>
      <c r="AQ215" s="16" t="s">
        <v>6</v>
      </c>
      <c r="AV215" s="67">
        <f t="shared" si="294"/>
        <v>0</v>
      </c>
      <c r="AW215" s="67">
        <f t="shared" si="295"/>
        <v>0</v>
      </c>
      <c r="AX215" s="67">
        <f t="shared" si="296"/>
        <v>0</v>
      </c>
      <c r="AY215" s="68" t="s">
        <v>980</v>
      </c>
      <c r="AZ215" s="68" t="s">
        <v>995</v>
      </c>
      <c r="BA215" s="12" t="s">
        <v>996</v>
      </c>
      <c r="BC215" s="67">
        <f t="shared" si="297"/>
        <v>0</v>
      </c>
      <c r="BD215" s="67">
        <f t="shared" si="298"/>
        <v>0</v>
      </c>
      <c r="BE215" s="67">
        <v>0</v>
      </c>
      <c r="BF215" s="67">
        <f>215</f>
        <v>215</v>
      </c>
      <c r="BH215" s="10">
        <f t="shared" si="299"/>
        <v>0</v>
      </c>
      <c r="BI215" s="10">
        <f t="shared" si="300"/>
        <v>0</v>
      </c>
      <c r="BJ215" s="10">
        <f t="shared" si="301"/>
        <v>0</v>
      </c>
    </row>
    <row r="216" spans="1:62" ht="12.75">
      <c r="A216" s="3" t="s">
        <v>184</v>
      </c>
      <c r="B216" s="3" t="s">
        <v>393</v>
      </c>
      <c r="C216" s="143" t="s">
        <v>804</v>
      </c>
      <c r="D216" s="144"/>
      <c r="E216" s="144"/>
      <c r="F216" s="144"/>
      <c r="G216" s="144"/>
      <c r="H216" s="3" t="s">
        <v>851</v>
      </c>
      <c r="I216" s="10">
        <v>2.87</v>
      </c>
      <c r="J216" s="59">
        <v>0</v>
      </c>
      <c r="K216" s="10">
        <f t="shared" si="282"/>
        <v>0</v>
      </c>
      <c r="L216" s="16" t="s">
        <v>941</v>
      </c>
      <c r="Z216" s="67">
        <f t="shared" si="283"/>
        <v>0</v>
      </c>
      <c r="AB216" s="67">
        <f t="shared" si="284"/>
        <v>0</v>
      </c>
      <c r="AC216" s="67">
        <f t="shared" si="285"/>
        <v>0</v>
      </c>
      <c r="AD216" s="67">
        <f t="shared" si="286"/>
        <v>0</v>
      </c>
      <c r="AE216" s="67">
        <f t="shared" si="287"/>
        <v>0</v>
      </c>
      <c r="AF216" s="67">
        <f t="shared" si="288"/>
        <v>0</v>
      </c>
      <c r="AG216" s="67">
        <f t="shared" si="289"/>
        <v>0</v>
      </c>
      <c r="AH216" s="67">
        <f t="shared" si="290"/>
        <v>0</v>
      </c>
      <c r="AI216" s="12"/>
      <c r="AJ216" s="10">
        <f t="shared" si="291"/>
        <v>0</v>
      </c>
      <c r="AK216" s="10">
        <f t="shared" si="292"/>
        <v>0</v>
      </c>
      <c r="AL216" s="10">
        <f t="shared" si="293"/>
        <v>0</v>
      </c>
      <c r="AN216" s="67">
        <v>15</v>
      </c>
      <c r="AO216" s="67">
        <f>J216*0</f>
        <v>0</v>
      </c>
      <c r="AP216" s="67">
        <f>J216*(1-0)</f>
        <v>0</v>
      </c>
      <c r="AQ216" s="16" t="s">
        <v>6</v>
      </c>
      <c r="AV216" s="67">
        <f t="shared" si="294"/>
        <v>0</v>
      </c>
      <c r="AW216" s="67">
        <f t="shared" si="295"/>
        <v>0</v>
      </c>
      <c r="AX216" s="67">
        <f t="shared" si="296"/>
        <v>0</v>
      </c>
      <c r="AY216" s="68" t="s">
        <v>980</v>
      </c>
      <c r="AZ216" s="68" t="s">
        <v>995</v>
      </c>
      <c r="BA216" s="12" t="s">
        <v>996</v>
      </c>
      <c r="BC216" s="67">
        <f t="shared" si="297"/>
        <v>0</v>
      </c>
      <c r="BD216" s="67">
        <f t="shared" si="298"/>
        <v>0</v>
      </c>
      <c r="BE216" s="67">
        <v>0</v>
      </c>
      <c r="BF216" s="67">
        <f>216</f>
        <v>216</v>
      </c>
      <c r="BH216" s="10">
        <f t="shared" si="299"/>
        <v>0</v>
      </c>
      <c r="BI216" s="10">
        <f t="shared" si="300"/>
        <v>0</v>
      </c>
      <c r="BJ216" s="10">
        <f t="shared" si="301"/>
        <v>0</v>
      </c>
    </row>
    <row r="217" spans="1:62" ht="12.75">
      <c r="A217" s="3" t="s">
        <v>185</v>
      </c>
      <c r="B217" s="3" t="s">
        <v>394</v>
      </c>
      <c r="C217" s="143" t="s">
        <v>808</v>
      </c>
      <c r="D217" s="144"/>
      <c r="E217" s="144"/>
      <c r="F217" s="144"/>
      <c r="G217" s="144"/>
      <c r="H217" s="3" t="s">
        <v>851</v>
      </c>
      <c r="I217" s="10">
        <v>5.88</v>
      </c>
      <c r="J217" s="59">
        <v>0</v>
      </c>
      <c r="K217" s="10">
        <f t="shared" si="282"/>
        <v>0</v>
      </c>
      <c r="L217" s="16" t="s">
        <v>941</v>
      </c>
      <c r="Z217" s="67">
        <f t="shared" si="283"/>
        <v>0</v>
      </c>
      <c r="AB217" s="67">
        <f t="shared" si="284"/>
        <v>0</v>
      </c>
      <c r="AC217" s="67">
        <f t="shared" si="285"/>
        <v>0</v>
      </c>
      <c r="AD217" s="67">
        <f t="shared" si="286"/>
        <v>0</v>
      </c>
      <c r="AE217" s="67">
        <f t="shared" si="287"/>
        <v>0</v>
      </c>
      <c r="AF217" s="67">
        <f t="shared" si="288"/>
        <v>0</v>
      </c>
      <c r="AG217" s="67">
        <f t="shared" si="289"/>
        <v>0</v>
      </c>
      <c r="AH217" s="67">
        <f t="shared" si="290"/>
        <v>0</v>
      </c>
      <c r="AI217" s="12"/>
      <c r="AJ217" s="10">
        <f t="shared" si="291"/>
        <v>0</v>
      </c>
      <c r="AK217" s="10">
        <f t="shared" si="292"/>
        <v>0</v>
      </c>
      <c r="AL217" s="10">
        <f t="shared" si="293"/>
        <v>0</v>
      </c>
      <c r="AN217" s="67">
        <v>15</v>
      </c>
      <c r="AO217" s="67">
        <f>J217*0</f>
        <v>0</v>
      </c>
      <c r="AP217" s="67">
        <f>J217*(1-0)</f>
        <v>0</v>
      </c>
      <c r="AQ217" s="16" t="s">
        <v>6</v>
      </c>
      <c r="AV217" s="67">
        <f t="shared" si="294"/>
        <v>0</v>
      </c>
      <c r="AW217" s="67">
        <f t="shared" si="295"/>
        <v>0</v>
      </c>
      <c r="AX217" s="67">
        <f t="shared" si="296"/>
        <v>0</v>
      </c>
      <c r="AY217" s="68" t="s">
        <v>980</v>
      </c>
      <c r="AZ217" s="68" t="s">
        <v>995</v>
      </c>
      <c r="BA217" s="12" t="s">
        <v>996</v>
      </c>
      <c r="BC217" s="67">
        <f t="shared" si="297"/>
        <v>0</v>
      </c>
      <c r="BD217" s="67">
        <f t="shared" si="298"/>
        <v>0</v>
      </c>
      <c r="BE217" s="67">
        <v>0</v>
      </c>
      <c r="BF217" s="67">
        <f>217</f>
        <v>217</v>
      </c>
      <c r="BH217" s="10">
        <f t="shared" si="299"/>
        <v>0</v>
      </c>
      <c r="BI217" s="10">
        <f t="shared" si="300"/>
        <v>0</v>
      </c>
      <c r="BJ217" s="10">
        <f t="shared" si="301"/>
        <v>0</v>
      </c>
    </row>
    <row r="218" spans="1:62" ht="12.75">
      <c r="A218" s="3" t="s">
        <v>186</v>
      </c>
      <c r="B218" s="3" t="s">
        <v>395</v>
      </c>
      <c r="C218" s="143" t="s">
        <v>810</v>
      </c>
      <c r="D218" s="144"/>
      <c r="E218" s="144"/>
      <c r="F218" s="144"/>
      <c r="G218" s="144"/>
      <c r="H218" s="3" t="s">
        <v>851</v>
      </c>
      <c r="I218" s="10">
        <v>6.97</v>
      </c>
      <c r="J218" s="59">
        <v>0</v>
      </c>
      <c r="K218" s="10">
        <f t="shared" si="282"/>
        <v>0</v>
      </c>
      <c r="L218" s="16" t="s">
        <v>941</v>
      </c>
      <c r="Z218" s="67">
        <f t="shared" si="283"/>
        <v>0</v>
      </c>
      <c r="AB218" s="67">
        <f t="shared" si="284"/>
        <v>0</v>
      </c>
      <c r="AC218" s="67">
        <f t="shared" si="285"/>
        <v>0</v>
      </c>
      <c r="AD218" s="67">
        <f t="shared" si="286"/>
        <v>0</v>
      </c>
      <c r="AE218" s="67">
        <f t="shared" si="287"/>
        <v>0</v>
      </c>
      <c r="AF218" s="67">
        <f t="shared" si="288"/>
        <v>0</v>
      </c>
      <c r="AG218" s="67">
        <f t="shared" si="289"/>
        <v>0</v>
      </c>
      <c r="AH218" s="67">
        <f t="shared" si="290"/>
        <v>0</v>
      </c>
      <c r="AI218" s="12"/>
      <c r="AJ218" s="10">
        <f t="shared" si="291"/>
        <v>0</v>
      </c>
      <c r="AK218" s="10">
        <f t="shared" si="292"/>
        <v>0</v>
      </c>
      <c r="AL218" s="10">
        <f t="shared" si="293"/>
        <v>0</v>
      </c>
      <c r="AN218" s="67">
        <v>15</v>
      </c>
      <c r="AO218" s="67">
        <f>J218*0</f>
        <v>0</v>
      </c>
      <c r="AP218" s="67">
        <f>J218*(1-0)</f>
        <v>0</v>
      </c>
      <c r="AQ218" s="16" t="s">
        <v>6</v>
      </c>
      <c r="AV218" s="67">
        <f t="shared" si="294"/>
        <v>0</v>
      </c>
      <c r="AW218" s="67">
        <f t="shared" si="295"/>
        <v>0</v>
      </c>
      <c r="AX218" s="67">
        <f t="shared" si="296"/>
        <v>0</v>
      </c>
      <c r="AY218" s="68" t="s">
        <v>980</v>
      </c>
      <c r="AZ218" s="68" t="s">
        <v>995</v>
      </c>
      <c r="BA218" s="12" t="s">
        <v>996</v>
      </c>
      <c r="BC218" s="67">
        <f t="shared" si="297"/>
        <v>0</v>
      </c>
      <c r="BD218" s="67">
        <f t="shared" si="298"/>
        <v>0</v>
      </c>
      <c r="BE218" s="67">
        <v>0</v>
      </c>
      <c r="BF218" s="67">
        <f>218</f>
        <v>218</v>
      </c>
      <c r="BH218" s="10">
        <f t="shared" si="299"/>
        <v>0</v>
      </c>
      <c r="BI218" s="10">
        <f t="shared" si="300"/>
        <v>0</v>
      </c>
      <c r="BJ218" s="10">
        <f t="shared" si="301"/>
        <v>0</v>
      </c>
    </row>
    <row r="219" spans="1:62" ht="12.75">
      <c r="A219" s="3" t="s">
        <v>187</v>
      </c>
      <c r="B219" s="3" t="s">
        <v>396</v>
      </c>
      <c r="C219" s="143" t="s">
        <v>812</v>
      </c>
      <c r="D219" s="144"/>
      <c r="E219" s="144"/>
      <c r="F219" s="144"/>
      <c r="G219" s="144"/>
      <c r="H219" s="3" t="s">
        <v>851</v>
      </c>
      <c r="I219" s="10">
        <v>1.89</v>
      </c>
      <c r="J219" s="59">
        <v>0</v>
      </c>
      <c r="K219" s="10">
        <f t="shared" si="282"/>
        <v>0</v>
      </c>
      <c r="L219" s="16" t="s">
        <v>941</v>
      </c>
      <c r="Z219" s="67">
        <f t="shared" si="283"/>
        <v>0</v>
      </c>
      <c r="AB219" s="67">
        <f t="shared" si="284"/>
        <v>0</v>
      </c>
      <c r="AC219" s="67">
        <f t="shared" si="285"/>
        <v>0</v>
      </c>
      <c r="AD219" s="67">
        <f t="shared" si="286"/>
        <v>0</v>
      </c>
      <c r="AE219" s="67">
        <f t="shared" si="287"/>
        <v>0</v>
      </c>
      <c r="AF219" s="67">
        <f t="shared" si="288"/>
        <v>0</v>
      </c>
      <c r="AG219" s="67">
        <f t="shared" si="289"/>
        <v>0</v>
      </c>
      <c r="AH219" s="67">
        <f t="shared" si="290"/>
        <v>0</v>
      </c>
      <c r="AI219" s="12"/>
      <c r="AJ219" s="10">
        <f t="shared" si="291"/>
        <v>0</v>
      </c>
      <c r="AK219" s="10">
        <f t="shared" si="292"/>
        <v>0</v>
      </c>
      <c r="AL219" s="10">
        <f t="shared" si="293"/>
        <v>0</v>
      </c>
      <c r="AN219" s="67">
        <v>15</v>
      </c>
      <c r="AO219" s="67">
        <f>J219*0</f>
        <v>0</v>
      </c>
      <c r="AP219" s="67">
        <f>J219*(1-0)</f>
        <v>0</v>
      </c>
      <c r="AQ219" s="16" t="s">
        <v>6</v>
      </c>
      <c r="AV219" s="67">
        <f t="shared" si="294"/>
        <v>0</v>
      </c>
      <c r="AW219" s="67">
        <f t="shared" si="295"/>
        <v>0</v>
      </c>
      <c r="AX219" s="67">
        <f t="shared" si="296"/>
        <v>0</v>
      </c>
      <c r="AY219" s="68" t="s">
        <v>980</v>
      </c>
      <c r="AZ219" s="68" t="s">
        <v>995</v>
      </c>
      <c r="BA219" s="12" t="s">
        <v>996</v>
      </c>
      <c r="BC219" s="67">
        <f t="shared" si="297"/>
        <v>0</v>
      </c>
      <c r="BD219" s="67">
        <f t="shared" si="298"/>
        <v>0</v>
      </c>
      <c r="BE219" s="67">
        <v>0</v>
      </c>
      <c r="BF219" s="67">
        <f>219</f>
        <v>219</v>
      </c>
      <c r="BH219" s="10">
        <f t="shared" si="299"/>
        <v>0</v>
      </c>
      <c r="BI219" s="10">
        <f t="shared" si="300"/>
        <v>0</v>
      </c>
      <c r="BJ219" s="10">
        <f t="shared" si="301"/>
        <v>0</v>
      </c>
    </row>
    <row r="220" spans="1:47" ht="12.75">
      <c r="A220" s="50"/>
      <c r="B220" s="4" t="s">
        <v>102</v>
      </c>
      <c r="C220" s="145" t="s">
        <v>814</v>
      </c>
      <c r="D220" s="146"/>
      <c r="E220" s="146"/>
      <c r="F220" s="146"/>
      <c r="G220" s="146"/>
      <c r="H220" s="50" t="s">
        <v>927</v>
      </c>
      <c r="I220" s="50" t="s">
        <v>927</v>
      </c>
      <c r="J220" s="60" t="s">
        <v>927</v>
      </c>
      <c r="K220" s="70">
        <f>SUM(K221:K226)</f>
        <v>0</v>
      </c>
      <c r="L220" s="12"/>
      <c r="AI220" s="12"/>
      <c r="AS220" s="70">
        <f>SUM(AJ221:AJ226)</f>
        <v>0</v>
      </c>
      <c r="AT220" s="70">
        <f>SUM(AK221:AK226)</f>
        <v>0</v>
      </c>
      <c r="AU220" s="70">
        <f>SUM(AL221:AL226)</f>
        <v>0</v>
      </c>
    </row>
    <row r="221" spans="1:62" ht="12.75">
      <c r="A221" s="3" t="s">
        <v>188</v>
      </c>
      <c r="B221" s="3" t="s">
        <v>397</v>
      </c>
      <c r="C221" s="143" t="s">
        <v>815</v>
      </c>
      <c r="D221" s="144"/>
      <c r="E221" s="144"/>
      <c r="F221" s="144"/>
      <c r="G221" s="144"/>
      <c r="H221" s="3" t="s">
        <v>856</v>
      </c>
      <c r="I221" s="10">
        <v>2</v>
      </c>
      <c r="J221" s="59">
        <v>0</v>
      </c>
      <c r="K221" s="10">
        <f aca="true" t="shared" si="302" ref="K221:K226">I221*J221</f>
        <v>0</v>
      </c>
      <c r="L221" s="16" t="s">
        <v>941</v>
      </c>
      <c r="Z221" s="67">
        <f aca="true" t="shared" si="303" ref="Z221:Z226">IF(AQ221="5",BJ221,0)</f>
        <v>0</v>
      </c>
      <c r="AB221" s="67">
        <f aca="true" t="shared" si="304" ref="AB221:AB226">IF(AQ221="1",BH221,0)</f>
        <v>0</v>
      </c>
      <c r="AC221" s="67">
        <f aca="true" t="shared" si="305" ref="AC221:AC226">IF(AQ221="1",BI221,0)</f>
        <v>0</v>
      </c>
      <c r="AD221" s="67">
        <f aca="true" t="shared" si="306" ref="AD221:AD226">IF(AQ221="7",BH221,0)</f>
        <v>0</v>
      </c>
      <c r="AE221" s="67">
        <f aca="true" t="shared" si="307" ref="AE221:AE226">IF(AQ221="7",BI221,0)</f>
        <v>0</v>
      </c>
      <c r="AF221" s="67">
        <f aca="true" t="shared" si="308" ref="AF221:AF226">IF(AQ221="2",BH221,0)</f>
        <v>0</v>
      </c>
      <c r="AG221" s="67">
        <f aca="true" t="shared" si="309" ref="AG221:AG226">IF(AQ221="2",BI221,0)</f>
        <v>0</v>
      </c>
      <c r="AH221" s="67">
        <f aca="true" t="shared" si="310" ref="AH221:AH226">IF(AQ221="0",BJ221,0)</f>
        <v>0</v>
      </c>
      <c r="AI221" s="12"/>
      <c r="AJ221" s="10">
        <f aca="true" t="shared" si="311" ref="AJ221:AJ226">IF(AN221=0,K221,0)</f>
        <v>0</v>
      </c>
      <c r="AK221" s="10">
        <f aca="true" t="shared" si="312" ref="AK221:AK226">IF(AN221=15,K221,0)</f>
        <v>0</v>
      </c>
      <c r="AL221" s="10">
        <f aca="true" t="shared" si="313" ref="AL221:AL226">IF(AN221=21,K221,0)</f>
        <v>0</v>
      </c>
      <c r="AN221" s="67">
        <v>15</v>
      </c>
      <c r="AO221" s="67">
        <f>J221*0.356522296650718</f>
        <v>0</v>
      </c>
      <c r="AP221" s="67">
        <f>J221*(1-0.356522296650718)</f>
        <v>0</v>
      </c>
      <c r="AQ221" s="16" t="s">
        <v>6</v>
      </c>
      <c r="AV221" s="67">
        <f aca="true" t="shared" si="314" ref="AV221:AV226">AW221+AX221</f>
        <v>0</v>
      </c>
      <c r="AW221" s="67">
        <f aca="true" t="shared" si="315" ref="AW221:AW226">I221*AO221</f>
        <v>0</v>
      </c>
      <c r="AX221" s="67">
        <f aca="true" t="shared" si="316" ref="AX221:AX226">I221*AP221</f>
        <v>0</v>
      </c>
      <c r="AY221" s="68" t="s">
        <v>981</v>
      </c>
      <c r="AZ221" s="68" t="s">
        <v>995</v>
      </c>
      <c r="BA221" s="12" t="s">
        <v>996</v>
      </c>
      <c r="BC221" s="67">
        <f aca="true" t="shared" si="317" ref="BC221:BC226">AW221+AX221</f>
        <v>0</v>
      </c>
      <c r="BD221" s="67">
        <f aca="true" t="shared" si="318" ref="BD221:BD226">J221/(100-BE221)*100</f>
        <v>0</v>
      </c>
      <c r="BE221" s="67">
        <v>0</v>
      </c>
      <c r="BF221" s="67">
        <f>221</f>
        <v>221</v>
      </c>
      <c r="BH221" s="10">
        <f aca="true" t="shared" si="319" ref="BH221:BH226">I221*AO221</f>
        <v>0</v>
      </c>
      <c r="BI221" s="10">
        <f aca="true" t="shared" si="320" ref="BI221:BI226">I221*AP221</f>
        <v>0</v>
      </c>
      <c r="BJ221" s="10">
        <f aca="true" t="shared" si="321" ref="BJ221:BJ226">I221*J221</f>
        <v>0</v>
      </c>
    </row>
    <row r="222" spans="1:62" ht="12.75">
      <c r="A222" s="3" t="s">
        <v>189</v>
      </c>
      <c r="B222" s="3" t="s">
        <v>398</v>
      </c>
      <c r="C222" s="143" t="s">
        <v>817</v>
      </c>
      <c r="D222" s="144"/>
      <c r="E222" s="144"/>
      <c r="F222" s="144"/>
      <c r="G222" s="144"/>
      <c r="H222" s="3" t="s">
        <v>854</v>
      </c>
      <c r="I222" s="10">
        <v>41</v>
      </c>
      <c r="J222" s="59">
        <v>0</v>
      </c>
      <c r="K222" s="10">
        <f t="shared" si="302"/>
        <v>0</v>
      </c>
      <c r="L222" s="16" t="s">
        <v>941</v>
      </c>
      <c r="Z222" s="67">
        <f t="shared" si="303"/>
        <v>0</v>
      </c>
      <c r="AB222" s="67">
        <f t="shared" si="304"/>
        <v>0</v>
      </c>
      <c r="AC222" s="67">
        <f t="shared" si="305"/>
        <v>0</v>
      </c>
      <c r="AD222" s="67">
        <f t="shared" si="306"/>
        <v>0</v>
      </c>
      <c r="AE222" s="67">
        <f t="shared" si="307"/>
        <v>0</v>
      </c>
      <c r="AF222" s="67">
        <f t="shared" si="308"/>
        <v>0</v>
      </c>
      <c r="AG222" s="67">
        <f t="shared" si="309"/>
        <v>0</v>
      </c>
      <c r="AH222" s="67">
        <f t="shared" si="310"/>
        <v>0</v>
      </c>
      <c r="AI222" s="12"/>
      <c r="AJ222" s="10">
        <f t="shared" si="311"/>
        <v>0</v>
      </c>
      <c r="AK222" s="10">
        <f t="shared" si="312"/>
        <v>0</v>
      </c>
      <c r="AL222" s="10">
        <f t="shared" si="313"/>
        <v>0</v>
      </c>
      <c r="AN222" s="67">
        <v>15</v>
      </c>
      <c r="AO222" s="67">
        <f>J222*0.0544366628126331</f>
        <v>0</v>
      </c>
      <c r="AP222" s="67">
        <f>J222*(1-0.0544366628126331)</f>
        <v>0</v>
      </c>
      <c r="AQ222" s="16" t="s">
        <v>6</v>
      </c>
      <c r="AV222" s="67">
        <f t="shared" si="314"/>
        <v>0</v>
      </c>
      <c r="AW222" s="67">
        <f t="shared" si="315"/>
        <v>0</v>
      </c>
      <c r="AX222" s="67">
        <f t="shared" si="316"/>
        <v>0</v>
      </c>
      <c r="AY222" s="68" t="s">
        <v>981</v>
      </c>
      <c r="AZ222" s="68" t="s">
        <v>995</v>
      </c>
      <c r="BA222" s="12" t="s">
        <v>996</v>
      </c>
      <c r="BC222" s="67">
        <f t="shared" si="317"/>
        <v>0</v>
      </c>
      <c r="BD222" s="67">
        <f t="shared" si="318"/>
        <v>0</v>
      </c>
      <c r="BE222" s="67">
        <v>0</v>
      </c>
      <c r="BF222" s="67">
        <f>222</f>
        <v>222</v>
      </c>
      <c r="BH222" s="10">
        <f t="shared" si="319"/>
        <v>0</v>
      </c>
      <c r="BI222" s="10">
        <f t="shared" si="320"/>
        <v>0</v>
      </c>
      <c r="BJ222" s="10">
        <f t="shared" si="321"/>
        <v>0</v>
      </c>
    </row>
    <row r="223" spans="1:62" ht="12.75">
      <c r="A223" s="3" t="s">
        <v>190</v>
      </c>
      <c r="B223" s="3" t="s">
        <v>399</v>
      </c>
      <c r="C223" s="143" t="s">
        <v>818</v>
      </c>
      <c r="D223" s="144"/>
      <c r="E223" s="144"/>
      <c r="F223" s="144"/>
      <c r="G223" s="144"/>
      <c r="H223" s="3" t="s">
        <v>854</v>
      </c>
      <c r="I223" s="10">
        <v>43</v>
      </c>
      <c r="J223" s="59">
        <v>0</v>
      </c>
      <c r="K223" s="10">
        <f t="shared" si="302"/>
        <v>0</v>
      </c>
      <c r="L223" s="16" t="s">
        <v>941</v>
      </c>
      <c r="Z223" s="67">
        <f t="shared" si="303"/>
        <v>0</v>
      </c>
      <c r="AB223" s="67">
        <f t="shared" si="304"/>
        <v>0</v>
      </c>
      <c r="AC223" s="67">
        <f t="shared" si="305"/>
        <v>0</v>
      </c>
      <c r="AD223" s="67">
        <f t="shared" si="306"/>
        <v>0</v>
      </c>
      <c r="AE223" s="67">
        <f t="shared" si="307"/>
        <v>0</v>
      </c>
      <c r="AF223" s="67">
        <f t="shared" si="308"/>
        <v>0</v>
      </c>
      <c r="AG223" s="67">
        <f t="shared" si="309"/>
        <v>0</v>
      </c>
      <c r="AH223" s="67">
        <f t="shared" si="310"/>
        <v>0</v>
      </c>
      <c r="AI223" s="12"/>
      <c r="AJ223" s="10">
        <f t="shared" si="311"/>
        <v>0</v>
      </c>
      <c r="AK223" s="10">
        <f t="shared" si="312"/>
        <v>0</v>
      </c>
      <c r="AL223" s="10">
        <f t="shared" si="313"/>
        <v>0</v>
      </c>
      <c r="AN223" s="67">
        <v>15</v>
      </c>
      <c r="AO223" s="67">
        <f>J223*0.0544289152060635</f>
        <v>0</v>
      </c>
      <c r="AP223" s="67">
        <f>J223*(1-0.0544289152060635)</f>
        <v>0</v>
      </c>
      <c r="AQ223" s="16" t="s">
        <v>6</v>
      </c>
      <c r="AV223" s="67">
        <f t="shared" si="314"/>
        <v>0</v>
      </c>
      <c r="AW223" s="67">
        <f t="shared" si="315"/>
        <v>0</v>
      </c>
      <c r="AX223" s="67">
        <f t="shared" si="316"/>
        <v>0</v>
      </c>
      <c r="AY223" s="68" t="s">
        <v>981</v>
      </c>
      <c r="AZ223" s="68" t="s">
        <v>995</v>
      </c>
      <c r="BA223" s="12" t="s">
        <v>996</v>
      </c>
      <c r="BC223" s="67">
        <f t="shared" si="317"/>
        <v>0</v>
      </c>
      <c r="BD223" s="67">
        <f t="shared" si="318"/>
        <v>0</v>
      </c>
      <c r="BE223" s="67">
        <v>0</v>
      </c>
      <c r="BF223" s="67">
        <f>223</f>
        <v>223</v>
      </c>
      <c r="BH223" s="10">
        <f t="shared" si="319"/>
        <v>0</v>
      </c>
      <c r="BI223" s="10">
        <f t="shared" si="320"/>
        <v>0</v>
      </c>
      <c r="BJ223" s="10">
        <f t="shared" si="321"/>
        <v>0</v>
      </c>
    </row>
    <row r="224" spans="1:62" ht="12.75">
      <c r="A224" s="3" t="s">
        <v>191</v>
      </c>
      <c r="B224" s="3" t="s">
        <v>400</v>
      </c>
      <c r="C224" s="143" t="s">
        <v>819</v>
      </c>
      <c r="D224" s="144"/>
      <c r="E224" s="144"/>
      <c r="F224" s="144"/>
      <c r="G224" s="144"/>
      <c r="H224" s="3" t="s">
        <v>856</v>
      </c>
      <c r="I224" s="10">
        <v>21.6</v>
      </c>
      <c r="J224" s="59">
        <v>0</v>
      </c>
      <c r="K224" s="10">
        <f t="shared" si="302"/>
        <v>0</v>
      </c>
      <c r="L224" s="16" t="s">
        <v>941</v>
      </c>
      <c r="Z224" s="67">
        <f t="shared" si="303"/>
        <v>0</v>
      </c>
      <c r="AB224" s="67">
        <f t="shared" si="304"/>
        <v>0</v>
      </c>
      <c r="AC224" s="67">
        <f t="shared" si="305"/>
        <v>0</v>
      </c>
      <c r="AD224" s="67">
        <f t="shared" si="306"/>
        <v>0</v>
      </c>
      <c r="AE224" s="67">
        <f t="shared" si="307"/>
        <v>0</v>
      </c>
      <c r="AF224" s="67">
        <f t="shared" si="308"/>
        <v>0</v>
      </c>
      <c r="AG224" s="67">
        <f t="shared" si="309"/>
        <v>0</v>
      </c>
      <c r="AH224" s="67">
        <f t="shared" si="310"/>
        <v>0</v>
      </c>
      <c r="AI224" s="12"/>
      <c r="AJ224" s="10">
        <f t="shared" si="311"/>
        <v>0</v>
      </c>
      <c r="AK224" s="10">
        <f t="shared" si="312"/>
        <v>0</v>
      </c>
      <c r="AL224" s="10">
        <f t="shared" si="313"/>
        <v>0</v>
      </c>
      <c r="AN224" s="67">
        <v>15</v>
      </c>
      <c r="AO224" s="67">
        <f>J224*0</f>
        <v>0</v>
      </c>
      <c r="AP224" s="67">
        <f>J224*(1-0)</f>
        <v>0</v>
      </c>
      <c r="AQ224" s="16" t="s">
        <v>6</v>
      </c>
      <c r="AV224" s="67">
        <f t="shared" si="314"/>
        <v>0</v>
      </c>
      <c r="AW224" s="67">
        <f t="shared" si="315"/>
        <v>0</v>
      </c>
      <c r="AX224" s="67">
        <f t="shared" si="316"/>
        <v>0</v>
      </c>
      <c r="AY224" s="68" t="s">
        <v>981</v>
      </c>
      <c r="AZ224" s="68" t="s">
        <v>995</v>
      </c>
      <c r="BA224" s="12" t="s">
        <v>996</v>
      </c>
      <c r="BC224" s="67">
        <f t="shared" si="317"/>
        <v>0</v>
      </c>
      <c r="BD224" s="67">
        <f t="shared" si="318"/>
        <v>0</v>
      </c>
      <c r="BE224" s="67">
        <v>0</v>
      </c>
      <c r="BF224" s="67">
        <f>224</f>
        <v>224</v>
      </c>
      <c r="BH224" s="10">
        <f t="shared" si="319"/>
        <v>0</v>
      </c>
      <c r="BI224" s="10">
        <f t="shared" si="320"/>
        <v>0</v>
      </c>
      <c r="BJ224" s="10">
        <f t="shared" si="321"/>
        <v>0</v>
      </c>
    </row>
    <row r="225" spans="1:62" ht="12.75">
      <c r="A225" s="3" t="s">
        <v>192</v>
      </c>
      <c r="B225" s="3" t="s">
        <v>401</v>
      </c>
      <c r="C225" s="143" t="s">
        <v>821</v>
      </c>
      <c r="D225" s="144"/>
      <c r="E225" s="144"/>
      <c r="F225" s="144"/>
      <c r="G225" s="144"/>
      <c r="H225" s="3" t="s">
        <v>856</v>
      </c>
      <c r="I225" s="10">
        <v>29.5</v>
      </c>
      <c r="J225" s="59">
        <v>0</v>
      </c>
      <c r="K225" s="10">
        <f t="shared" si="302"/>
        <v>0</v>
      </c>
      <c r="L225" s="16" t="s">
        <v>941</v>
      </c>
      <c r="Z225" s="67">
        <f t="shared" si="303"/>
        <v>0</v>
      </c>
      <c r="AB225" s="67">
        <f t="shared" si="304"/>
        <v>0</v>
      </c>
      <c r="AC225" s="67">
        <f t="shared" si="305"/>
        <v>0</v>
      </c>
      <c r="AD225" s="67">
        <f t="shared" si="306"/>
        <v>0</v>
      </c>
      <c r="AE225" s="67">
        <f t="shared" si="307"/>
        <v>0</v>
      </c>
      <c r="AF225" s="67">
        <f t="shared" si="308"/>
        <v>0</v>
      </c>
      <c r="AG225" s="67">
        <f t="shared" si="309"/>
        <v>0</v>
      </c>
      <c r="AH225" s="67">
        <f t="shared" si="310"/>
        <v>0</v>
      </c>
      <c r="AI225" s="12"/>
      <c r="AJ225" s="10">
        <f t="shared" si="311"/>
        <v>0</v>
      </c>
      <c r="AK225" s="10">
        <f t="shared" si="312"/>
        <v>0</v>
      </c>
      <c r="AL225" s="10">
        <f t="shared" si="313"/>
        <v>0</v>
      </c>
      <c r="AN225" s="67">
        <v>15</v>
      </c>
      <c r="AO225" s="67">
        <f>J225*0</f>
        <v>0</v>
      </c>
      <c r="AP225" s="67">
        <f>J225*(1-0)</f>
        <v>0</v>
      </c>
      <c r="AQ225" s="16" t="s">
        <v>6</v>
      </c>
      <c r="AV225" s="67">
        <f t="shared" si="314"/>
        <v>0</v>
      </c>
      <c r="AW225" s="67">
        <f t="shared" si="315"/>
        <v>0</v>
      </c>
      <c r="AX225" s="67">
        <f t="shared" si="316"/>
        <v>0</v>
      </c>
      <c r="AY225" s="68" t="s">
        <v>981</v>
      </c>
      <c r="AZ225" s="68" t="s">
        <v>995</v>
      </c>
      <c r="BA225" s="12" t="s">
        <v>996</v>
      </c>
      <c r="BC225" s="67">
        <f t="shared" si="317"/>
        <v>0</v>
      </c>
      <c r="BD225" s="67">
        <f t="shared" si="318"/>
        <v>0</v>
      </c>
      <c r="BE225" s="67">
        <v>0</v>
      </c>
      <c r="BF225" s="67">
        <f>225</f>
        <v>225</v>
      </c>
      <c r="BH225" s="10">
        <f t="shared" si="319"/>
        <v>0</v>
      </c>
      <c r="BI225" s="10">
        <f t="shared" si="320"/>
        <v>0</v>
      </c>
      <c r="BJ225" s="10">
        <f t="shared" si="321"/>
        <v>0</v>
      </c>
    </row>
    <row r="226" spans="1:62" ht="12.75">
      <c r="A226" s="3" t="s">
        <v>193</v>
      </c>
      <c r="B226" s="3" t="s">
        <v>402</v>
      </c>
      <c r="C226" s="143" t="s">
        <v>823</v>
      </c>
      <c r="D226" s="144"/>
      <c r="E226" s="144"/>
      <c r="F226" s="144"/>
      <c r="G226" s="144"/>
      <c r="H226" s="3" t="s">
        <v>856</v>
      </c>
      <c r="I226" s="10">
        <v>6.6</v>
      </c>
      <c r="J226" s="59">
        <v>0</v>
      </c>
      <c r="K226" s="10">
        <f t="shared" si="302"/>
        <v>0</v>
      </c>
      <c r="L226" s="16" t="s">
        <v>941</v>
      </c>
      <c r="Z226" s="67">
        <f t="shared" si="303"/>
        <v>0</v>
      </c>
      <c r="AB226" s="67">
        <f t="shared" si="304"/>
        <v>0</v>
      </c>
      <c r="AC226" s="67">
        <f t="shared" si="305"/>
        <v>0</v>
      </c>
      <c r="AD226" s="67">
        <f t="shared" si="306"/>
        <v>0</v>
      </c>
      <c r="AE226" s="67">
        <f t="shared" si="307"/>
        <v>0</v>
      </c>
      <c r="AF226" s="67">
        <f t="shared" si="308"/>
        <v>0</v>
      </c>
      <c r="AG226" s="67">
        <f t="shared" si="309"/>
        <v>0</v>
      </c>
      <c r="AH226" s="67">
        <f t="shared" si="310"/>
        <v>0</v>
      </c>
      <c r="AI226" s="12"/>
      <c r="AJ226" s="10">
        <f t="shared" si="311"/>
        <v>0</v>
      </c>
      <c r="AK226" s="10">
        <f t="shared" si="312"/>
        <v>0</v>
      </c>
      <c r="AL226" s="10">
        <f t="shared" si="313"/>
        <v>0</v>
      </c>
      <c r="AN226" s="67">
        <v>15</v>
      </c>
      <c r="AO226" s="67">
        <f>J226*0</f>
        <v>0</v>
      </c>
      <c r="AP226" s="67">
        <f>J226*(1-0)</f>
        <v>0</v>
      </c>
      <c r="AQ226" s="16" t="s">
        <v>6</v>
      </c>
      <c r="AV226" s="67">
        <f t="shared" si="314"/>
        <v>0</v>
      </c>
      <c r="AW226" s="67">
        <f t="shared" si="315"/>
        <v>0</v>
      </c>
      <c r="AX226" s="67">
        <f t="shared" si="316"/>
        <v>0</v>
      </c>
      <c r="AY226" s="68" t="s">
        <v>981</v>
      </c>
      <c r="AZ226" s="68" t="s">
        <v>995</v>
      </c>
      <c r="BA226" s="12" t="s">
        <v>996</v>
      </c>
      <c r="BC226" s="67">
        <f t="shared" si="317"/>
        <v>0</v>
      </c>
      <c r="BD226" s="67">
        <f t="shared" si="318"/>
        <v>0</v>
      </c>
      <c r="BE226" s="67">
        <v>0</v>
      </c>
      <c r="BF226" s="67">
        <f>226</f>
        <v>226</v>
      </c>
      <c r="BH226" s="10">
        <f t="shared" si="319"/>
        <v>0</v>
      </c>
      <c r="BI226" s="10">
        <f t="shared" si="320"/>
        <v>0</v>
      </c>
      <c r="BJ226" s="10">
        <f t="shared" si="321"/>
        <v>0</v>
      </c>
    </row>
    <row r="227" spans="1:47" ht="12.75">
      <c r="A227" s="50"/>
      <c r="B227" s="4" t="s">
        <v>403</v>
      </c>
      <c r="C227" s="145" t="s">
        <v>825</v>
      </c>
      <c r="D227" s="146"/>
      <c r="E227" s="146"/>
      <c r="F227" s="146"/>
      <c r="G227" s="146"/>
      <c r="H227" s="50" t="s">
        <v>927</v>
      </c>
      <c r="I227" s="50" t="s">
        <v>927</v>
      </c>
      <c r="J227" s="60" t="s">
        <v>927</v>
      </c>
      <c r="K227" s="70">
        <f>SUM(K228:K229)</f>
        <v>0</v>
      </c>
      <c r="L227" s="12"/>
      <c r="AI227" s="12"/>
      <c r="AS227" s="70">
        <f>SUM(AJ228:AJ229)</f>
        <v>0</v>
      </c>
      <c r="AT227" s="70">
        <f>SUM(AK228:AK229)</f>
        <v>0</v>
      </c>
      <c r="AU227" s="70">
        <f>SUM(AL228:AL229)</f>
        <v>0</v>
      </c>
    </row>
    <row r="228" spans="1:62" ht="12.75">
      <c r="A228" s="3" t="s">
        <v>194</v>
      </c>
      <c r="B228" s="3" t="s">
        <v>404</v>
      </c>
      <c r="C228" s="143" t="s">
        <v>826</v>
      </c>
      <c r="D228" s="144"/>
      <c r="E228" s="144"/>
      <c r="F228" s="144"/>
      <c r="G228" s="144"/>
      <c r="H228" s="3" t="s">
        <v>857</v>
      </c>
      <c r="I228" s="10">
        <v>270.54</v>
      </c>
      <c r="J228" s="59">
        <v>0</v>
      </c>
      <c r="K228" s="10">
        <f>I228*J228</f>
        <v>0</v>
      </c>
      <c r="L228" s="16" t="s">
        <v>942</v>
      </c>
      <c r="Z228" s="67">
        <f>IF(AQ228="5",BJ228,0)</f>
        <v>0</v>
      </c>
      <c r="AB228" s="67">
        <f>IF(AQ228="1",BH228,0)</f>
        <v>0</v>
      </c>
      <c r="AC228" s="67">
        <f>IF(AQ228="1",BI228,0)</f>
        <v>0</v>
      </c>
      <c r="AD228" s="67">
        <f>IF(AQ228="7",BH228,0)</f>
        <v>0</v>
      </c>
      <c r="AE228" s="67">
        <f>IF(AQ228="7",BI228,0)</f>
        <v>0</v>
      </c>
      <c r="AF228" s="67">
        <f>IF(AQ228="2",BH228,0)</f>
        <v>0</v>
      </c>
      <c r="AG228" s="67">
        <f>IF(AQ228="2",BI228,0)</f>
        <v>0</v>
      </c>
      <c r="AH228" s="67">
        <f>IF(AQ228="0",BJ228,0)</f>
        <v>0</v>
      </c>
      <c r="AI228" s="12"/>
      <c r="AJ228" s="10">
        <f>IF(AN228=0,K228,0)</f>
        <v>0</v>
      </c>
      <c r="AK228" s="10">
        <f>IF(AN228=15,K228,0)</f>
        <v>0</v>
      </c>
      <c r="AL228" s="10">
        <f>IF(AN228=21,K228,0)</f>
        <v>0</v>
      </c>
      <c r="AN228" s="67">
        <v>15</v>
      </c>
      <c r="AO228" s="67">
        <f>J228*0</f>
        <v>0</v>
      </c>
      <c r="AP228" s="67">
        <f>J228*(1-0)</f>
        <v>0</v>
      </c>
      <c r="AQ228" s="16" t="s">
        <v>10</v>
      </c>
      <c r="AV228" s="67">
        <f>AW228+AX228</f>
        <v>0</v>
      </c>
      <c r="AW228" s="67">
        <f>I228*AO228</f>
        <v>0</v>
      </c>
      <c r="AX228" s="67">
        <f>I228*AP228</f>
        <v>0</v>
      </c>
      <c r="AY228" s="68" t="s">
        <v>982</v>
      </c>
      <c r="AZ228" s="68" t="s">
        <v>995</v>
      </c>
      <c r="BA228" s="12" t="s">
        <v>996</v>
      </c>
      <c r="BC228" s="67">
        <f>AW228+AX228</f>
        <v>0</v>
      </c>
      <c r="BD228" s="67">
        <f>J228/(100-BE228)*100</f>
        <v>0</v>
      </c>
      <c r="BE228" s="67">
        <v>0</v>
      </c>
      <c r="BF228" s="67">
        <f>228</f>
        <v>228</v>
      </c>
      <c r="BH228" s="10">
        <f>I228*AO228</f>
        <v>0</v>
      </c>
      <c r="BI228" s="10">
        <f>I228*AP228</f>
        <v>0</v>
      </c>
      <c r="BJ228" s="10">
        <f>I228*J228</f>
        <v>0</v>
      </c>
    </row>
    <row r="229" spans="1:62" ht="12.75">
      <c r="A229" s="3" t="s">
        <v>195</v>
      </c>
      <c r="B229" s="3" t="s">
        <v>405</v>
      </c>
      <c r="C229" s="143" t="s">
        <v>828</v>
      </c>
      <c r="D229" s="144"/>
      <c r="E229" s="144"/>
      <c r="F229" s="144"/>
      <c r="G229" s="144"/>
      <c r="H229" s="3" t="s">
        <v>859</v>
      </c>
      <c r="I229" s="10">
        <v>2691.06</v>
      </c>
      <c r="J229" s="59">
        <v>0</v>
      </c>
      <c r="K229" s="10">
        <f>I229*J229</f>
        <v>0</v>
      </c>
      <c r="L229" s="16" t="s">
        <v>941</v>
      </c>
      <c r="Z229" s="67">
        <f>IF(AQ229="5",BJ229,0)</f>
        <v>0</v>
      </c>
      <c r="AB229" s="67">
        <f>IF(AQ229="1",BH229,0)</f>
        <v>0</v>
      </c>
      <c r="AC229" s="67">
        <f>IF(AQ229="1",BI229,0)</f>
        <v>0</v>
      </c>
      <c r="AD229" s="67">
        <f>IF(AQ229="7",BH229,0)</f>
        <v>0</v>
      </c>
      <c r="AE229" s="67">
        <f>IF(AQ229="7",BI229,0)</f>
        <v>0</v>
      </c>
      <c r="AF229" s="67">
        <f>IF(AQ229="2",BH229,0)</f>
        <v>0</v>
      </c>
      <c r="AG229" s="67">
        <f>IF(AQ229="2",BI229,0)</f>
        <v>0</v>
      </c>
      <c r="AH229" s="67">
        <f>IF(AQ229="0",BJ229,0)</f>
        <v>0</v>
      </c>
      <c r="AI229" s="12"/>
      <c r="AJ229" s="10">
        <f>IF(AN229=0,K229,0)</f>
        <v>0</v>
      </c>
      <c r="AK229" s="10">
        <f>IF(AN229=15,K229,0)</f>
        <v>0</v>
      </c>
      <c r="AL229" s="10">
        <f>IF(AN229=21,K229,0)</f>
        <v>0</v>
      </c>
      <c r="AN229" s="67">
        <v>15</v>
      </c>
      <c r="AO229" s="67">
        <f>J229*0</f>
        <v>0</v>
      </c>
      <c r="AP229" s="67">
        <f>J229*(1-0)</f>
        <v>0</v>
      </c>
      <c r="AQ229" s="16" t="s">
        <v>10</v>
      </c>
      <c r="AV229" s="67">
        <f>AW229+AX229</f>
        <v>0</v>
      </c>
      <c r="AW229" s="67">
        <f>I229*AO229</f>
        <v>0</v>
      </c>
      <c r="AX229" s="67">
        <f>I229*AP229</f>
        <v>0</v>
      </c>
      <c r="AY229" s="68" t="s">
        <v>982</v>
      </c>
      <c r="AZ229" s="68" t="s">
        <v>995</v>
      </c>
      <c r="BA229" s="12" t="s">
        <v>996</v>
      </c>
      <c r="BC229" s="67">
        <f>AW229+AX229</f>
        <v>0</v>
      </c>
      <c r="BD229" s="67">
        <f>J229/(100-BE229)*100</f>
        <v>0</v>
      </c>
      <c r="BE229" s="67">
        <v>0</v>
      </c>
      <c r="BF229" s="67">
        <f>229</f>
        <v>229</v>
      </c>
      <c r="BH229" s="10">
        <f>I229*AO229</f>
        <v>0</v>
      </c>
      <c r="BI229" s="10">
        <f>I229*AP229</f>
        <v>0</v>
      </c>
      <c r="BJ229" s="10">
        <f>I229*J229</f>
        <v>0</v>
      </c>
    </row>
    <row r="230" spans="1:47" ht="12.75">
      <c r="A230" s="50"/>
      <c r="B230" s="4" t="s">
        <v>406</v>
      </c>
      <c r="C230" s="145" t="s">
        <v>830</v>
      </c>
      <c r="D230" s="146"/>
      <c r="E230" s="146"/>
      <c r="F230" s="146"/>
      <c r="G230" s="146"/>
      <c r="H230" s="50" t="s">
        <v>927</v>
      </c>
      <c r="I230" s="50" t="s">
        <v>927</v>
      </c>
      <c r="J230" s="60" t="s">
        <v>927</v>
      </c>
      <c r="K230" s="70">
        <f>SUM(K231:K232)</f>
        <v>0</v>
      </c>
      <c r="L230" s="12"/>
      <c r="AI230" s="12"/>
      <c r="AS230" s="70">
        <f>SUM(AJ231:AJ232)</f>
        <v>0</v>
      </c>
      <c r="AT230" s="70">
        <f>SUM(AK231:AK232)</f>
        <v>0</v>
      </c>
      <c r="AU230" s="70">
        <f>SUM(AL231:AL232)</f>
        <v>0</v>
      </c>
    </row>
    <row r="231" spans="1:62" ht="12.75">
      <c r="A231" s="3" t="s">
        <v>196</v>
      </c>
      <c r="B231" s="3" t="s">
        <v>407</v>
      </c>
      <c r="C231" s="143" t="s">
        <v>831</v>
      </c>
      <c r="D231" s="144"/>
      <c r="E231" s="144"/>
      <c r="F231" s="144"/>
      <c r="G231" s="144"/>
      <c r="H231" s="3" t="s">
        <v>860</v>
      </c>
      <c r="I231" s="10">
        <v>1</v>
      </c>
      <c r="J231" s="59">
        <v>0</v>
      </c>
      <c r="K231" s="10">
        <f>I231*J231</f>
        <v>0</v>
      </c>
      <c r="L231" s="16" t="s">
        <v>943</v>
      </c>
      <c r="Z231" s="67">
        <f>IF(AQ231="5",BJ231,0)</f>
        <v>0</v>
      </c>
      <c r="AB231" s="67">
        <f>IF(AQ231="1",BH231,0)</f>
        <v>0</v>
      </c>
      <c r="AC231" s="67">
        <f>IF(AQ231="1",BI231,0)</f>
        <v>0</v>
      </c>
      <c r="AD231" s="67">
        <f>IF(AQ231="7",BH231,0)</f>
        <v>0</v>
      </c>
      <c r="AE231" s="67">
        <f>IF(AQ231="7",BI231,0)</f>
        <v>0</v>
      </c>
      <c r="AF231" s="67">
        <f>IF(AQ231="2",BH231,0)</f>
        <v>0</v>
      </c>
      <c r="AG231" s="67">
        <f>IF(AQ231="2",BI231,0)</f>
        <v>0</v>
      </c>
      <c r="AH231" s="67">
        <f>IF(AQ231="0",BJ231,0)</f>
        <v>0</v>
      </c>
      <c r="AI231" s="12"/>
      <c r="AJ231" s="10">
        <f>IF(AN231=0,K231,0)</f>
        <v>0</v>
      </c>
      <c r="AK231" s="10">
        <f>IF(AN231=15,K231,0)</f>
        <v>0</v>
      </c>
      <c r="AL231" s="10">
        <f>IF(AN231=21,K231,0)</f>
        <v>0</v>
      </c>
      <c r="AN231" s="67">
        <v>15</v>
      </c>
      <c r="AO231" s="67">
        <f>J231*0</f>
        <v>0</v>
      </c>
      <c r="AP231" s="67">
        <f>J231*(1-0)</f>
        <v>0</v>
      </c>
      <c r="AQ231" s="16" t="s">
        <v>7</v>
      </c>
      <c r="AV231" s="67">
        <f>AW231+AX231</f>
        <v>0</v>
      </c>
      <c r="AW231" s="67">
        <f>I231*AO231</f>
        <v>0</v>
      </c>
      <c r="AX231" s="67">
        <f>I231*AP231</f>
        <v>0</v>
      </c>
      <c r="AY231" s="68" t="s">
        <v>983</v>
      </c>
      <c r="AZ231" s="68" t="s">
        <v>995</v>
      </c>
      <c r="BA231" s="12" t="s">
        <v>996</v>
      </c>
      <c r="BC231" s="67">
        <f>AW231+AX231</f>
        <v>0</v>
      </c>
      <c r="BD231" s="67">
        <f>J231/(100-BE231)*100</f>
        <v>0</v>
      </c>
      <c r="BE231" s="67">
        <v>0</v>
      </c>
      <c r="BF231" s="67">
        <f>231</f>
        <v>231</v>
      </c>
      <c r="BH231" s="10">
        <f>I231*AO231</f>
        <v>0</v>
      </c>
      <c r="BI231" s="10">
        <f>I231*AP231</f>
        <v>0</v>
      </c>
      <c r="BJ231" s="10">
        <f>I231*J231</f>
        <v>0</v>
      </c>
    </row>
    <row r="232" spans="1:62" ht="12.75">
      <c r="A232" s="5" t="s">
        <v>197</v>
      </c>
      <c r="B232" s="5" t="s">
        <v>408</v>
      </c>
      <c r="C232" s="147" t="s">
        <v>1024</v>
      </c>
      <c r="D232" s="148"/>
      <c r="E232" s="148"/>
      <c r="F232" s="148"/>
      <c r="G232" s="148"/>
      <c r="H232" s="5" t="s">
        <v>854</v>
      </c>
      <c r="I232" s="13">
        <v>6</v>
      </c>
      <c r="J232" s="61">
        <v>0</v>
      </c>
      <c r="K232" s="13">
        <f>I232*J232</f>
        <v>0</v>
      </c>
      <c r="L232" s="17" t="s">
        <v>941</v>
      </c>
      <c r="Z232" s="67">
        <f>IF(AQ232="5",BJ232,0)</f>
        <v>0</v>
      </c>
      <c r="AB232" s="67">
        <f>IF(AQ232="1",BH232,0)</f>
        <v>0</v>
      </c>
      <c r="AC232" s="67">
        <f>IF(AQ232="1",BI232,0)</f>
        <v>0</v>
      </c>
      <c r="AD232" s="67">
        <f>IF(AQ232="7",BH232,0)</f>
        <v>0</v>
      </c>
      <c r="AE232" s="67">
        <f>IF(AQ232="7",BI232,0)</f>
        <v>0</v>
      </c>
      <c r="AF232" s="67">
        <f>IF(AQ232="2",BH232,0)</f>
        <v>0</v>
      </c>
      <c r="AG232" s="67">
        <f>IF(AQ232="2",BI232,0)</f>
        <v>0</v>
      </c>
      <c r="AH232" s="67">
        <f>IF(AQ232="0",BJ232,0)</f>
        <v>0</v>
      </c>
      <c r="AI232" s="12"/>
      <c r="AJ232" s="13">
        <f>IF(AN232=0,K232,0)</f>
        <v>0</v>
      </c>
      <c r="AK232" s="13">
        <f>IF(AN232=15,K232,0)</f>
        <v>0</v>
      </c>
      <c r="AL232" s="13">
        <f>IF(AN232=21,K232,0)</f>
        <v>0</v>
      </c>
      <c r="AN232" s="67">
        <v>15</v>
      </c>
      <c r="AO232" s="67">
        <f>J232*1</f>
        <v>0</v>
      </c>
      <c r="AP232" s="67">
        <f>J232*(1-1)</f>
        <v>0</v>
      </c>
      <c r="AQ232" s="17" t="s">
        <v>6</v>
      </c>
      <c r="AV232" s="67">
        <f>AW232+AX232</f>
        <v>0</v>
      </c>
      <c r="AW232" s="67">
        <f>I232*AO232</f>
        <v>0</v>
      </c>
      <c r="AX232" s="67">
        <f>I232*AP232</f>
        <v>0</v>
      </c>
      <c r="AY232" s="68" t="s">
        <v>983</v>
      </c>
      <c r="AZ232" s="68" t="s">
        <v>995</v>
      </c>
      <c r="BA232" s="12" t="s">
        <v>996</v>
      </c>
      <c r="BC232" s="67">
        <f>AW232+AX232</f>
        <v>0</v>
      </c>
      <c r="BD232" s="67">
        <f>J232/(100-BE232)*100</f>
        <v>0</v>
      </c>
      <c r="BE232" s="67">
        <v>0</v>
      </c>
      <c r="BF232" s="67">
        <f>232</f>
        <v>232</v>
      </c>
      <c r="BH232" s="13">
        <f>I232*AO232</f>
        <v>0</v>
      </c>
      <c r="BI232" s="13">
        <f>I232*AP232</f>
        <v>0</v>
      </c>
      <c r="BJ232" s="13">
        <f>I232*J232</f>
        <v>0</v>
      </c>
    </row>
    <row r="233" spans="1:47" ht="12.75">
      <c r="A233" s="50"/>
      <c r="B233" s="4" t="s">
        <v>409</v>
      </c>
      <c r="C233" s="145" t="s">
        <v>833</v>
      </c>
      <c r="D233" s="146"/>
      <c r="E233" s="146"/>
      <c r="F233" s="146"/>
      <c r="G233" s="146"/>
      <c r="H233" s="50" t="s">
        <v>927</v>
      </c>
      <c r="I233" s="50" t="s">
        <v>927</v>
      </c>
      <c r="J233" s="60" t="s">
        <v>927</v>
      </c>
      <c r="K233" s="70">
        <f>SUM(K234:K239)</f>
        <v>0</v>
      </c>
      <c r="L233" s="12"/>
      <c r="AI233" s="12"/>
      <c r="AS233" s="70">
        <f>SUM(AJ234:AJ239)</f>
        <v>0</v>
      </c>
      <c r="AT233" s="70">
        <f>SUM(AK234:AK239)</f>
        <v>0</v>
      </c>
      <c r="AU233" s="70">
        <f>SUM(AL234:AL239)</f>
        <v>0</v>
      </c>
    </row>
    <row r="234" spans="1:62" ht="12.75">
      <c r="A234" s="3" t="s">
        <v>198</v>
      </c>
      <c r="B234" s="3" t="s">
        <v>410</v>
      </c>
      <c r="C234" s="143" t="s">
        <v>834</v>
      </c>
      <c r="D234" s="144"/>
      <c r="E234" s="144"/>
      <c r="F234" s="144"/>
      <c r="G234" s="144"/>
      <c r="H234" s="3" t="s">
        <v>857</v>
      </c>
      <c r="I234" s="10">
        <v>94</v>
      </c>
      <c r="J234" s="59">
        <v>0</v>
      </c>
      <c r="K234" s="10">
        <f aca="true" t="shared" si="322" ref="K234:K239">I234*J234</f>
        <v>0</v>
      </c>
      <c r="L234" s="16" t="s">
        <v>941</v>
      </c>
      <c r="Z234" s="67">
        <f aca="true" t="shared" si="323" ref="Z234:Z239">IF(AQ234="5",BJ234,0)</f>
        <v>0</v>
      </c>
      <c r="AB234" s="67">
        <f aca="true" t="shared" si="324" ref="AB234:AB239">IF(AQ234="1",BH234,0)</f>
        <v>0</v>
      </c>
      <c r="AC234" s="67">
        <f aca="true" t="shared" si="325" ref="AC234:AC239">IF(AQ234="1",BI234,0)</f>
        <v>0</v>
      </c>
      <c r="AD234" s="67">
        <f aca="true" t="shared" si="326" ref="AD234:AD239">IF(AQ234="7",BH234,0)</f>
        <v>0</v>
      </c>
      <c r="AE234" s="67">
        <f aca="true" t="shared" si="327" ref="AE234:AE239">IF(AQ234="7",BI234,0)</f>
        <v>0</v>
      </c>
      <c r="AF234" s="67">
        <f aca="true" t="shared" si="328" ref="AF234:AF239">IF(AQ234="2",BH234,0)</f>
        <v>0</v>
      </c>
      <c r="AG234" s="67">
        <f aca="true" t="shared" si="329" ref="AG234:AG239">IF(AQ234="2",BI234,0)</f>
        <v>0</v>
      </c>
      <c r="AH234" s="67">
        <f aca="true" t="shared" si="330" ref="AH234:AH239">IF(AQ234="0",BJ234,0)</f>
        <v>0</v>
      </c>
      <c r="AI234" s="12"/>
      <c r="AJ234" s="10">
        <f aca="true" t="shared" si="331" ref="AJ234:AJ239">IF(AN234=0,K234,0)</f>
        <v>0</v>
      </c>
      <c r="AK234" s="10">
        <f aca="true" t="shared" si="332" ref="AK234:AK239">IF(AN234=15,K234,0)</f>
        <v>0</v>
      </c>
      <c r="AL234" s="10">
        <f aca="true" t="shared" si="333" ref="AL234:AL239">IF(AN234=21,K234,0)</f>
        <v>0</v>
      </c>
      <c r="AN234" s="67">
        <v>15</v>
      </c>
      <c r="AO234" s="67">
        <f aca="true" t="shared" si="334" ref="AO234:AO239">J234*0</f>
        <v>0</v>
      </c>
      <c r="AP234" s="67">
        <f aca="true" t="shared" si="335" ref="AP234:AP239">J234*(1-0)</f>
        <v>0</v>
      </c>
      <c r="AQ234" s="16" t="s">
        <v>10</v>
      </c>
      <c r="AV234" s="67">
        <f aca="true" t="shared" si="336" ref="AV234:AV239">AW234+AX234</f>
        <v>0</v>
      </c>
      <c r="AW234" s="67">
        <f aca="true" t="shared" si="337" ref="AW234:AW239">I234*AO234</f>
        <v>0</v>
      </c>
      <c r="AX234" s="67">
        <f aca="true" t="shared" si="338" ref="AX234:AX239">I234*AP234</f>
        <v>0</v>
      </c>
      <c r="AY234" s="68" t="s">
        <v>984</v>
      </c>
      <c r="AZ234" s="68" t="s">
        <v>995</v>
      </c>
      <c r="BA234" s="12" t="s">
        <v>996</v>
      </c>
      <c r="BC234" s="67">
        <f aca="true" t="shared" si="339" ref="BC234:BC239">AW234+AX234</f>
        <v>0</v>
      </c>
      <c r="BD234" s="67">
        <f aca="true" t="shared" si="340" ref="BD234:BD239">J234/(100-BE234)*100</f>
        <v>0</v>
      </c>
      <c r="BE234" s="67">
        <v>0</v>
      </c>
      <c r="BF234" s="67">
        <f>234</f>
        <v>234</v>
      </c>
      <c r="BH234" s="10">
        <f aca="true" t="shared" si="341" ref="BH234:BH239">I234*AO234</f>
        <v>0</v>
      </c>
      <c r="BI234" s="10">
        <f aca="true" t="shared" si="342" ref="BI234:BI239">I234*AP234</f>
        <v>0</v>
      </c>
      <c r="BJ234" s="10">
        <f aca="true" t="shared" si="343" ref="BJ234:BJ239">I234*J234</f>
        <v>0</v>
      </c>
    </row>
    <row r="235" spans="1:62" ht="12.75">
      <c r="A235" s="3" t="s">
        <v>199</v>
      </c>
      <c r="B235" s="3" t="s">
        <v>411</v>
      </c>
      <c r="C235" s="143" t="s">
        <v>836</v>
      </c>
      <c r="D235" s="144"/>
      <c r="E235" s="144"/>
      <c r="F235" s="144"/>
      <c r="G235" s="144"/>
      <c r="H235" s="3" t="s">
        <v>857</v>
      </c>
      <c r="I235" s="10">
        <v>846</v>
      </c>
      <c r="J235" s="59">
        <v>0</v>
      </c>
      <c r="K235" s="10">
        <f t="shared" si="322"/>
        <v>0</v>
      </c>
      <c r="L235" s="16" t="s">
        <v>942</v>
      </c>
      <c r="Z235" s="67">
        <f t="shared" si="323"/>
        <v>0</v>
      </c>
      <c r="AB235" s="67">
        <f t="shared" si="324"/>
        <v>0</v>
      </c>
      <c r="AC235" s="67">
        <f t="shared" si="325"/>
        <v>0</v>
      </c>
      <c r="AD235" s="67">
        <f t="shared" si="326"/>
        <v>0</v>
      </c>
      <c r="AE235" s="67">
        <f t="shared" si="327"/>
        <v>0</v>
      </c>
      <c r="AF235" s="67">
        <f t="shared" si="328"/>
        <v>0</v>
      </c>
      <c r="AG235" s="67">
        <f t="shared" si="329"/>
        <v>0</v>
      </c>
      <c r="AH235" s="67">
        <f t="shared" si="330"/>
        <v>0</v>
      </c>
      <c r="AI235" s="12"/>
      <c r="AJ235" s="10">
        <f t="shared" si="331"/>
        <v>0</v>
      </c>
      <c r="AK235" s="10">
        <f t="shared" si="332"/>
        <v>0</v>
      </c>
      <c r="AL235" s="10">
        <f t="shared" si="333"/>
        <v>0</v>
      </c>
      <c r="AN235" s="67">
        <v>15</v>
      </c>
      <c r="AO235" s="67">
        <f t="shared" si="334"/>
        <v>0</v>
      </c>
      <c r="AP235" s="67">
        <f t="shared" si="335"/>
        <v>0</v>
      </c>
      <c r="AQ235" s="16" t="s">
        <v>10</v>
      </c>
      <c r="AV235" s="67">
        <f t="shared" si="336"/>
        <v>0</v>
      </c>
      <c r="AW235" s="67">
        <f t="shared" si="337"/>
        <v>0</v>
      </c>
      <c r="AX235" s="67">
        <f t="shared" si="338"/>
        <v>0</v>
      </c>
      <c r="AY235" s="68" t="s">
        <v>984</v>
      </c>
      <c r="AZ235" s="68" t="s">
        <v>995</v>
      </c>
      <c r="BA235" s="12" t="s">
        <v>996</v>
      </c>
      <c r="BC235" s="67">
        <f t="shared" si="339"/>
        <v>0</v>
      </c>
      <c r="BD235" s="67">
        <f t="shared" si="340"/>
        <v>0</v>
      </c>
      <c r="BE235" s="67">
        <v>0</v>
      </c>
      <c r="BF235" s="67">
        <f>235</f>
        <v>235</v>
      </c>
      <c r="BH235" s="10">
        <f t="shared" si="341"/>
        <v>0</v>
      </c>
      <c r="BI235" s="10">
        <f t="shared" si="342"/>
        <v>0</v>
      </c>
      <c r="BJ235" s="10">
        <f t="shared" si="343"/>
        <v>0</v>
      </c>
    </row>
    <row r="236" spans="1:62" ht="12.75">
      <c r="A236" s="3" t="s">
        <v>200</v>
      </c>
      <c r="B236" s="3" t="s">
        <v>412</v>
      </c>
      <c r="C236" s="143" t="s">
        <v>838</v>
      </c>
      <c r="D236" s="144"/>
      <c r="E236" s="144"/>
      <c r="F236" s="144"/>
      <c r="G236" s="144"/>
      <c r="H236" s="3" t="s">
        <v>857</v>
      </c>
      <c r="I236" s="10">
        <v>94</v>
      </c>
      <c r="J236" s="59">
        <v>0</v>
      </c>
      <c r="K236" s="10">
        <f t="shared" si="322"/>
        <v>0</v>
      </c>
      <c r="L236" s="16" t="s">
        <v>942</v>
      </c>
      <c r="Z236" s="67">
        <f t="shared" si="323"/>
        <v>0</v>
      </c>
      <c r="AB236" s="67">
        <f t="shared" si="324"/>
        <v>0</v>
      </c>
      <c r="AC236" s="67">
        <f t="shared" si="325"/>
        <v>0</v>
      </c>
      <c r="AD236" s="67">
        <f t="shared" si="326"/>
        <v>0</v>
      </c>
      <c r="AE236" s="67">
        <f t="shared" si="327"/>
        <v>0</v>
      </c>
      <c r="AF236" s="67">
        <f t="shared" si="328"/>
        <v>0</v>
      </c>
      <c r="AG236" s="67">
        <f t="shared" si="329"/>
        <v>0</v>
      </c>
      <c r="AH236" s="67">
        <f t="shared" si="330"/>
        <v>0</v>
      </c>
      <c r="AI236" s="12"/>
      <c r="AJ236" s="10">
        <f t="shared" si="331"/>
        <v>0</v>
      </c>
      <c r="AK236" s="10">
        <f t="shared" si="332"/>
        <v>0</v>
      </c>
      <c r="AL236" s="10">
        <f t="shared" si="333"/>
        <v>0</v>
      </c>
      <c r="AN236" s="67">
        <v>15</v>
      </c>
      <c r="AO236" s="67">
        <f t="shared" si="334"/>
        <v>0</v>
      </c>
      <c r="AP236" s="67">
        <f t="shared" si="335"/>
        <v>0</v>
      </c>
      <c r="AQ236" s="16" t="s">
        <v>10</v>
      </c>
      <c r="AV236" s="67">
        <f t="shared" si="336"/>
        <v>0</v>
      </c>
      <c r="AW236" s="67">
        <f t="shared" si="337"/>
        <v>0</v>
      </c>
      <c r="AX236" s="67">
        <f t="shared" si="338"/>
        <v>0</v>
      </c>
      <c r="AY236" s="68" t="s">
        <v>984</v>
      </c>
      <c r="AZ236" s="68" t="s">
        <v>995</v>
      </c>
      <c r="BA236" s="12" t="s">
        <v>996</v>
      </c>
      <c r="BC236" s="67">
        <f t="shared" si="339"/>
        <v>0</v>
      </c>
      <c r="BD236" s="67">
        <f t="shared" si="340"/>
        <v>0</v>
      </c>
      <c r="BE236" s="67">
        <v>0</v>
      </c>
      <c r="BF236" s="67">
        <f>236</f>
        <v>236</v>
      </c>
      <c r="BH236" s="10">
        <f t="shared" si="341"/>
        <v>0</v>
      </c>
      <c r="BI236" s="10">
        <f t="shared" si="342"/>
        <v>0</v>
      </c>
      <c r="BJ236" s="10">
        <f t="shared" si="343"/>
        <v>0</v>
      </c>
    </row>
    <row r="237" spans="1:62" ht="12.75">
      <c r="A237" s="3" t="s">
        <v>201</v>
      </c>
      <c r="B237" s="3" t="s">
        <v>413</v>
      </c>
      <c r="C237" s="143" t="s">
        <v>840</v>
      </c>
      <c r="D237" s="144"/>
      <c r="E237" s="144"/>
      <c r="F237" s="144"/>
      <c r="G237" s="144"/>
      <c r="H237" s="3" t="s">
        <v>857</v>
      </c>
      <c r="I237" s="10">
        <v>58.64</v>
      </c>
      <c r="J237" s="59">
        <v>0</v>
      </c>
      <c r="K237" s="10">
        <f t="shared" si="322"/>
        <v>0</v>
      </c>
      <c r="L237" s="16" t="s">
        <v>941</v>
      </c>
      <c r="Z237" s="67">
        <f t="shared" si="323"/>
        <v>0</v>
      </c>
      <c r="AB237" s="67">
        <f t="shared" si="324"/>
        <v>0</v>
      </c>
      <c r="AC237" s="67">
        <f t="shared" si="325"/>
        <v>0</v>
      </c>
      <c r="AD237" s="67">
        <f t="shared" si="326"/>
        <v>0</v>
      </c>
      <c r="AE237" s="67">
        <f t="shared" si="327"/>
        <v>0</v>
      </c>
      <c r="AF237" s="67">
        <f t="shared" si="328"/>
        <v>0</v>
      </c>
      <c r="AG237" s="67">
        <f t="shared" si="329"/>
        <v>0</v>
      </c>
      <c r="AH237" s="67">
        <f t="shared" si="330"/>
        <v>0</v>
      </c>
      <c r="AI237" s="12"/>
      <c r="AJ237" s="10">
        <f t="shared" si="331"/>
        <v>0</v>
      </c>
      <c r="AK237" s="10">
        <f t="shared" si="332"/>
        <v>0</v>
      </c>
      <c r="AL237" s="10">
        <f t="shared" si="333"/>
        <v>0</v>
      </c>
      <c r="AN237" s="67">
        <v>15</v>
      </c>
      <c r="AO237" s="67">
        <f t="shared" si="334"/>
        <v>0</v>
      </c>
      <c r="AP237" s="67">
        <f t="shared" si="335"/>
        <v>0</v>
      </c>
      <c r="AQ237" s="16" t="s">
        <v>10</v>
      </c>
      <c r="AV237" s="67">
        <f t="shared" si="336"/>
        <v>0</v>
      </c>
      <c r="AW237" s="67">
        <f t="shared" si="337"/>
        <v>0</v>
      </c>
      <c r="AX237" s="67">
        <f t="shared" si="338"/>
        <v>0</v>
      </c>
      <c r="AY237" s="68" t="s">
        <v>984</v>
      </c>
      <c r="AZ237" s="68" t="s">
        <v>995</v>
      </c>
      <c r="BA237" s="12" t="s">
        <v>996</v>
      </c>
      <c r="BC237" s="67">
        <f t="shared" si="339"/>
        <v>0</v>
      </c>
      <c r="BD237" s="67">
        <f t="shared" si="340"/>
        <v>0</v>
      </c>
      <c r="BE237" s="67">
        <v>0</v>
      </c>
      <c r="BF237" s="67">
        <f>237</f>
        <v>237</v>
      </c>
      <c r="BH237" s="10">
        <f t="shared" si="341"/>
        <v>0</v>
      </c>
      <c r="BI237" s="10">
        <f t="shared" si="342"/>
        <v>0</v>
      </c>
      <c r="BJ237" s="10">
        <f t="shared" si="343"/>
        <v>0</v>
      </c>
    </row>
    <row r="238" spans="1:62" ht="12.75">
      <c r="A238" s="3" t="s">
        <v>202</v>
      </c>
      <c r="B238" s="3" t="s">
        <v>414</v>
      </c>
      <c r="C238" s="143" t="s">
        <v>842</v>
      </c>
      <c r="D238" s="144"/>
      <c r="E238" s="144"/>
      <c r="F238" s="144"/>
      <c r="G238" s="144"/>
      <c r="H238" s="3" t="s">
        <v>857</v>
      </c>
      <c r="I238" s="10">
        <v>35.36</v>
      </c>
      <c r="J238" s="59">
        <v>0</v>
      </c>
      <c r="K238" s="10">
        <f t="shared" si="322"/>
        <v>0</v>
      </c>
      <c r="L238" s="16" t="s">
        <v>942</v>
      </c>
      <c r="Z238" s="67">
        <f t="shared" si="323"/>
        <v>0</v>
      </c>
      <c r="AB238" s="67">
        <f t="shared" si="324"/>
        <v>0</v>
      </c>
      <c r="AC238" s="67">
        <f t="shared" si="325"/>
        <v>0</v>
      </c>
      <c r="AD238" s="67">
        <f t="shared" si="326"/>
        <v>0</v>
      </c>
      <c r="AE238" s="67">
        <f t="shared" si="327"/>
        <v>0</v>
      </c>
      <c r="AF238" s="67">
        <f t="shared" si="328"/>
        <v>0</v>
      </c>
      <c r="AG238" s="67">
        <f t="shared" si="329"/>
        <v>0</v>
      </c>
      <c r="AH238" s="67">
        <f t="shared" si="330"/>
        <v>0</v>
      </c>
      <c r="AI238" s="12"/>
      <c r="AJ238" s="10">
        <f t="shared" si="331"/>
        <v>0</v>
      </c>
      <c r="AK238" s="10">
        <f t="shared" si="332"/>
        <v>0</v>
      </c>
      <c r="AL238" s="10">
        <f t="shared" si="333"/>
        <v>0</v>
      </c>
      <c r="AN238" s="67">
        <v>15</v>
      </c>
      <c r="AO238" s="67">
        <f t="shared" si="334"/>
        <v>0</v>
      </c>
      <c r="AP238" s="67">
        <f t="shared" si="335"/>
        <v>0</v>
      </c>
      <c r="AQ238" s="16" t="s">
        <v>10</v>
      </c>
      <c r="AV238" s="67">
        <f t="shared" si="336"/>
        <v>0</v>
      </c>
      <c r="AW238" s="67">
        <f t="shared" si="337"/>
        <v>0</v>
      </c>
      <c r="AX238" s="67">
        <f t="shared" si="338"/>
        <v>0</v>
      </c>
      <c r="AY238" s="68" t="s">
        <v>984</v>
      </c>
      <c r="AZ238" s="68" t="s">
        <v>995</v>
      </c>
      <c r="BA238" s="12" t="s">
        <v>996</v>
      </c>
      <c r="BC238" s="67">
        <f t="shared" si="339"/>
        <v>0</v>
      </c>
      <c r="BD238" s="67">
        <f t="shared" si="340"/>
        <v>0</v>
      </c>
      <c r="BE238" s="67">
        <v>0</v>
      </c>
      <c r="BF238" s="67">
        <f>238</f>
        <v>238</v>
      </c>
      <c r="BH238" s="10">
        <f t="shared" si="341"/>
        <v>0</v>
      </c>
      <c r="BI238" s="10">
        <f t="shared" si="342"/>
        <v>0</v>
      </c>
      <c r="BJ238" s="10">
        <f t="shared" si="343"/>
        <v>0</v>
      </c>
    </row>
    <row r="239" spans="1:62" ht="12.75">
      <c r="A239" s="51" t="s">
        <v>914</v>
      </c>
      <c r="B239" s="51" t="s">
        <v>415</v>
      </c>
      <c r="C239" s="151" t="s">
        <v>844</v>
      </c>
      <c r="D239" s="152"/>
      <c r="E239" s="152"/>
      <c r="F239" s="152"/>
      <c r="G239" s="152"/>
      <c r="H239" s="51" t="s">
        <v>857</v>
      </c>
      <c r="I239" s="55">
        <v>5.42</v>
      </c>
      <c r="J239" s="62">
        <v>0</v>
      </c>
      <c r="K239" s="55">
        <f t="shared" si="322"/>
        <v>0</v>
      </c>
      <c r="L239" s="66" t="s">
        <v>945</v>
      </c>
      <c r="Z239" s="67">
        <f t="shared" si="323"/>
        <v>0</v>
      </c>
      <c r="AB239" s="67">
        <f t="shared" si="324"/>
        <v>0</v>
      </c>
      <c r="AC239" s="67">
        <f t="shared" si="325"/>
        <v>0</v>
      </c>
      <c r="AD239" s="67">
        <f t="shared" si="326"/>
        <v>0</v>
      </c>
      <c r="AE239" s="67">
        <f t="shared" si="327"/>
        <v>0</v>
      </c>
      <c r="AF239" s="67">
        <f t="shared" si="328"/>
        <v>0</v>
      </c>
      <c r="AG239" s="67">
        <f t="shared" si="329"/>
        <v>0</v>
      </c>
      <c r="AH239" s="67">
        <f t="shared" si="330"/>
        <v>0</v>
      </c>
      <c r="AI239" s="12"/>
      <c r="AJ239" s="10">
        <f t="shared" si="331"/>
        <v>0</v>
      </c>
      <c r="AK239" s="10">
        <f t="shared" si="332"/>
        <v>0</v>
      </c>
      <c r="AL239" s="10">
        <f t="shared" si="333"/>
        <v>0</v>
      </c>
      <c r="AN239" s="67">
        <v>15</v>
      </c>
      <c r="AO239" s="67">
        <f t="shared" si="334"/>
        <v>0</v>
      </c>
      <c r="AP239" s="67">
        <f t="shared" si="335"/>
        <v>0</v>
      </c>
      <c r="AQ239" s="16" t="s">
        <v>10</v>
      </c>
      <c r="AV239" s="67">
        <f t="shared" si="336"/>
        <v>0</v>
      </c>
      <c r="AW239" s="67">
        <f t="shared" si="337"/>
        <v>0</v>
      </c>
      <c r="AX239" s="67">
        <f t="shared" si="338"/>
        <v>0</v>
      </c>
      <c r="AY239" s="68" t="s">
        <v>984</v>
      </c>
      <c r="AZ239" s="68" t="s">
        <v>995</v>
      </c>
      <c r="BA239" s="12" t="s">
        <v>996</v>
      </c>
      <c r="BC239" s="67">
        <f t="shared" si="339"/>
        <v>0</v>
      </c>
      <c r="BD239" s="67">
        <f t="shared" si="340"/>
        <v>0</v>
      </c>
      <c r="BE239" s="67">
        <v>0</v>
      </c>
      <c r="BF239" s="67">
        <f>239</f>
        <v>239</v>
      </c>
      <c r="BH239" s="10">
        <f t="shared" si="341"/>
        <v>0</v>
      </c>
      <c r="BI239" s="10">
        <f t="shared" si="342"/>
        <v>0</v>
      </c>
      <c r="BJ239" s="10">
        <f t="shared" si="343"/>
        <v>0</v>
      </c>
    </row>
    <row r="240" spans="1:12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71">
        <f>ROUND(K12+K14+K19+K21+K25+K29+K48+K52+K75+K82+K92+K104+K111+K115+K128+K144+K149+K157+K168+K171+K179+K187+K196+K204+K206+K212+K220+K227+K230+K233,0)</f>
        <v>0</v>
      </c>
      <c r="L240" s="24"/>
    </row>
    <row r="241" ht="11.25" customHeight="1">
      <c r="A241" s="6" t="s">
        <v>203</v>
      </c>
    </row>
    <row r="242" spans="1:12" ht="12.75">
      <c r="A242" s="93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</row>
  </sheetData>
  <sheetProtection password="CCF3" sheet="1" objects="1" scenarios="1"/>
  <protectedRanges>
    <protectedRange sqref="H6:L7" name="Oblast1"/>
  </protectedRanges>
  <mergeCells count="256">
    <mergeCell ref="C238:G238"/>
    <mergeCell ref="C239:G239"/>
    <mergeCell ref="A242:L242"/>
    <mergeCell ref="C232:G232"/>
    <mergeCell ref="C233:G233"/>
    <mergeCell ref="C234:G234"/>
    <mergeCell ref="C235:G235"/>
    <mergeCell ref="C236:G236"/>
    <mergeCell ref="C237:G237"/>
    <mergeCell ref="C226:G226"/>
    <mergeCell ref="C227:G227"/>
    <mergeCell ref="C228:G228"/>
    <mergeCell ref="C229:G229"/>
    <mergeCell ref="C230:G230"/>
    <mergeCell ref="C231:G231"/>
    <mergeCell ref="C220:G220"/>
    <mergeCell ref="C221:G221"/>
    <mergeCell ref="C222:G222"/>
    <mergeCell ref="C223:G223"/>
    <mergeCell ref="C224:G224"/>
    <mergeCell ref="C225:G225"/>
    <mergeCell ref="C214:G214"/>
    <mergeCell ref="C215:G215"/>
    <mergeCell ref="C216:G216"/>
    <mergeCell ref="C217:G217"/>
    <mergeCell ref="C218:G218"/>
    <mergeCell ref="C219:G219"/>
    <mergeCell ref="C208:G208"/>
    <mergeCell ref="C209:G209"/>
    <mergeCell ref="C210:G210"/>
    <mergeCell ref="C211:G211"/>
    <mergeCell ref="C212:G212"/>
    <mergeCell ref="C213:G213"/>
    <mergeCell ref="C202:G202"/>
    <mergeCell ref="C203:G203"/>
    <mergeCell ref="C204:G204"/>
    <mergeCell ref="C205:G205"/>
    <mergeCell ref="C206:G206"/>
    <mergeCell ref="C207:G207"/>
    <mergeCell ref="C196:G196"/>
    <mergeCell ref="C197:G197"/>
    <mergeCell ref="C198:G198"/>
    <mergeCell ref="C199:G199"/>
    <mergeCell ref="C200:G200"/>
    <mergeCell ref="C201:G201"/>
    <mergeCell ref="C190:G190"/>
    <mergeCell ref="C191:G191"/>
    <mergeCell ref="C192:G192"/>
    <mergeCell ref="C193:G193"/>
    <mergeCell ref="C194:G194"/>
    <mergeCell ref="C195:G195"/>
    <mergeCell ref="C184:G184"/>
    <mergeCell ref="C185:G185"/>
    <mergeCell ref="C186:G186"/>
    <mergeCell ref="C187:G187"/>
    <mergeCell ref="C188:G188"/>
    <mergeCell ref="C189:G189"/>
    <mergeCell ref="C178:G178"/>
    <mergeCell ref="C179:G179"/>
    <mergeCell ref="C180:G180"/>
    <mergeCell ref="C181:G181"/>
    <mergeCell ref="C182:G182"/>
    <mergeCell ref="C183:G183"/>
    <mergeCell ref="C172:G172"/>
    <mergeCell ref="C173:G173"/>
    <mergeCell ref="C174:G174"/>
    <mergeCell ref="C175:G175"/>
    <mergeCell ref="C176:G176"/>
    <mergeCell ref="C177:G177"/>
    <mergeCell ref="C166:G166"/>
    <mergeCell ref="C167:G167"/>
    <mergeCell ref="C168:G168"/>
    <mergeCell ref="C169:G169"/>
    <mergeCell ref="C170:G170"/>
    <mergeCell ref="C171:G171"/>
    <mergeCell ref="C160:G160"/>
    <mergeCell ref="C161:G161"/>
    <mergeCell ref="C162:G162"/>
    <mergeCell ref="C163:G163"/>
    <mergeCell ref="C164:G164"/>
    <mergeCell ref="C165:G165"/>
    <mergeCell ref="C154:G154"/>
    <mergeCell ref="C155:G155"/>
    <mergeCell ref="C156:G156"/>
    <mergeCell ref="C157:G157"/>
    <mergeCell ref="C158:G158"/>
    <mergeCell ref="C159:G159"/>
    <mergeCell ref="C148:G148"/>
    <mergeCell ref="C149:G149"/>
    <mergeCell ref="C150:G150"/>
    <mergeCell ref="C151:G151"/>
    <mergeCell ref="C152:G152"/>
    <mergeCell ref="C153:G153"/>
    <mergeCell ref="C142:G142"/>
    <mergeCell ref="C143:G143"/>
    <mergeCell ref="C144:G144"/>
    <mergeCell ref="C145:G145"/>
    <mergeCell ref="C146:G146"/>
    <mergeCell ref="C147:G147"/>
    <mergeCell ref="C136:G136"/>
    <mergeCell ref="C137:G137"/>
    <mergeCell ref="C138:G138"/>
    <mergeCell ref="C139:G139"/>
    <mergeCell ref="C140:G140"/>
    <mergeCell ref="C141:G141"/>
    <mergeCell ref="C130:G130"/>
    <mergeCell ref="C131:G131"/>
    <mergeCell ref="C132:G132"/>
    <mergeCell ref="C133:G133"/>
    <mergeCell ref="C134:G134"/>
    <mergeCell ref="C135:G135"/>
    <mergeCell ref="C124:G124"/>
    <mergeCell ref="C125:G125"/>
    <mergeCell ref="C126:G126"/>
    <mergeCell ref="C127:G127"/>
    <mergeCell ref="C128:G128"/>
    <mergeCell ref="C129:G129"/>
    <mergeCell ref="C118:G118"/>
    <mergeCell ref="C119:G119"/>
    <mergeCell ref="C120:G120"/>
    <mergeCell ref="C121:G121"/>
    <mergeCell ref="C122:G122"/>
    <mergeCell ref="C123:G123"/>
    <mergeCell ref="C112:G112"/>
    <mergeCell ref="C113:G113"/>
    <mergeCell ref="C114:G114"/>
    <mergeCell ref="C115:G115"/>
    <mergeCell ref="C116:G116"/>
    <mergeCell ref="C117:G117"/>
    <mergeCell ref="C106:G106"/>
    <mergeCell ref="C107:G107"/>
    <mergeCell ref="C108:G108"/>
    <mergeCell ref="C109:G109"/>
    <mergeCell ref="C110:G110"/>
    <mergeCell ref="C111:G111"/>
    <mergeCell ref="C100:G100"/>
    <mergeCell ref="C101:G101"/>
    <mergeCell ref="C102:G102"/>
    <mergeCell ref="C103:G103"/>
    <mergeCell ref="C104:G104"/>
    <mergeCell ref="C105:G105"/>
    <mergeCell ref="C94:G94"/>
    <mergeCell ref="C95:G95"/>
    <mergeCell ref="C96:G96"/>
    <mergeCell ref="C97:G97"/>
    <mergeCell ref="C98:G98"/>
    <mergeCell ref="C99:G99"/>
    <mergeCell ref="C88:G88"/>
    <mergeCell ref="C89:G89"/>
    <mergeCell ref="C90:G90"/>
    <mergeCell ref="C91:G91"/>
    <mergeCell ref="C92:G92"/>
    <mergeCell ref="C93:G93"/>
    <mergeCell ref="C82:G82"/>
    <mergeCell ref="C83:G83"/>
    <mergeCell ref="C84:G84"/>
    <mergeCell ref="C85:G85"/>
    <mergeCell ref="C86:G86"/>
    <mergeCell ref="C87:G87"/>
    <mergeCell ref="C76:G76"/>
    <mergeCell ref="C77:G77"/>
    <mergeCell ref="C78:G78"/>
    <mergeCell ref="C79:G79"/>
    <mergeCell ref="C80:G80"/>
    <mergeCell ref="C81:G81"/>
    <mergeCell ref="C70:G70"/>
    <mergeCell ref="C71:G71"/>
    <mergeCell ref="C72:G72"/>
    <mergeCell ref="C73:G73"/>
    <mergeCell ref="C74:G74"/>
    <mergeCell ref="C75:G75"/>
    <mergeCell ref="C64:G64"/>
    <mergeCell ref="C65:G65"/>
    <mergeCell ref="C66:G66"/>
    <mergeCell ref="C67:G67"/>
    <mergeCell ref="C68:G68"/>
    <mergeCell ref="C69:G69"/>
    <mergeCell ref="C58:G58"/>
    <mergeCell ref="C59:G59"/>
    <mergeCell ref="C60:G60"/>
    <mergeCell ref="C61:G61"/>
    <mergeCell ref="C62:G62"/>
    <mergeCell ref="C63:G63"/>
    <mergeCell ref="C52:G52"/>
    <mergeCell ref="C53:G53"/>
    <mergeCell ref="C54:G54"/>
    <mergeCell ref="C55:G55"/>
    <mergeCell ref="C56:G56"/>
    <mergeCell ref="C57:G57"/>
    <mergeCell ref="C46:G46"/>
    <mergeCell ref="C47:G47"/>
    <mergeCell ref="C48:G48"/>
    <mergeCell ref="C49:G49"/>
    <mergeCell ref="C50:G50"/>
    <mergeCell ref="C51:G51"/>
    <mergeCell ref="C40:G40"/>
    <mergeCell ref="C41:G41"/>
    <mergeCell ref="C42:G42"/>
    <mergeCell ref="C43:G43"/>
    <mergeCell ref="C44:G44"/>
    <mergeCell ref="C45:G45"/>
    <mergeCell ref="C34:G34"/>
    <mergeCell ref="C35:G35"/>
    <mergeCell ref="C36:G36"/>
    <mergeCell ref="C37:G37"/>
    <mergeCell ref="C38:G38"/>
    <mergeCell ref="C39:G39"/>
    <mergeCell ref="C28:G28"/>
    <mergeCell ref="C29:G29"/>
    <mergeCell ref="C30:G30"/>
    <mergeCell ref="C31:G31"/>
    <mergeCell ref="C32:G32"/>
    <mergeCell ref="C33:G33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A8:B9"/>
    <mergeCell ref="C8:C9"/>
    <mergeCell ref="D8:E9"/>
    <mergeCell ref="F8:F9"/>
    <mergeCell ref="G8:G9"/>
    <mergeCell ref="H8:L9"/>
    <mergeCell ref="A6:B7"/>
    <mergeCell ref="C6:C7"/>
    <mergeCell ref="D6:E7"/>
    <mergeCell ref="F6:F7"/>
    <mergeCell ref="G6:G7"/>
    <mergeCell ref="H6:L7"/>
    <mergeCell ref="A4:B5"/>
    <mergeCell ref="C4:C5"/>
    <mergeCell ref="D4:E5"/>
    <mergeCell ref="F4:F5"/>
    <mergeCell ref="G4:G5"/>
    <mergeCell ref="H4:L5"/>
    <mergeCell ref="A1:L1"/>
    <mergeCell ref="A2:B3"/>
    <mergeCell ref="C2:C3"/>
    <mergeCell ref="D2:E3"/>
    <mergeCell ref="F2:F3"/>
    <mergeCell ref="G2:G3"/>
    <mergeCell ref="H2: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8" sqref="C8:D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7.00390625" style="0" customWidth="1"/>
    <col min="4" max="4" width="13.42187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7"/>
      <c r="B1" s="20"/>
      <c r="C1" s="80" t="s">
        <v>923</v>
      </c>
      <c r="D1" s="81"/>
      <c r="E1" s="81"/>
      <c r="F1" s="81"/>
      <c r="G1" s="81"/>
      <c r="H1" s="81"/>
      <c r="I1" s="81"/>
    </row>
    <row r="2" spans="1:10" ht="12.75">
      <c r="A2" s="82" t="s">
        <v>1</v>
      </c>
      <c r="B2" s="83"/>
      <c r="C2" s="86" t="str">
        <f>'Stavební rozpočet'!C2</f>
        <v>Stavební úpravy objektu sociálního bydlení Vlašimská 897, Benešov – výměna stropů</v>
      </c>
      <c r="D2" s="87"/>
      <c r="E2" s="89" t="s">
        <v>846</v>
      </c>
      <c r="F2" s="89" t="str">
        <f>'Stavební rozpočet'!H2</f>
        <v>Město Benešov Masarykovo náměstí 100, 256 01  Benešov</v>
      </c>
      <c r="G2" s="83"/>
      <c r="H2" s="89" t="s">
        <v>909</v>
      </c>
      <c r="I2" s="90" t="s">
        <v>913</v>
      </c>
      <c r="J2" s="18"/>
    </row>
    <row r="3" spans="1:10" ht="12.75">
      <c r="A3" s="84"/>
      <c r="B3" s="85"/>
      <c r="C3" s="88"/>
      <c r="D3" s="88"/>
      <c r="E3" s="85"/>
      <c r="F3" s="85"/>
      <c r="G3" s="85"/>
      <c r="H3" s="85"/>
      <c r="I3" s="91"/>
      <c r="J3" s="18"/>
    </row>
    <row r="4" spans="1:10" ht="12.75">
      <c r="A4" s="92" t="s">
        <v>2</v>
      </c>
      <c r="B4" s="85"/>
      <c r="C4" s="93" t="s">
        <v>1025</v>
      </c>
      <c r="D4" s="85"/>
      <c r="E4" s="93" t="s">
        <v>847</v>
      </c>
      <c r="F4" s="93" t="str">
        <f>'Stavební rozpočet'!H4</f>
        <v>Ing.Roman Moravec Bukovany 113 257 41 Týnec n.Sázavou</v>
      </c>
      <c r="G4" s="85"/>
      <c r="H4" s="93" t="s">
        <v>909</v>
      </c>
      <c r="I4" s="94"/>
      <c r="J4" s="18"/>
    </row>
    <row r="5" spans="1:10" ht="12.75">
      <c r="A5" s="84"/>
      <c r="B5" s="85"/>
      <c r="C5" s="85"/>
      <c r="D5" s="85"/>
      <c r="E5" s="85"/>
      <c r="F5" s="85"/>
      <c r="G5" s="85"/>
      <c r="H5" s="85"/>
      <c r="I5" s="91"/>
      <c r="J5" s="18"/>
    </row>
    <row r="6" spans="1:10" ht="12.75">
      <c r="A6" s="92" t="s">
        <v>3</v>
      </c>
      <c r="B6" s="85"/>
      <c r="C6" s="93" t="str">
        <f>'Stavební rozpočet'!C6</f>
        <v> </v>
      </c>
      <c r="D6" s="85"/>
      <c r="E6" s="93" t="s">
        <v>848</v>
      </c>
      <c r="F6" s="95"/>
      <c r="G6" s="96"/>
      <c r="H6" s="93" t="s">
        <v>909</v>
      </c>
      <c r="I6" s="97"/>
      <c r="J6" s="18"/>
    </row>
    <row r="7" spans="1:10" ht="12.75">
      <c r="A7" s="84"/>
      <c r="B7" s="85"/>
      <c r="C7" s="85"/>
      <c r="D7" s="85"/>
      <c r="E7" s="85"/>
      <c r="F7" s="96"/>
      <c r="G7" s="96"/>
      <c r="H7" s="85"/>
      <c r="I7" s="98"/>
      <c r="J7" s="18"/>
    </row>
    <row r="8" spans="1:10" ht="12.75">
      <c r="A8" s="92" t="s">
        <v>865</v>
      </c>
      <c r="B8" s="85"/>
      <c r="C8" s="93"/>
      <c r="D8" s="85"/>
      <c r="E8" s="93" t="s">
        <v>893</v>
      </c>
      <c r="F8" s="93" t="str">
        <f>'Stavební rozpočet'!F6</f>
        <v> </v>
      </c>
      <c r="G8" s="85"/>
      <c r="H8" s="99" t="s">
        <v>910</v>
      </c>
      <c r="I8" s="94" t="s">
        <v>914</v>
      </c>
      <c r="J8" s="18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18"/>
    </row>
    <row r="10" spans="1:10" ht="12.75">
      <c r="A10" s="92" t="s">
        <v>866</v>
      </c>
      <c r="B10" s="85"/>
      <c r="C10" s="93" t="str">
        <f>'Stavební rozpočet'!C8</f>
        <v> </v>
      </c>
      <c r="D10" s="85"/>
      <c r="E10" s="93" t="s">
        <v>4</v>
      </c>
      <c r="F10" s="93" t="str">
        <f>'Stavební rozpočet'!H8</f>
        <v> </v>
      </c>
      <c r="G10" s="85"/>
      <c r="H10" s="99" t="s">
        <v>911</v>
      </c>
      <c r="I10" s="102" t="str">
        <f>'Stavební rozpočet'!F8</f>
        <v>02.10.2019</v>
      </c>
      <c r="J10" s="18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3"/>
      <c r="J11" s="18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5" customHeight="1">
      <c r="A13" s="153" t="s">
        <v>915</v>
      </c>
      <c r="B13" s="154"/>
      <c r="C13" s="154"/>
      <c r="D13" s="154"/>
      <c r="E13" s="154"/>
      <c r="F13" s="38"/>
      <c r="G13" s="38"/>
      <c r="H13" s="38"/>
      <c r="I13" s="38"/>
    </row>
    <row r="14" spans="1:10" ht="12.75">
      <c r="A14" s="155" t="s">
        <v>916</v>
      </c>
      <c r="B14" s="156"/>
      <c r="C14" s="156"/>
      <c r="D14" s="156"/>
      <c r="E14" s="157"/>
      <c r="F14" s="39" t="s">
        <v>924</v>
      </c>
      <c r="G14" s="39" t="s">
        <v>859</v>
      </c>
      <c r="H14" s="39" t="s">
        <v>925</v>
      </c>
      <c r="I14" s="39" t="s">
        <v>924</v>
      </c>
      <c r="J14" s="19"/>
    </row>
    <row r="15" spans="1:10" ht="12.75">
      <c r="A15" s="158" t="s">
        <v>885</v>
      </c>
      <c r="B15" s="159"/>
      <c r="C15" s="159"/>
      <c r="D15" s="159"/>
      <c r="E15" s="160"/>
      <c r="F15" s="78">
        <v>0</v>
      </c>
      <c r="G15" s="43"/>
      <c r="H15" s="43"/>
      <c r="I15" s="40">
        <f>F15</f>
        <v>0</v>
      </c>
      <c r="J15" s="18"/>
    </row>
    <row r="16" spans="1:10" ht="12.75">
      <c r="A16" s="158" t="s">
        <v>886</v>
      </c>
      <c r="B16" s="159"/>
      <c r="C16" s="159"/>
      <c r="D16" s="159"/>
      <c r="E16" s="160"/>
      <c r="F16" s="78">
        <v>0</v>
      </c>
      <c r="G16" s="43"/>
      <c r="H16" s="43"/>
      <c r="I16" s="40">
        <f>F16</f>
        <v>0</v>
      </c>
      <c r="J16" s="18"/>
    </row>
    <row r="17" spans="1:10" ht="12.75">
      <c r="A17" s="161" t="s">
        <v>887</v>
      </c>
      <c r="B17" s="162"/>
      <c r="C17" s="162"/>
      <c r="D17" s="162"/>
      <c r="E17" s="163"/>
      <c r="F17" s="79">
        <v>0</v>
      </c>
      <c r="G17" s="44"/>
      <c r="H17" s="44"/>
      <c r="I17" s="41">
        <f>F17</f>
        <v>0</v>
      </c>
      <c r="J17" s="18"/>
    </row>
    <row r="18" spans="1:10" ht="12.75">
      <c r="A18" s="164" t="s">
        <v>917</v>
      </c>
      <c r="B18" s="165"/>
      <c r="C18" s="165"/>
      <c r="D18" s="165"/>
      <c r="E18" s="166"/>
      <c r="F18" s="42"/>
      <c r="G18" s="45"/>
      <c r="H18" s="45"/>
      <c r="I18" s="46">
        <f>SUM(I15:I17)</f>
        <v>0</v>
      </c>
      <c r="J18" s="19"/>
    </row>
    <row r="19" spans="1:9" ht="12.75">
      <c r="A19" s="37"/>
      <c r="B19" s="37"/>
      <c r="C19" s="37"/>
      <c r="D19" s="37"/>
      <c r="E19" s="37"/>
      <c r="F19" s="37"/>
      <c r="G19" s="37"/>
      <c r="H19" s="37"/>
      <c r="I19" s="37"/>
    </row>
    <row r="20" spans="1:10" ht="12.75">
      <c r="A20" s="155" t="s">
        <v>912</v>
      </c>
      <c r="B20" s="156"/>
      <c r="C20" s="156"/>
      <c r="D20" s="156"/>
      <c r="E20" s="157"/>
      <c r="F20" s="39" t="s">
        <v>924</v>
      </c>
      <c r="G20" s="39" t="s">
        <v>859</v>
      </c>
      <c r="H20" s="39" t="s">
        <v>925</v>
      </c>
      <c r="I20" s="39" t="s">
        <v>924</v>
      </c>
      <c r="J20" s="19"/>
    </row>
    <row r="21" spans="1:10" ht="12.75">
      <c r="A21" s="158" t="s">
        <v>896</v>
      </c>
      <c r="B21" s="159"/>
      <c r="C21" s="159"/>
      <c r="D21" s="159"/>
      <c r="E21" s="160"/>
      <c r="F21" s="78">
        <v>0</v>
      </c>
      <c r="G21" s="43"/>
      <c r="H21" s="43"/>
      <c r="I21" s="40">
        <f aca="true" t="shared" si="0" ref="I21:I26">F21</f>
        <v>0</v>
      </c>
      <c r="J21" s="18"/>
    </row>
    <row r="22" spans="1:10" ht="12.75">
      <c r="A22" s="158" t="s">
        <v>897</v>
      </c>
      <c r="B22" s="159"/>
      <c r="C22" s="159"/>
      <c r="D22" s="159"/>
      <c r="E22" s="160"/>
      <c r="F22" s="78">
        <v>0</v>
      </c>
      <c r="G22" s="43"/>
      <c r="H22" s="43"/>
      <c r="I22" s="40">
        <f t="shared" si="0"/>
        <v>0</v>
      </c>
      <c r="J22" s="18"/>
    </row>
    <row r="23" spans="1:10" ht="12.75">
      <c r="A23" s="158" t="s">
        <v>898</v>
      </c>
      <c r="B23" s="159"/>
      <c r="C23" s="159"/>
      <c r="D23" s="159"/>
      <c r="E23" s="160"/>
      <c r="F23" s="78">
        <v>0</v>
      </c>
      <c r="G23" s="43"/>
      <c r="H23" s="43"/>
      <c r="I23" s="40">
        <f t="shared" si="0"/>
        <v>0</v>
      </c>
      <c r="J23" s="18"/>
    </row>
    <row r="24" spans="1:10" ht="12.75">
      <c r="A24" s="158" t="s">
        <v>899</v>
      </c>
      <c r="B24" s="159"/>
      <c r="C24" s="159"/>
      <c r="D24" s="159"/>
      <c r="E24" s="160"/>
      <c r="F24" s="78">
        <v>0</v>
      </c>
      <c r="G24" s="43"/>
      <c r="H24" s="43"/>
      <c r="I24" s="40">
        <f t="shared" si="0"/>
        <v>0</v>
      </c>
      <c r="J24" s="18"/>
    </row>
    <row r="25" spans="1:10" ht="12.75">
      <c r="A25" s="158" t="s">
        <v>900</v>
      </c>
      <c r="B25" s="159"/>
      <c r="C25" s="159"/>
      <c r="D25" s="159"/>
      <c r="E25" s="160"/>
      <c r="F25" s="78">
        <v>0</v>
      </c>
      <c r="G25" s="43"/>
      <c r="H25" s="43"/>
      <c r="I25" s="40">
        <f t="shared" si="0"/>
        <v>0</v>
      </c>
      <c r="J25" s="18"/>
    </row>
    <row r="26" spans="1:10" ht="12.75">
      <c r="A26" s="161" t="s">
        <v>901</v>
      </c>
      <c r="B26" s="162"/>
      <c r="C26" s="162"/>
      <c r="D26" s="162"/>
      <c r="E26" s="163"/>
      <c r="F26" s="79">
        <v>0</v>
      </c>
      <c r="G26" s="44"/>
      <c r="H26" s="44"/>
      <c r="I26" s="41">
        <f t="shared" si="0"/>
        <v>0</v>
      </c>
      <c r="J26" s="18"/>
    </row>
    <row r="27" spans="1:10" ht="12.75">
      <c r="A27" s="164" t="s">
        <v>918</v>
      </c>
      <c r="B27" s="165"/>
      <c r="C27" s="165"/>
      <c r="D27" s="165"/>
      <c r="E27" s="166"/>
      <c r="F27" s="42"/>
      <c r="G27" s="45"/>
      <c r="H27" s="45"/>
      <c r="I27" s="46">
        <f>SUM(I21:I26)</f>
        <v>0</v>
      </c>
      <c r="J27" s="19"/>
    </row>
    <row r="28" spans="1:9" ht="12.75">
      <c r="A28" s="37"/>
      <c r="B28" s="37"/>
      <c r="C28" s="37"/>
      <c r="D28" s="37"/>
      <c r="E28" s="37"/>
      <c r="F28" s="37"/>
      <c r="G28" s="37"/>
      <c r="H28" s="37"/>
      <c r="I28" s="37"/>
    </row>
    <row r="29" spans="1:10" ht="15" customHeight="1">
      <c r="A29" s="167" t="s">
        <v>919</v>
      </c>
      <c r="B29" s="168"/>
      <c r="C29" s="168"/>
      <c r="D29" s="168"/>
      <c r="E29" s="169"/>
      <c r="F29" s="170">
        <f>I18+I27</f>
        <v>0</v>
      </c>
      <c r="G29" s="171"/>
      <c r="H29" s="171"/>
      <c r="I29" s="172"/>
      <c r="J29" s="19"/>
    </row>
    <row r="30" spans="1:9" ht="12.75">
      <c r="A30" s="28"/>
      <c r="B30" s="28"/>
      <c r="C30" s="28"/>
      <c r="D30" s="28"/>
      <c r="E30" s="28"/>
      <c r="F30" s="28"/>
      <c r="G30" s="28"/>
      <c r="H30" s="28"/>
      <c r="I30" s="28"/>
    </row>
    <row r="33" spans="1:9" ht="15" customHeight="1">
      <c r="A33" s="153" t="s">
        <v>920</v>
      </c>
      <c r="B33" s="154"/>
      <c r="C33" s="154"/>
      <c r="D33" s="154"/>
      <c r="E33" s="154"/>
      <c r="F33" s="38"/>
      <c r="G33" s="38"/>
      <c r="H33" s="38"/>
      <c r="I33" s="38"/>
    </row>
    <row r="34" spans="1:10" ht="12.75">
      <c r="A34" s="155" t="s">
        <v>921</v>
      </c>
      <c r="B34" s="156"/>
      <c r="C34" s="156"/>
      <c r="D34" s="156"/>
      <c r="E34" s="157"/>
      <c r="F34" s="39" t="s">
        <v>924</v>
      </c>
      <c r="G34" s="39" t="s">
        <v>859</v>
      </c>
      <c r="H34" s="39" t="s">
        <v>925</v>
      </c>
      <c r="I34" s="39" t="s">
        <v>924</v>
      </c>
      <c r="J34" s="19"/>
    </row>
    <row r="35" spans="1:10" ht="12.75">
      <c r="A35" s="161"/>
      <c r="B35" s="162"/>
      <c r="C35" s="162"/>
      <c r="D35" s="162"/>
      <c r="E35" s="163"/>
      <c r="F35" s="41">
        <v>0</v>
      </c>
      <c r="G35" s="44"/>
      <c r="H35" s="44"/>
      <c r="I35" s="41">
        <f>F35</f>
        <v>0</v>
      </c>
      <c r="J35" s="18"/>
    </row>
    <row r="36" spans="1:10" ht="12.75">
      <c r="A36" s="164" t="s">
        <v>922</v>
      </c>
      <c r="B36" s="165"/>
      <c r="C36" s="165"/>
      <c r="D36" s="165"/>
      <c r="E36" s="166"/>
      <c r="F36" s="42"/>
      <c r="G36" s="45"/>
      <c r="H36" s="45"/>
      <c r="I36" s="46">
        <f>SUM(I35:I35)</f>
        <v>0</v>
      </c>
      <c r="J36" s="19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</sheetData>
  <sheetProtection password="CCF3" sheet="1" objects="1" scenarios="1"/>
  <protectedRanges>
    <protectedRange sqref="F15:F17 F21:F26" name="Oblast1"/>
    <protectedRange sqref="I6:I7 F6:G7" name="Oblast2"/>
  </protectedRanges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J78" sqref="J78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109.8515625" style="0" customWidth="1"/>
    <col min="5" max="5" width="14.574218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23" t="s">
        <v>0</v>
      </c>
      <c r="B1" s="81"/>
      <c r="C1" s="81"/>
      <c r="D1" s="81"/>
      <c r="E1" s="81"/>
      <c r="F1" s="81"/>
      <c r="G1" s="81"/>
      <c r="H1" s="81"/>
    </row>
    <row r="2" spans="1:9" ht="12.75">
      <c r="A2" s="82" t="s">
        <v>1</v>
      </c>
      <c r="B2" s="83"/>
      <c r="C2" s="86" t="str">
        <f>'Stavební rozpočet'!C2</f>
        <v>Stavební úpravy objektu sociálního bydlení Vlašimská 897, Benešov – výměna stropů</v>
      </c>
      <c r="D2" s="87"/>
      <c r="E2" s="89" t="s">
        <v>846</v>
      </c>
      <c r="F2" s="89" t="str">
        <f>'Stavební rozpočet'!H2</f>
        <v>Město Benešov Masarykovo náměstí 100, 256 01  Benešov</v>
      </c>
      <c r="G2" s="83"/>
      <c r="H2" s="125"/>
      <c r="I2" s="18"/>
    </row>
    <row r="3" spans="1:9" ht="12.75">
      <c r="A3" s="84"/>
      <c r="B3" s="85"/>
      <c r="C3" s="88"/>
      <c r="D3" s="88"/>
      <c r="E3" s="85"/>
      <c r="F3" s="85"/>
      <c r="G3" s="85"/>
      <c r="H3" s="91"/>
      <c r="I3" s="18"/>
    </row>
    <row r="4" spans="1:9" ht="12.75">
      <c r="A4" s="92" t="s">
        <v>2</v>
      </c>
      <c r="B4" s="85"/>
      <c r="C4" s="93" t="s">
        <v>1025</v>
      </c>
      <c r="D4" s="85"/>
      <c r="E4" s="93" t="s">
        <v>847</v>
      </c>
      <c r="F4" s="93" t="str">
        <f>'Stavební rozpočet'!H4</f>
        <v>Ing.Roman Moravec Bukovany 113 257 41 Týnec n.Sázavou</v>
      </c>
      <c r="G4" s="85"/>
      <c r="H4" s="91"/>
      <c r="I4" s="18"/>
    </row>
    <row r="5" spans="1:9" ht="12.75">
      <c r="A5" s="84"/>
      <c r="B5" s="85"/>
      <c r="C5" s="85"/>
      <c r="D5" s="85"/>
      <c r="E5" s="85"/>
      <c r="F5" s="85"/>
      <c r="G5" s="85"/>
      <c r="H5" s="91"/>
      <c r="I5" s="18"/>
    </row>
    <row r="6" spans="1:9" ht="12.75">
      <c r="A6" s="92" t="s">
        <v>3</v>
      </c>
      <c r="B6" s="85"/>
      <c r="C6" s="93" t="str">
        <f>'Stavební rozpočet'!C6</f>
        <v> </v>
      </c>
      <c r="D6" s="85"/>
      <c r="E6" s="93" t="s">
        <v>848</v>
      </c>
      <c r="F6" s="95"/>
      <c r="G6" s="96"/>
      <c r="H6" s="98"/>
      <c r="I6" s="18"/>
    </row>
    <row r="7" spans="1:9" ht="12.75">
      <c r="A7" s="84"/>
      <c r="B7" s="85"/>
      <c r="C7" s="85"/>
      <c r="D7" s="85"/>
      <c r="E7" s="85"/>
      <c r="F7" s="96"/>
      <c r="G7" s="96"/>
      <c r="H7" s="98"/>
      <c r="I7" s="18"/>
    </row>
    <row r="8" spans="1:9" ht="12.75">
      <c r="A8" s="92" t="s">
        <v>4</v>
      </c>
      <c r="B8" s="85"/>
      <c r="C8" s="93" t="str">
        <f>'Stavební rozpočet'!H8</f>
        <v> </v>
      </c>
      <c r="D8" s="85"/>
      <c r="E8" s="93" t="s">
        <v>849</v>
      </c>
      <c r="F8" s="93" t="str">
        <f>'Stavební rozpočet'!F8</f>
        <v>02.10.2019</v>
      </c>
      <c r="G8" s="85"/>
      <c r="H8" s="91"/>
      <c r="I8" s="18"/>
    </row>
    <row r="9" spans="1:9" ht="12.75">
      <c r="A9" s="129"/>
      <c r="B9" s="130"/>
      <c r="C9" s="130"/>
      <c r="D9" s="130"/>
      <c r="E9" s="130"/>
      <c r="F9" s="130"/>
      <c r="G9" s="130"/>
      <c r="H9" s="173"/>
      <c r="I9" s="18"/>
    </row>
    <row r="10" spans="1:9" ht="12.75">
      <c r="A10" s="1" t="s">
        <v>5</v>
      </c>
      <c r="B10" s="7" t="s">
        <v>204</v>
      </c>
      <c r="C10" s="7" t="s">
        <v>205</v>
      </c>
      <c r="D10" s="174" t="s">
        <v>416</v>
      </c>
      <c r="E10" s="175"/>
      <c r="F10" s="7" t="s">
        <v>850</v>
      </c>
      <c r="G10" s="8" t="s">
        <v>863</v>
      </c>
      <c r="H10" s="15" t="s">
        <v>864</v>
      </c>
      <c r="I10" s="19"/>
    </row>
    <row r="11" spans="1:8" ht="12.75">
      <c r="A11" s="2"/>
      <c r="B11" s="2"/>
      <c r="C11" s="2" t="s">
        <v>17</v>
      </c>
      <c r="D11" s="141" t="s">
        <v>417</v>
      </c>
      <c r="E11" s="142"/>
      <c r="F11" s="2"/>
      <c r="G11" s="69"/>
      <c r="H11" s="9"/>
    </row>
    <row r="12" spans="1:8" ht="12.75">
      <c r="A12" s="3" t="s">
        <v>6</v>
      </c>
      <c r="B12" s="3"/>
      <c r="C12" s="3" t="s">
        <v>206</v>
      </c>
      <c r="D12" s="143" t="s">
        <v>418</v>
      </c>
      <c r="E12" s="144"/>
      <c r="F12" s="3" t="s">
        <v>851</v>
      </c>
      <c r="G12" s="10">
        <v>12.75</v>
      </c>
      <c r="H12" s="10">
        <v>0</v>
      </c>
    </row>
    <row r="13" spans="4:7" ht="12" customHeight="1">
      <c r="D13" s="176" t="s">
        <v>419</v>
      </c>
      <c r="E13" s="177"/>
      <c r="F13" s="177"/>
      <c r="G13" s="11">
        <v>12.75</v>
      </c>
    </row>
    <row r="14" spans="1:8" ht="12.75">
      <c r="A14" s="4"/>
      <c r="B14" s="4"/>
      <c r="C14" s="4" t="s">
        <v>18</v>
      </c>
      <c r="D14" s="145" t="s">
        <v>420</v>
      </c>
      <c r="E14" s="146"/>
      <c r="F14" s="4"/>
      <c r="G14" s="70"/>
      <c r="H14" s="12"/>
    </row>
    <row r="15" spans="1:8" ht="12.75">
      <c r="A15" s="3" t="s">
        <v>7</v>
      </c>
      <c r="B15" s="3"/>
      <c r="C15" s="3" t="s">
        <v>207</v>
      </c>
      <c r="D15" s="143" t="s">
        <v>421</v>
      </c>
      <c r="E15" s="144"/>
      <c r="F15" s="3" t="s">
        <v>851</v>
      </c>
      <c r="G15" s="10">
        <v>24.94</v>
      </c>
      <c r="H15" s="10">
        <v>0</v>
      </c>
    </row>
    <row r="16" spans="4:7" ht="12" customHeight="1">
      <c r="D16" s="176" t="s">
        <v>422</v>
      </c>
      <c r="E16" s="177"/>
      <c r="F16" s="177"/>
      <c r="G16" s="11">
        <v>5.8</v>
      </c>
    </row>
    <row r="17" spans="1:8" ht="12" customHeight="1">
      <c r="A17" s="3"/>
      <c r="B17" s="3"/>
      <c r="C17" s="3"/>
      <c r="D17" s="176" t="s">
        <v>423</v>
      </c>
      <c r="E17" s="177"/>
      <c r="F17" s="176"/>
      <c r="G17" s="11">
        <v>19.14</v>
      </c>
      <c r="H17" s="16"/>
    </row>
    <row r="18" spans="1:8" ht="12.75">
      <c r="A18" s="3" t="s">
        <v>8</v>
      </c>
      <c r="B18" s="3"/>
      <c r="C18" s="3" t="s">
        <v>208</v>
      </c>
      <c r="D18" s="143" t="s">
        <v>424</v>
      </c>
      <c r="E18" s="144"/>
      <c r="F18" s="3" t="s">
        <v>851</v>
      </c>
      <c r="G18" s="10">
        <v>8.55</v>
      </c>
      <c r="H18" s="10">
        <v>0</v>
      </c>
    </row>
    <row r="19" spans="4:7" ht="12" customHeight="1">
      <c r="D19" s="176" t="s">
        <v>425</v>
      </c>
      <c r="E19" s="177"/>
      <c r="F19" s="177"/>
      <c r="G19" s="11">
        <v>2.18</v>
      </c>
    </row>
    <row r="20" spans="1:8" ht="12" customHeight="1">
      <c r="A20" s="3"/>
      <c r="B20" s="3"/>
      <c r="C20" s="3"/>
      <c r="D20" s="176" t="s">
        <v>426</v>
      </c>
      <c r="E20" s="177"/>
      <c r="F20" s="176"/>
      <c r="G20" s="11">
        <v>1.68</v>
      </c>
      <c r="H20" s="16"/>
    </row>
    <row r="21" spans="1:8" ht="12" customHeight="1">
      <c r="A21" s="3"/>
      <c r="B21" s="3"/>
      <c r="C21" s="3"/>
      <c r="D21" s="176" t="s">
        <v>427</v>
      </c>
      <c r="E21" s="177"/>
      <c r="F21" s="176"/>
      <c r="G21" s="11">
        <v>4.48</v>
      </c>
      <c r="H21" s="16"/>
    </row>
    <row r="22" spans="1:8" ht="12" customHeight="1">
      <c r="A22" s="3"/>
      <c r="B22" s="3"/>
      <c r="C22" s="3"/>
      <c r="D22" s="176" t="s">
        <v>428</v>
      </c>
      <c r="E22" s="177"/>
      <c r="F22" s="176"/>
      <c r="G22" s="11">
        <v>0.21</v>
      </c>
      <c r="H22" s="16"/>
    </row>
    <row r="23" spans="1:8" ht="12.75">
      <c r="A23" s="3" t="s">
        <v>9</v>
      </c>
      <c r="B23" s="3"/>
      <c r="C23" s="3" t="s">
        <v>209</v>
      </c>
      <c r="D23" s="143" t="s">
        <v>429</v>
      </c>
      <c r="E23" s="144"/>
      <c r="F23" s="3" t="s">
        <v>851</v>
      </c>
      <c r="G23" s="10">
        <v>8.55</v>
      </c>
      <c r="H23" s="10">
        <v>0</v>
      </c>
    </row>
    <row r="24" spans="4:7" ht="12" customHeight="1">
      <c r="D24" s="176" t="s">
        <v>430</v>
      </c>
      <c r="E24" s="177"/>
      <c r="F24" s="177"/>
      <c r="G24" s="11">
        <v>8.55</v>
      </c>
    </row>
    <row r="25" spans="1:8" ht="12.75">
      <c r="A25" s="3" t="s">
        <v>10</v>
      </c>
      <c r="B25" s="3"/>
      <c r="C25" s="3" t="s">
        <v>210</v>
      </c>
      <c r="D25" s="143" t="s">
        <v>431</v>
      </c>
      <c r="E25" s="144"/>
      <c r="F25" s="3" t="s">
        <v>851</v>
      </c>
      <c r="G25" s="10">
        <v>8.55</v>
      </c>
      <c r="H25" s="10">
        <v>0</v>
      </c>
    </row>
    <row r="26" spans="4:7" ht="12" customHeight="1">
      <c r="D26" s="176" t="s">
        <v>430</v>
      </c>
      <c r="E26" s="177"/>
      <c r="F26" s="177"/>
      <c r="G26" s="11">
        <v>8.55</v>
      </c>
    </row>
    <row r="27" spans="1:8" ht="12.75">
      <c r="A27" s="4"/>
      <c r="B27" s="4"/>
      <c r="C27" s="4" t="s">
        <v>22</v>
      </c>
      <c r="D27" s="145" t="s">
        <v>432</v>
      </c>
      <c r="E27" s="146"/>
      <c r="F27" s="4"/>
      <c r="G27" s="70"/>
      <c r="H27" s="12"/>
    </row>
    <row r="28" spans="1:8" ht="12.75">
      <c r="A28" s="3" t="s">
        <v>11</v>
      </c>
      <c r="B28" s="3"/>
      <c r="C28" s="3" t="s">
        <v>211</v>
      </c>
      <c r="D28" s="143" t="s">
        <v>433</v>
      </c>
      <c r="E28" s="144"/>
      <c r="F28" s="3" t="s">
        <v>851</v>
      </c>
      <c r="G28" s="10">
        <v>24.94</v>
      </c>
      <c r="H28" s="10">
        <v>0</v>
      </c>
    </row>
    <row r="29" spans="4:7" ht="12" customHeight="1">
      <c r="D29" s="176" t="s">
        <v>434</v>
      </c>
      <c r="E29" s="177"/>
      <c r="F29" s="177"/>
      <c r="G29" s="11">
        <v>24.94</v>
      </c>
    </row>
    <row r="30" spans="1:8" ht="12.75">
      <c r="A30" s="4"/>
      <c r="B30" s="4"/>
      <c r="C30" s="4" t="s">
        <v>32</v>
      </c>
      <c r="D30" s="145" t="s">
        <v>435</v>
      </c>
      <c r="E30" s="146"/>
      <c r="F30" s="4"/>
      <c r="G30" s="70"/>
      <c r="H30" s="12"/>
    </row>
    <row r="31" spans="1:8" ht="12.75">
      <c r="A31" s="3" t="s">
        <v>12</v>
      </c>
      <c r="B31" s="3"/>
      <c r="C31" s="3" t="s">
        <v>212</v>
      </c>
      <c r="D31" s="143" t="s">
        <v>436</v>
      </c>
      <c r="E31" s="144"/>
      <c r="F31" s="3" t="s">
        <v>851</v>
      </c>
      <c r="G31" s="10">
        <v>10</v>
      </c>
      <c r="H31" s="10">
        <v>0</v>
      </c>
    </row>
    <row r="32" spans="4:7" ht="12" customHeight="1">
      <c r="D32" s="176" t="s">
        <v>437</v>
      </c>
      <c r="E32" s="177"/>
      <c r="F32" s="177"/>
      <c r="G32" s="11">
        <v>3.63</v>
      </c>
    </row>
    <row r="33" spans="1:8" ht="12" customHeight="1">
      <c r="A33" s="3"/>
      <c r="B33" s="3"/>
      <c r="C33" s="3"/>
      <c r="D33" s="176" t="s">
        <v>438</v>
      </c>
      <c r="E33" s="177"/>
      <c r="F33" s="176"/>
      <c r="G33" s="11">
        <v>1.68</v>
      </c>
      <c r="H33" s="16"/>
    </row>
    <row r="34" spans="1:8" ht="12" customHeight="1">
      <c r="A34" s="3"/>
      <c r="B34" s="3"/>
      <c r="C34" s="3"/>
      <c r="D34" s="176" t="s">
        <v>439</v>
      </c>
      <c r="E34" s="177"/>
      <c r="F34" s="176"/>
      <c r="G34" s="11">
        <v>4.48</v>
      </c>
      <c r="H34" s="16"/>
    </row>
    <row r="35" spans="1:8" ht="12" customHeight="1">
      <c r="A35" s="3"/>
      <c r="B35" s="3"/>
      <c r="C35" s="3"/>
      <c r="D35" s="176" t="s">
        <v>440</v>
      </c>
      <c r="E35" s="177"/>
      <c r="F35" s="176"/>
      <c r="G35" s="11">
        <v>0.21</v>
      </c>
      <c r="H35" s="16"/>
    </row>
    <row r="36" spans="1:8" ht="12.75">
      <c r="A36" s="3" t="s">
        <v>13</v>
      </c>
      <c r="B36" s="3"/>
      <c r="C36" s="3" t="s">
        <v>213</v>
      </c>
      <c r="D36" s="143" t="s">
        <v>441</v>
      </c>
      <c r="E36" s="144"/>
      <c r="F36" s="3" t="s">
        <v>852</v>
      </c>
      <c r="G36" s="10">
        <v>26.32</v>
      </c>
      <c r="H36" s="10">
        <v>0</v>
      </c>
    </row>
    <row r="37" spans="4:7" ht="12" customHeight="1">
      <c r="D37" s="176" t="s">
        <v>442</v>
      </c>
      <c r="E37" s="177"/>
      <c r="F37" s="177"/>
      <c r="G37" s="11">
        <v>12.1</v>
      </c>
    </row>
    <row r="38" spans="1:8" ht="12" customHeight="1">
      <c r="A38" s="3"/>
      <c r="B38" s="3"/>
      <c r="C38" s="3"/>
      <c r="D38" s="176" t="s">
        <v>443</v>
      </c>
      <c r="E38" s="177"/>
      <c r="F38" s="176"/>
      <c r="G38" s="11">
        <v>11.21</v>
      </c>
      <c r="H38" s="16"/>
    </row>
    <row r="39" spans="1:8" ht="12" customHeight="1">
      <c r="A39" s="3"/>
      <c r="B39" s="3"/>
      <c r="C39" s="3"/>
      <c r="D39" s="176" t="s">
        <v>444</v>
      </c>
      <c r="E39" s="177"/>
      <c r="F39" s="176"/>
      <c r="G39" s="11">
        <v>2.24</v>
      </c>
      <c r="H39" s="16"/>
    </row>
    <row r="40" spans="1:8" ht="12" customHeight="1">
      <c r="A40" s="3"/>
      <c r="B40" s="3"/>
      <c r="C40" s="3"/>
      <c r="D40" s="176" t="s">
        <v>445</v>
      </c>
      <c r="E40" s="177"/>
      <c r="F40" s="176"/>
      <c r="G40" s="11">
        <v>0.77</v>
      </c>
      <c r="H40" s="16"/>
    </row>
    <row r="41" spans="1:8" ht="12.75">
      <c r="A41" s="3" t="s">
        <v>14</v>
      </c>
      <c r="B41" s="3"/>
      <c r="C41" s="3" t="s">
        <v>214</v>
      </c>
      <c r="D41" s="143" t="s">
        <v>446</v>
      </c>
      <c r="E41" s="144"/>
      <c r="F41" s="3" t="s">
        <v>852</v>
      </c>
      <c r="G41" s="10">
        <v>26.32</v>
      </c>
      <c r="H41" s="10">
        <v>0</v>
      </c>
    </row>
    <row r="42" spans="4:7" ht="12" customHeight="1">
      <c r="D42" s="176" t="s">
        <v>442</v>
      </c>
      <c r="E42" s="177"/>
      <c r="F42" s="177"/>
      <c r="G42" s="11">
        <v>12.1</v>
      </c>
    </row>
    <row r="43" spans="1:8" ht="12" customHeight="1">
      <c r="A43" s="3"/>
      <c r="B43" s="3"/>
      <c r="C43" s="3"/>
      <c r="D43" s="176" t="s">
        <v>443</v>
      </c>
      <c r="E43" s="177"/>
      <c r="F43" s="176"/>
      <c r="G43" s="11">
        <v>11.21</v>
      </c>
      <c r="H43" s="16"/>
    </row>
    <row r="44" spans="1:8" ht="12" customHeight="1">
      <c r="A44" s="3"/>
      <c r="B44" s="3"/>
      <c r="C44" s="3"/>
      <c r="D44" s="176" t="s">
        <v>444</v>
      </c>
      <c r="E44" s="177"/>
      <c r="F44" s="176"/>
      <c r="G44" s="11">
        <v>2.24</v>
      </c>
      <c r="H44" s="16"/>
    </row>
    <row r="45" spans="1:8" ht="12" customHeight="1">
      <c r="A45" s="3"/>
      <c r="B45" s="3"/>
      <c r="C45" s="3"/>
      <c r="D45" s="176" t="s">
        <v>445</v>
      </c>
      <c r="E45" s="177"/>
      <c r="F45" s="176"/>
      <c r="G45" s="11">
        <v>0.77</v>
      </c>
      <c r="H45" s="16"/>
    </row>
    <row r="46" spans="1:8" ht="12.75">
      <c r="A46" s="4"/>
      <c r="B46" s="4"/>
      <c r="C46" s="4" t="s">
        <v>33</v>
      </c>
      <c r="D46" s="145" t="s">
        <v>447</v>
      </c>
      <c r="E46" s="146"/>
      <c r="F46" s="4"/>
      <c r="G46" s="70"/>
      <c r="H46" s="12"/>
    </row>
    <row r="47" spans="1:8" ht="12.75">
      <c r="A47" s="3" t="s">
        <v>15</v>
      </c>
      <c r="B47" s="3"/>
      <c r="C47" s="3" t="s">
        <v>215</v>
      </c>
      <c r="D47" s="143" t="s">
        <v>448</v>
      </c>
      <c r="E47" s="144"/>
      <c r="F47" s="3" t="s">
        <v>852</v>
      </c>
      <c r="G47" s="10">
        <v>56</v>
      </c>
      <c r="H47" s="10">
        <v>0</v>
      </c>
    </row>
    <row r="48" spans="4:7" ht="12" customHeight="1">
      <c r="D48" s="176" t="s">
        <v>449</v>
      </c>
      <c r="E48" s="177"/>
      <c r="F48" s="177"/>
      <c r="G48" s="11">
        <v>36.22</v>
      </c>
    </row>
    <row r="49" spans="1:8" ht="12" customHeight="1">
      <c r="A49" s="3"/>
      <c r="B49" s="3"/>
      <c r="C49" s="3"/>
      <c r="D49" s="176" t="s">
        <v>450</v>
      </c>
      <c r="E49" s="177"/>
      <c r="F49" s="176"/>
      <c r="G49" s="11">
        <v>16.53</v>
      </c>
      <c r="H49" s="16"/>
    </row>
    <row r="50" spans="1:8" ht="12" customHeight="1">
      <c r="A50" s="3"/>
      <c r="B50" s="3"/>
      <c r="C50" s="3"/>
      <c r="D50" s="176" t="s">
        <v>451</v>
      </c>
      <c r="E50" s="177"/>
      <c r="F50" s="176"/>
      <c r="G50" s="11">
        <v>3.25</v>
      </c>
      <c r="H50" s="16"/>
    </row>
    <row r="51" spans="1:8" ht="12.75">
      <c r="A51" s="3" t="s">
        <v>16</v>
      </c>
      <c r="B51" s="3"/>
      <c r="C51" s="3" t="s">
        <v>216</v>
      </c>
      <c r="D51" s="143" t="s">
        <v>452</v>
      </c>
      <c r="E51" s="144"/>
      <c r="F51" s="3" t="s">
        <v>852</v>
      </c>
      <c r="G51" s="10">
        <v>56</v>
      </c>
      <c r="H51" s="10">
        <v>0</v>
      </c>
    </row>
    <row r="52" spans="4:7" ht="12" customHeight="1">
      <c r="D52" s="176" t="s">
        <v>453</v>
      </c>
      <c r="E52" s="177"/>
      <c r="F52" s="177"/>
      <c r="G52" s="11">
        <v>56</v>
      </c>
    </row>
    <row r="53" spans="1:8" ht="12.75">
      <c r="A53" s="3" t="s">
        <v>17</v>
      </c>
      <c r="B53" s="3"/>
      <c r="C53" s="3" t="s">
        <v>217</v>
      </c>
      <c r="D53" s="143" t="s">
        <v>454</v>
      </c>
      <c r="E53" s="144"/>
      <c r="F53" s="3" t="s">
        <v>853</v>
      </c>
      <c r="G53" s="10">
        <v>5</v>
      </c>
      <c r="H53" s="10">
        <v>0</v>
      </c>
    </row>
    <row r="54" spans="4:7" ht="12" customHeight="1">
      <c r="D54" s="176" t="s">
        <v>455</v>
      </c>
      <c r="E54" s="177"/>
      <c r="F54" s="177"/>
      <c r="G54" s="11">
        <v>5</v>
      </c>
    </row>
    <row r="55" spans="1:8" ht="12.75">
      <c r="A55" s="4"/>
      <c r="B55" s="4"/>
      <c r="C55" s="4" t="s">
        <v>36</v>
      </c>
      <c r="D55" s="145" t="s">
        <v>456</v>
      </c>
      <c r="E55" s="146"/>
      <c r="F55" s="4"/>
      <c r="G55" s="70"/>
      <c r="H55" s="12"/>
    </row>
    <row r="56" spans="1:8" ht="12.75">
      <c r="A56" s="3" t="s">
        <v>18</v>
      </c>
      <c r="B56" s="3"/>
      <c r="C56" s="3" t="s">
        <v>218</v>
      </c>
      <c r="D56" s="143" t="s">
        <v>1004</v>
      </c>
      <c r="E56" s="144"/>
      <c r="F56" s="3" t="s">
        <v>852</v>
      </c>
      <c r="G56" s="10">
        <v>27.07</v>
      </c>
      <c r="H56" s="10">
        <v>0</v>
      </c>
    </row>
    <row r="57" spans="4:7" ht="12" customHeight="1">
      <c r="D57" s="176" t="s">
        <v>457</v>
      </c>
      <c r="E57" s="177"/>
      <c r="F57" s="177"/>
      <c r="G57" s="11">
        <v>27.07</v>
      </c>
    </row>
    <row r="58" spans="1:8" ht="12.75">
      <c r="A58" s="3" t="s">
        <v>19</v>
      </c>
      <c r="B58" s="3"/>
      <c r="C58" s="3" t="s">
        <v>219</v>
      </c>
      <c r="D58" s="143" t="s">
        <v>1005</v>
      </c>
      <c r="E58" s="144"/>
      <c r="F58" s="3" t="s">
        <v>852</v>
      </c>
      <c r="G58" s="10">
        <v>8.01</v>
      </c>
      <c r="H58" s="10">
        <v>0</v>
      </c>
    </row>
    <row r="59" spans="4:7" ht="12" customHeight="1">
      <c r="D59" s="176" t="s">
        <v>458</v>
      </c>
      <c r="E59" s="177"/>
      <c r="F59" s="177"/>
      <c r="G59" s="11">
        <v>8.01</v>
      </c>
    </row>
    <row r="60" spans="1:8" ht="12.75">
      <c r="A60" s="3" t="s">
        <v>20</v>
      </c>
      <c r="B60" s="3"/>
      <c r="C60" s="3" t="s">
        <v>220</v>
      </c>
      <c r="D60" s="143" t="s">
        <v>1006</v>
      </c>
      <c r="E60" s="144"/>
      <c r="F60" s="3" t="s">
        <v>852</v>
      </c>
      <c r="G60" s="10">
        <v>2.8</v>
      </c>
      <c r="H60" s="10">
        <v>0</v>
      </c>
    </row>
    <row r="61" spans="4:7" ht="12" customHeight="1">
      <c r="D61" s="176" t="s">
        <v>459</v>
      </c>
      <c r="E61" s="177"/>
      <c r="F61" s="177"/>
      <c r="G61" s="11">
        <v>2.8</v>
      </c>
    </row>
    <row r="62" spans="1:8" ht="12.75">
      <c r="A62" s="3" t="s">
        <v>21</v>
      </c>
      <c r="B62" s="3"/>
      <c r="C62" s="3" t="s">
        <v>221</v>
      </c>
      <c r="D62" s="143" t="s">
        <v>1007</v>
      </c>
      <c r="E62" s="144"/>
      <c r="F62" s="3" t="s">
        <v>852</v>
      </c>
      <c r="G62" s="10">
        <v>28.62</v>
      </c>
      <c r="H62" s="10">
        <v>0</v>
      </c>
    </row>
    <row r="63" spans="4:7" ht="12" customHeight="1">
      <c r="D63" s="176" t="s">
        <v>460</v>
      </c>
      <c r="E63" s="177"/>
      <c r="F63" s="177"/>
      <c r="G63" s="11">
        <v>28.62</v>
      </c>
    </row>
    <row r="64" spans="1:8" ht="12.75">
      <c r="A64" s="3" t="s">
        <v>22</v>
      </c>
      <c r="B64" s="3"/>
      <c r="C64" s="3" t="s">
        <v>222</v>
      </c>
      <c r="D64" s="143" t="s">
        <v>1008</v>
      </c>
      <c r="E64" s="144"/>
      <c r="F64" s="3" t="s">
        <v>854</v>
      </c>
      <c r="G64" s="10">
        <v>6</v>
      </c>
      <c r="H64" s="10">
        <v>0</v>
      </c>
    </row>
    <row r="65" spans="4:7" ht="12" customHeight="1">
      <c r="D65" s="176" t="s">
        <v>461</v>
      </c>
      <c r="E65" s="177"/>
      <c r="F65" s="177"/>
      <c r="G65" s="11">
        <v>6</v>
      </c>
    </row>
    <row r="66" spans="1:8" ht="12.75">
      <c r="A66" s="3" t="s">
        <v>23</v>
      </c>
      <c r="B66" s="3"/>
      <c r="C66" s="3" t="s">
        <v>223</v>
      </c>
      <c r="D66" s="143" t="s">
        <v>462</v>
      </c>
      <c r="E66" s="144"/>
      <c r="F66" s="3" t="s">
        <v>854</v>
      </c>
      <c r="G66" s="10">
        <v>1</v>
      </c>
      <c r="H66" s="10">
        <v>0</v>
      </c>
    </row>
    <row r="67" spans="4:7" ht="12" customHeight="1">
      <c r="D67" s="176" t="s">
        <v>463</v>
      </c>
      <c r="E67" s="177"/>
      <c r="F67" s="177"/>
      <c r="G67" s="11">
        <v>1</v>
      </c>
    </row>
    <row r="68" spans="1:8" ht="12.75">
      <c r="A68" s="3" t="s">
        <v>24</v>
      </c>
      <c r="B68" s="3"/>
      <c r="C68" s="3" t="s">
        <v>224</v>
      </c>
      <c r="D68" s="143" t="s">
        <v>464</v>
      </c>
      <c r="E68" s="144"/>
      <c r="F68" s="3" t="s">
        <v>854</v>
      </c>
      <c r="G68" s="10">
        <v>3</v>
      </c>
      <c r="H68" s="10">
        <v>0</v>
      </c>
    </row>
    <row r="69" spans="4:7" ht="12" customHeight="1">
      <c r="D69" s="176" t="s">
        <v>465</v>
      </c>
      <c r="E69" s="177"/>
      <c r="F69" s="177"/>
      <c r="G69" s="11">
        <v>3</v>
      </c>
    </row>
    <row r="70" spans="1:8" ht="12.75">
      <c r="A70" s="3" t="s">
        <v>25</v>
      </c>
      <c r="B70" s="3"/>
      <c r="C70" s="3" t="s">
        <v>225</v>
      </c>
      <c r="D70" s="143" t="s">
        <v>1009</v>
      </c>
      <c r="E70" s="144"/>
      <c r="F70" s="3" t="s">
        <v>852</v>
      </c>
      <c r="G70" s="10">
        <v>38.36</v>
      </c>
      <c r="H70" s="10">
        <v>0</v>
      </c>
    </row>
    <row r="71" spans="4:7" ht="12" customHeight="1">
      <c r="D71" s="176" t="s">
        <v>466</v>
      </c>
      <c r="E71" s="177"/>
      <c r="F71" s="177"/>
      <c r="G71" s="11">
        <v>38.36</v>
      </c>
    </row>
    <row r="72" spans="1:8" ht="12.75">
      <c r="A72" s="3" t="s">
        <v>26</v>
      </c>
      <c r="B72" s="3"/>
      <c r="C72" s="3" t="s">
        <v>226</v>
      </c>
      <c r="D72" s="143" t="s">
        <v>467</v>
      </c>
      <c r="E72" s="144"/>
      <c r="F72" s="3" t="s">
        <v>852</v>
      </c>
      <c r="G72" s="10">
        <v>74.46</v>
      </c>
      <c r="H72" s="10">
        <v>0</v>
      </c>
    </row>
    <row r="73" spans="4:7" ht="12" customHeight="1">
      <c r="D73" s="176" t="s">
        <v>468</v>
      </c>
      <c r="E73" s="177"/>
      <c r="F73" s="177"/>
      <c r="G73" s="11">
        <v>74.46</v>
      </c>
    </row>
    <row r="74" spans="1:8" ht="12.75">
      <c r="A74" s="3" t="s">
        <v>27</v>
      </c>
      <c r="B74" s="3"/>
      <c r="C74" s="3" t="s">
        <v>227</v>
      </c>
      <c r="D74" s="143" t="s">
        <v>1011</v>
      </c>
      <c r="E74" s="144"/>
      <c r="F74" s="3" t="s">
        <v>854</v>
      </c>
      <c r="G74" s="10">
        <v>1</v>
      </c>
      <c r="H74" s="10">
        <v>0</v>
      </c>
    </row>
    <row r="75" spans="4:7" ht="12" customHeight="1">
      <c r="D75" s="176" t="s">
        <v>463</v>
      </c>
      <c r="E75" s="177"/>
      <c r="F75" s="177"/>
      <c r="G75" s="11">
        <v>1</v>
      </c>
    </row>
    <row r="76" spans="1:8" ht="12.75">
      <c r="A76" s="3" t="s">
        <v>28</v>
      </c>
      <c r="B76" s="3"/>
      <c r="C76" s="3" t="s">
        <v>228</v>
      </c>
      <c r="D76" s="143" t="s">
        <v>1012</v>
      </c>
      <c r="E76" s="144"/>
      <c r="F76" s="3" t="s">
        <v>854</v>
      </c>
      <c r="G76" s="10">
        <v>4</v>
      </c>
      <c r="H76" s="10">
        <v>0</v>
      </c>
    </row>
    <row r="77" spans="4:7" ht="12" customHeight="1">
      <c r="D77" s="176" t="s">
        <v>469</v>
      </c>
      <c r="E77" s="177"/>
      <c r="F77" s="177"/>
      <c r="G77" s="11">
        <v>4</v>
      </c>
    </row>
    <row r="78" spans="1:8" ht="12.75">
      <c r="A78" s="3" t="s">
        <v>29</v>
      </c>
      <c r="B78" s="3"/>
      <c r="C78" s="3" t="s">
        <v>229</v>
      </c>
      <c r="D78" s="143" t="s">
        <v>470</v>
      </c>
      <c r="E78" s="144"/>
      <c r="F78" s="3" t="s">
        <v>855</v>
      </c>
      <c r="G78" s="10">
        <v>2</v>
      </c>
      <c r="H78" s="10">
        <v>0</v>
      </c>
    </row>
    <row r="79" spans="4:7" ht="12" customHeight="1">
      <c r="D79" s="176" t="s">
        <v>7</v>
      </c>
      <c r="E79" s="177"/>
      <c r="F79" s="177"/>
      <c r="G79" s="11">
        <v>2</v>
      </c>
    </row>
    <row r="80" spans="1:8" ht="12.75">
      <c r="A80" s="3" t="s">
        <v>30</v>
      </c>
      <c r="B80" s="3"/>
      <c r="C80" s="3" t="s">
        <v>230</v>
      </c>
      <c r="D80" s="143" t="s">
        <v>471</v>
      </c>
      <c r="E80" s="144"/>
      <c r="F80" s="3" t="s">
        <v>855</v>
      </c>
      <c r="G80" s="10">
        <v>1</v>
      </c>
      <c r="H80" s="10">
        <v>0</v>
      </c>
    </row>
    <row r="81" spans="4:7" ht="12" customHeight="1">
      <c r="D81" s="176" t="s">
        <v>463</v>
      </c>
      <c r="E81" s="177"/>
      <c r="F81" s="177"/>
      <c r="G81" s="11">
        <v>1</v>
      </c>
    </row>
    <row r="82" spans="1:8" ht="12.75">
      <c r="A82" s="3" t="s">
        <v>31</v>
      </c>
      <c r="B82" s="3"/>
      <c r="C82" s="3" t="s">
        <v>231</v>
      </c>
      <c r="D82" s="143" t="s">
        <v>472</v>
      </c>
      <c r="E82" s="144"/>
      <c r="F82" s="3" t="s">
        <v>855</v>
      </c>
      <c r="G82" s="10">
        <v>1</v>
      </c>
      <c r="H82" s="10">
        <v>0</v>
      </c>
    </row>
    <row r="83" spans="4:7" ht="12" customHeight="1">
      <c r="D83" s="176" t="s">
        <v>463</v>
      </c>
      <c r="E83" s="177"/>
      <c r="F83" s="177"/>
      <c r="G83" s="11">
        <v>1</v>
      </c>
    </row>
    <row r="84" spans="1:8" ht="12.75">
      <c r="A84" s="3" t="s">
        <v>32</v>
      </c>
      <c r="B84" s="3"/>
      <c r="C84" s="3" t="s">
        <v>232</v>
      </c>
      <c r="D84" s="143" t="s">
        <v>473</v>
      </c>
      <c r="E84" s="144"/>
      <c r="F84" s="3" t="s">
        <v>851</v>
      </c>
      <c r="G84" s="10">
        <v>4.14</v>
      </c>
      <c r="H84" s="10">
        <v>0</v>
      </c>
    </row>
    <row r="85" spans="4:7" ht="12" customHeight="1">
      <c r="D85" s="176" t="s">
        <v>474</v>
      </c>
      <c r="E85" s="177"/>
      <c r="F85" s="177"/>
      <c r="G85" s="11">
        <v>4.14</v>
      </c>
    </row>
    <row r="86" spans="1:8" ht="12.75">
      <c r="A86" s="3" t="s">
        <v>33</v>
      </c>
      <c r="B86" s="3"/>
      <c r="C86" s="3" t="s">
        <v>233</v>
      </c>
      <c r="D86" s="143" t="s">
        <v>475</v>
      </c>
      <c r="E86" s="144"/>
      <c r="F86" s="3" t="s">
        <v>851</v>
      </c>
      <c r="G86" s="10">
        <v>3.35</v>
      </c>
      <c r="H86" s="10">
        <v>0</v>
      </c>
    </row>
    <row r="87" spans="4:7" ht="12" customHeight="1">
      <c r="D87" s="176" t="s">
        <v>476</v>
      </c>
      <c r="E87" s="177"/>
      <c r="F87" s="177"/>
      <c r="G87" s="11">
        <v>0.61</v>
      </c>
    </row>
    <row r="88" spans="1:8" ht="12" customHeight="1">
      <c r="A88" s="3"/>
      <c r="B88" s="3"/>
      <c r="C88" s="3"/>
      <c r="D88" s="176" t="s">
        <v>477</v>
      </c>
      <c r="E88" s="177"/>
      <c r="F88" s="176"/>
      <c r="G88" s="11">
        <v>0.07</v>
      </c>
      <c r="H88" s="16"/>
    </row>
    <row r="89" spans="1:8" ht="12" customHeight="1">
      <c r="A89" s="3"/>
      <c r="B89" s="3"/>
      <c r="C89" s="3"/>
      <c r="D89" s="176" t="s">
        <v>478</v>
      </c>
      <c r="E89" s="177"/>
      <c r="F89" s="176"/>
      <c r="G89" s="11">
        <v>0.09</v>
      </c>
      <c r="H89" s="16"/>
    </row>
    <row r="90" spans="1:8" ht="12" customHeight="1">
      <c r="A90" s="3"/>
      <c r="B90" s="3"/>
      <c r="C90" s="3"/>
      <c r="D90" s="176" t="s">
        <v>479</v>
      </c>
      <c r="E90" s="177"/>
      <c r="F90" s="176"/>
      <c r="G90" s="11">
        <v>0.36</v>
      </c>
      <c r="H90" s="16"/>
    </row>
    <row r="91" spans="1:8" ht="12" customHeight="1">
      <c r="A91" s="3"/>
      <c r="B91" s="3"/>
      <c r="C91" s="3"/>
      <c r="D91" s="176" t="s">
        <v>480</v>
      </c>
      <c r="E91" s="177"/>
      <c r="F91" s="176"/>
      <c r="G91" s="11">
        <v>0.18</v>
      </c>
      <c r="H91" s="16"/>
    </row>
    <row r="92" spans="1:8" ht="12" customHeight="1">
      <c r="A92" s="3"/>
      <c r="B92" s="3"/>
      <c r="C92" s="3"/>
      <c r="D92" s="176" t="s">
        <v>481</v>
      </c>
      <c r="E92" s="177"/>
      <c r="F92" s="176"/>
      <c r="G92" s="11">
        <v>1.18</v>
      </c>
      <c r="H92" s="16"/>
    </row>
    <row r="93" spans="1:8" ht="12" customHeight="1">
      <c r="A93" s="3"/>
      <c r="B93" s="3"/>
      <c r="C93" s="3"/>
      <c r="D93" s="176" t="s">
        <v>482</v>
      </c>
      <c r="E93" s="177"/>
      <c r="F93" s="176"/>
      <c r="G93" s="11">
        <v>0.74</v>
      </c>
      <c r="H93" s="16"/>
    </row>
    <row r="94" spans="1:8" ht="12" customHeight="1">
      <c r="A94" s="3"/>
      <c r="B94" s="3"/>
      <c r="C94" s="3"/>
      <c r="D94" s="176" t="s">
        <v>483</v>
      </c>
      <c r="E94" s="177"/>
      <c r="F94" s="176"/>
      <c r="G94" s="11">
        <v>0.12</v>
      </c>
      <c r="H94" s="16"/>
    </row>
    <row r="95" spans="1:8" ht="12.75">
      <c r="A95" s="3" t="s">
        <v>34</v>
      </c>
      <c r="B95" s="3"/>
      <c r="C95" s="3" t="s">
        <v>234</v>
      </c>
      <c r="D95" s="143" t="s">
        <v>484</v>
      </c>
      <c r="E95" s="144"/>
      <c r="F95" s="3" t="s">
        <v>851</v>
      </c>
      <c r="G95" s="10">
        <v>2.3</v>
      </c>
      <c r="H95" s="10">
        <v>0</v>
      </c>
    </row>
    <row r="96" spans="4:7" ht="12" customHeight="1">
      <c r="D96" s="176" t="s">
        <v>485</v>
      </c>
      <c r="E96" s="177"/>
      <c r="F96" s="177"/>
      <c r="G96" s="11">
        <v>2.3</v>
      </c>
    </row>
    <row r="97" spans="1:8" ht="12.75">
      <c r="A97" s="3" t="s">
        <v>35</v>
      </c>
      <c r="B97" s="3"/>
      <c r="C97" s="3" t="s">
        <v>235</v>
      </c>
      <c r="D97" s="143" t="s">
        <v>486</v>
      </c>
      <c r="E97" s="144"/>
      <c r="F97" s="3" t="s">
        <v>854</v>
      </c>
      <c r="G97" s="10">
        <v>84</v>
      </c>
      <c r="H97" s="10">
        <v>0</v>
      </c>
    </row>
    <row r="98" spans="4:7" ht="12" customHeight="1">
      <c r="D98" s="176" t="s">
        <v>487</v>
      </c>
      <c r="E98" s="177"/>
      <c r="F98" s="177"/>
      <c r="G98" s="11">
        <v>84</v>
      </c>
    </row>
    <row r="99" spans="1:8" ht="12.75">
      <c r="A99" s="4"/>
      <c r="B99" s="4"/>
      <c r="C99" s="4" t="s">
        <v>39</v>
      </c>
      <c r="D99" s="145" t="s">
        <v>488</v>
      </c>
      <c r="E99" s="146"/>
      <c r="F99" s="4"/>
      <c r="G99" s="70"/>
      <c r="H99" s="12"/>
    </row>
    <row r="100" spans="1:8" ht="12.75">
      <c r="A100" s="3" t="s">
        <v>36</v>
      </c>
      <c r="B100" s="3"/>
      <c r="C100" s="3" t="s">
        <v>236</v>
      </c>
      <c r="D100" s="143" t="s">
        <v>1013</v>
      </c>
      <c r="E100" s="144"/>
      <c r="F100" s="3" t="s">
        <v>852</v>
      </c>
      <c r="G100" s="10">
        <v>80.17</v>
      </c>
      <c r="H100" s="10">
        <v>0</v>
      </c>
    </row>
    <row r="101" spans="4:7" ht="12" customHeight="1">
      <c r="D101" s="176" t="s">
        <v>489</v>
      </c>
      <c r="E101" s="177"/>
      <c r="F101" s="177"/>
      <c r="G101" s="11">
        <v>-16.1</v>
      </c>
    </row>
    <row r="102" spans="1:8" ht="12" customHeight="1">
      <c r="A102" s="3"/>
      <c r="B102" s="3"/>
      <c r="C102" s="3"/>
      <c r="D102" s="176" t="s">
        <v>490</v>
      </c>
      <c r="E102" s="177"/>
      <c r="F102" s="176"/>
      <c r="G102" s="11">
        <v>103.32</v>
      </c>
      <c r="H102" s="16"/>
    </row>
    <row r="103" spans="1:8" ht="12" customHeight="1">
      <c r="A103" s="3"/>
      <c r="B103" s="3"/>
      <c r="C103" s="3"/>
      <c r="D103" s="176" t="s">
        <v>491</v>
      </c>
      <c r="E103" s="177"/>
      <c r="F103" s="176"/>
      <c r="G103" s="11">
        <v>-7.05</v>
      </c>
      <c r="H103" s="16"/>
    </row>
    <row r="104" spans="1:8" ht="12.75">
      <c r="A104" s="3" t="s">
        <v>37</v>
      </c>
      <c r="B104" s="3"/>
      <c r="C104" s="3" t="s">
        <v>237</v>
      </c>
      <c r="D104" s="143" t="s">
        <v>1014</v>
      </c>
      <c r="E104" s="144"/>
      <c r="F104" s="3" t="s">
        <v>854</v>
      </c>
      <c r="G104" s="10">
        <v>1</v>
      </c>
      <c r="H104" s="10">
        <v>0</v>
      </c>
    </row>
    <row r="105" spans="4:7" ht="12" customHeight="1">
      <c r="D105" s="176" t="s">
        <v>463</v>
      </c>
      <c r="E105" s="177"/>
      <c r="F105" s="177"/>
      <c r="G105" s="11">
        <v>1</v>
      </c>
    </row>
    <row r="106" spans="1:8" ht="12.75">
      <c r="A106" s="3" t="s">
        <v>38</v>
      </c>
      <c r="B106" s="3"/>
      <c r="C106" s="3" t="s">
        <v>238</v>
      </c>
      <c r="D106" s="143" t="s">
        <v>492</v>
      </c>
      <c r="E106" s="144"/>
      <c r="F106" s="3" t="s">
        <v>854</v>
      </c>
      <c r="G106" s="10">
        <v>3</v>
      </c>
      <c r="H106" s="10">
        <v>0</v>
      </c>
    </row>
    <row r="107" spans="4:7" ht="12" customHeight="1">
      <c r="D107" s="176" t="s">
        <v>465</v>
      </c>
      <c r="E107" s="177"/>
      <c r="F107" s="177"/>
      <c r="G107" s="11">
        <v>3</v>
      </c>
    </row>
    <row r="108" spans="1:8" ht="12.75">
      <c r="A108" s="4"/>
      <c r="B108" s="4"/>
      <c r="C108" s="4" t="s">
        <v>46</v>
      </c>
      <c r="D108" s="145" t="s">
        <v>493</v>
      </c>
      <c r="E108" s="146"/>
      <c r="F108" s="4"/>
      <c r="G108" s="70"/>
      <c r="H108" s="12"/>
    </row>
    <row r="109" spans="1:8" ht="12.75">
      <c r="A109" s="3" t="s">
        <v>39</v>
      </c>
      <c r="B109" s="3"/>
      <c r="C109" s="3" t="s">
        <v>239</v>
      </c>
      <c r="D109" s="143" t="s">
        <v>494</v>
      </c>
      <c r="E109" s="144"/>
      <c r="F109" s="3" t="s">
        <v>856</v>
      </c>
      <c r="G109" s="10">
        <v>16</v>
      </c>
      <c r="H109" s="10">
        <v>0</v>
      </c>
    </row>
    <row r="110" spans="4:7" ht="12" customHeight="1">
      <c r="D110" s="176" t="s">
        <v>495</v>
      </c>
      <c r="E110" s="177"/>
      <c r="F110" s="177"/>
      <c r="G110" s="11">
        <v>16</v>
      </c>
    </row>
    <row r="111" spans="1:8" ht="12.75">
      <c r="A111" s="3" t="s">
        <v>40</v>
      </c>
      <c r="B111" s="3"/>
      <c r="C111" s="3" t="s">
        <v>240</v>
      </c>
      <c r="D111" s="143" t="s">
        <v>496</v>
      </c>
      <c r="E111" s="144"/>
      <c r="F111" s="3" t="s">
        <v>857</v>
      </c>
      <c r="G111" s="10">
        <v>3.67</v>
      </c>
      <c r="H111" s="10">
        <v>0</v>
      </c>
    </row>
    <row r="112" spans="4:7" ht="12" customHeight="1">
      <c r="D112" s="176" t="s">
        <v>497</v>
      </c>
      <c r="E112" s="177"/>
      <c r="F112" s="177"/>
      <c r="G112" s="11">
        <v>3.67</v>
      </c>
    </row>
    <row r="113" spans="1:8" ht="12.75">
      <c r="A113" s="3" t="s">
        <v>41</v>
      </c>
      <c r="B113" s="3"/>
      <c r="C113" s="3" t="s">
        <v>241</v>
      </c>
      <c r="D113" s="143" t="s">
        <v>498</v>
      </c>
      <c r="E113" s="144"/>
      <c r="F113" s="3" t="s">
        <v>852</v>
      </c>
      <c r="G113" s="10">
        <v>141.62</v>
      </c>
      <c r="H113" s="10">
        <v>0</v>
      </c>
    </row>
    <row r="114" spans="4:7" ht="12" customHeight="1">
      <c r="D114" s="176" t="s">
        <v>499</v>
      </c>
      <c r="E114" s="177"/>
      <c r="F114" s="177"/>
      <c r="G114" s="11">
        <v>141.62</v>
      </c>
    </row>
    <row r="115" spans="1:8" ht="12.75">
      <c r="A115" s="3" t="s">
        <v>42</v>
      </c>
      <c r="B115" s="3"/>
      <c r="C115" s="3" t="s">
        <v>242</v>
      </c>
      <c r="D115" s="143" t="s">
        <v>500</v>
      </c>
      <c r="E115" s="144"/>
      <c r="F115" s="3" t="s">
        <v>851</v>
      </c>
      <c r="G115" s="10">
        <v>11.93</v>
      </c>
      <c r="H115" s="10">
        <v>0</v>
      </c>
    </row>
    <row r="116" spans="4:7" ht="12" customHeight="1">
      <c r="D116" s="176" t="s">
        <v>501</v>
      </c>
      <c r="E116" s="177"/>
      <c r="F116" s="177"/>
      <c r="G116" s="11">
        <v>11.93</v>
      </c>
    </row>
    <row r="117" spans="1:8" ht="12.75">
      <c r="A117" s="3" t="s">
        <v>43</v>
      </c>
      <c r="B117" s="3"/>
      <c r="C117" s="3" t="s">
        <v>243</v>
      </c>
      <c r="D117" s="143" t="s">
        <v>502</v>
      </c>
      <c r="E117" s="144"/>
      <c r="F117" s="3" t="s">
        <v>857</v>
      </c>
      <c r="G117" s="10">
        <v>0.45</v>
      </c>
      <c r="H117" s="10">
        <v>0</v>
      </c>
    </row>
    <row r="118" spans="4:7" ht="12" customHeight="1">
      <c r="D118" s="176" t="s">
        <v>503</v>
      </c>
      <c r="E118" s="177"/>
      <c r="F118" s="177"/>
      <c r="G118" s="11">
        <v>0.45</v>
      </c>
    </row>
    <row r="119" spans="1:8" ht="12.75">
      <c r="A119" s="3" t="s">
        <v>44</v>
      </c>
      <c r="B119" s="3"/>
      <c r="C119" s="3" t="s">
        <v>244</v>
      </c>
      <c r="D119" s="143" t="s">
        <v>504</v>
      </c>
      <c r="E119" s="144"/>
      <c r="F119" s="3" t="s">
        <v>857</v>
      </c>
      <c r="G119" s="10">
        <v>0.05</v>
      </c>
      <c r="H119" s="10">
        <v>0</v>
      </c>
    </row>
    <row r="120" spans="4:7" ht="12" customHeight="1">
      <c r="D120" s="176" t="s">
        <v>505</v>
      </c>
      <c r="E120" s="177"/>
      <c r="F120" s="177"/>
      <c r="G120" s="11">
        <v>0.05</v>
      </c>
    </row>
    <row r="121" spans="1:8" ht="12.75">
      <c r="A121" s="3" t="s">
        <v>45</v>
      </c>
      <c r="B121" s="3"/>
      <c r="C121" s="3" t="s">
        <v>245</v>
      </c>
      <c r="D121" s="143" t="s">
        <v>506</v>
      </c>
      <c r="E121" s="144"/>
      <c r="F121" s="3" t="s">
        <v>851</v>
      </c>
      <c r="G121" s="10">
        <v>35.53</v>
      </c>
      <c r="H121" s="10">
        <v>0</v>
      </c>
    </row>
    <row r="122" spans="4:7" ht="12" customHeight="1">
      <c r="D122" s="176" t="s">
        <v>507</v>
      </c>
      <c r="E122" s="177"/>
      <c r="F122" s="177"/>
      <c r="G122" s="11">
        <v>10</v>
      </c>
    </row>
    <row r="123" spans="1:8" ht="12" customHeight="1">
      <c r="A123" s="3"/>
      <c r="B123" s="3"/>
      <c r="C123" s="3"/>
      <c r="D123" s="176" t="s">
        <v>508</v>
      </c>
      <c r="E123" s="177"/>
      <c r="F123" s="176"/>
      <c r="G123" s="11">
        <v>8.5</v>
      </c>
      <c r="H123" s="16"/>
    </row>
    <row r="124" spans="1:8" ht="12" customHeight="1">
      <c r="A124" s="3"/>
      <c r="B124" s="3"/>
      <c r="C124" s="3"/>
      <c r="D124" s="176" t="s">
        <v>509</v>
      </c>
      <c r="E124" s="177"/>
      <c r="F124" s="176"/>
      <c r="G124" s="11">
        <v>11.93</v>
      </c>
      <c r="H124" s="16"/>
    </row>
    <row r="125" spans="1:8" ht="12" customHeight="1">
      <c r="A125" s="3"/>
      <c r="B125" s="3"/>
      <c r="C125" s="3"/>
      <c r="D125" s="176" t="s">
        <v>510</v>
      </c>
      <c r="E125" s="177"/>
      <c r="F125" s="176"/>
      <c r="G125" s="11">
        <v>5.1</v>
      </c>
      <c r="H125" s="16"/>
    </row>
    <row r="126" spans="1:8" ht="12.75">
      <c r="A126" s="3" t="s">
        <v>46</v>
      </c>
      <c r="B126" s="3"/>
      <c r="C126" s="3" t="s">
        <v>246</v>
      </c>
      <c r="D126" s="143" t="s">
        <v>511</v>
      </c>
      <c r="E126" s="144"/>
      <c r="F126" s="3" t="s">
        <v>852</v>
      </c>
      <c r="G126" s="10">
        <v>117</v>
      </c>
      <c r="H126" s="10">
        <v>0</v>
      </c>
    </row>
    <row r="127" spans="4:7" ht="12" customHeight="1">
      <c r="D127" s="176" t="s">
        <v>512</v>
      </c>
      <c r="E127" s="177"/>
      <c r="F127" s="177"/>
      <c r="G127" s="11">
        <v>117</v>
      </c>
    </row>
    <row r="128" spans="1:8" ht="12.75">
      <c r="A128" s="3" t="s">
        <v>47</v>
      </c>
      <c r="B128" s="3"/>
      <c r="C128" s="3" t="s">
        <v>247</v>
      </c>
      <c r="D128" s="143" t="s">
        <v>513</v>
      </c>
      <c r="E128" s="144"/>
      <c r="F128" s="3" t="s">
        <v>852</v>
      </c>
      <c r="G128" s="10">
        <v>117</v>
      </c>
      <c r="H128" s="10">
        <v>0</v>
      </c>
    </row>
    <row r="129" spans="4:7" ht="12" customHeight="1">
      <c r="D129" s="176" t="s">
        <v>512</v>
      </c>
      <c r="E129" s="177"/>
      <c r="F129" s="177"/>
      <c r="G129" s="11">
        <v>117</v>
      </c>
    </row>
    <row r="130" spans="1:8" ht="12.75">
      <c r="A130" s="3" t="s">
        <v>48</v>
      </c>
      <c r="B130" s="3"/>
      <c r="C130" s="3" t="s">
        <v>248</v>
      </c>
      <c r="D130" s="143" t="s">
        <v>514</v>
      </c>
      <c r="E130" s="144"/>
      <c r="F130" s="3" t="s">
        <v>851</v>
      </c>
      <c r="G130" s="10">
        <v>5.1</v>
      </c>
      <c r="H130" s="10">
        <v>0</v>
      </c>
    </row>
    <row r="131" spans="4:7" ht="12" customHeight="1">
      <c r="D131" s="176" t="s">
        <v>515</v>
      </c>
      <c r="E131" s="177"/>
      <c r="F131" s="177"/>
      <c r="G131" s="11">
        <v>1.16</v>
      </c>
    </row>
    <row r="132" spans="1:8" ht="12" customHeight="1">
      <c r="A132" s="3"/>
      <c r="B132" s="3"/>
      <c r="C132" s="3"/>
      <c r="D132" s="176" t="s">
        <v>516</v>
      </c>
      <c r="E132" s="177"/>
      <c r="F132" s="176"/>
      <c r="G132" s="11">
        <v>0.37</v>
      </c>
      <c r="H132" s="16"/>
    </row>
    <row r="133" spans="1:8" ht="12" customHeight="1">
      <c r="A133" s="3"/>
      <c r="B133" s="3"/>
      <c r="C133" s="3"/>
      <c r="D133" s="176" t="s">
        <v>517</v>
      </c>
      <c r="E133" s="177"/>
      <c r="F133" s="176"/>
      <c r="G133" s="11">
        <v>0.41</v>
      </c>
      <c r="H133" s="16"/>
    </row>
    <row r="134" spans="1:8" ht="12" customHeight="1">
      <c r="A134" s="3"/>
      <c r="B134" s="3"/>
      <c r="C134" s="3"/>
      <c r="D134" s="176" t="s">
        <v>518</v>
      </c>
      <c r="E134" s="177"/>
      <c r="F134" s="176"/>
      <c r="G134" s="11">
        <v>2.26</v>
      </c>
      <c r="H134" s="16"/>
    </row>
    <row r="135" spans="1:8" ht="12" customHeight="1">
      <c r="A135" s="3"/>
      <c r="B135" s="3"/>
      <c r="C135" s="3"/>
      <c r="D135" s="176" t="s">
        <v>519</v>
      </c>
      <c r="E135" s="177"/>
      <c r="F135" s="176"/>
      <c r="G135" s="11">
        <v>0.9</v>
      </c>
      <c r="H135" s="16"/>
    </row>
    <row r="136" spans="1:8" ht="12.75">
      <c r="A136" s="3" t="s">
        <v>49</v>
      </c>
      <c r="B136" s="3"/>
      <c r="C136" s="3" t="s">
        <v>249</v>
      </c>
      <c r="D136" s="143" t="s">
        <v>520</v>
      </c>
      <c r="E136" s="144"/>
      <c r="F136" s="3" t="s">
        <v>852</v>
      </c>
      <c r="G136" s="10">
        <v>31.06</v>
      </c>
      <c r="H136" s="10">
        <v>0</v>
      </c>
    </row>
    <row r="137" spans="4:7" ht="12" customHeight="1">
      <c r="D137" s="176" t="s">
        <v>521</v>
      </c>
      <c r="E137" s="177"/>
      <c r="F137" s="177"/>
      <c r="G137" s="11">
        <v>4.51</v>
      </c>
    </row>
    <row r="138" spans="1:8" ht="12" customHeight="1">
      <c r="A138" s="3"/>
      <c r="B138" s="3"/>
      <c r="C138" s="3"/>
      <c r="D138" s="176" t="s">
        <v>522</v>
      </c>
      <c r="E138" s="177"/>
      <c r="F138" s="176"/>
      <c r="G138" s="11">
        <v>5.02</v>
      </c>
      <c r="H138" s="16"/>
    </row>
    <row r="139" spans="1:8" ht="12" customHeight="1">
      <c r="A139" s="3"/>
      <c r="B139" s="3"/>
      <c r="C139" s="3"/>
      <c r="D139" s="176" t="s">
        <v>523</v>
      </c>
      <c r="E139" s="177"/>
      <c r="F139" s="176"/>
      <c r="G139" s="11">
        <v>14.7</v>
      </c>
      <c r="H139" s="16"/>
    </row>
    <row r="140" spans="1:8" ht="12" customHeight="1">
      <c r="A140" s="3"/>
      <c r="B140" s="3"/>
      <c r="C140" s="3"/>
      <c r="D140" s="176" t="s">
        <v>524</v>
      </c>
      <c r="E140" s="177"/>
      <c r="F140" s="176"/>
      <c r="G140" s="11">
        <v>6.83</v>
      </c>
      <c r="H140" s="16"/>
    </row>
    <row r="141" spans="1:8" ht="12.75">
      <c r="A141" s="3" t="s">
        <v>50</v>
      </c>
      <c r="B141" s="3"/>
      <c r="C141" s="3" t="s">
        <v>250</v>
      </c>
      <c r="D141" s="143" t="s">
        <v>525</v>
      </c>
      <c r="E141" s="144"/>
      <c r="F141" s="3" t="s">
        <v>852</v>
      </c>
      <c r="G141" s="10">
        <v>31.06</v>
      </c>
      <c r="H141" s="10">
        <v>0</v>
      </c>
    </row>
    <row r="142" spans="4:7" ht="12" customHeight="1">
      <c r="D142" s="176" t="s">
        <v>526</v>
      </c>
      <c r="E142" s="177"/>
      <c r="F142" s="177"/>
      <c r="G142" s="11">
        <v>31.06</v>
      </c>
    </row>
    <row r="143" spans="1:8" ht="12.75">
      <c r="A143" s="3" t="s">
        <v>51</v>
      </c>
      <c r="B143" s="3"/>
      <c r="C143" s="3" t="s">
        <v>251</v>
      </c>
      <c r="D143" s="143" t="s">
        <v>527</v>
      </c>
      <c r="E143" s="144"/>
      <c r="F143" s="3" t="s">
        <v>854</v>
      </c>
      <c r="G143" s="10">
        <v>8</v>
      </c>
      <c r="H143" s="10">
        <v>0</v>
      </c>
    </row>
    <row r="144" spans="4:7" ht="12" customHeight="1">
      <c r="D144" s="176" t="s">
        <v>528</v>
      </c>
      <c r="E144" s="177"/>
      <c r="F144" s="177"/>
      <c r="G144" s="11">
        <v>8</v>
      </c>
    </row>
    <row r="145" spans="1:8" ht="12.75">
      <c r="A145" s="3" t="s">
        <v>52</v>
      </c>
      <c r="B145" s="3"/>
      <c r="C145" s="3" t="s">
        <v>252</v>
      </c>
      <c r="D145" s="143" t="s">
        <v>529</v>
      </c>
      <c r="E145" s="144"/>
      <c r="F145" s="3" t="s">
        <v>857</v>
      </c>
      <c r="G145" s="10">
        <v>0.53</v>
      </c>
      <c r="H145" s="10">
        <v>0</v>
      </c>
    </row>
    <row r="146" spans="4:7" ht="12" customHeight="1">
      <c r="D146" s="176" t="s">
        <v>530</v>
      </c>
      <c r="E146" s="177"/>
      <c r="F146" s="177"/>
      <c r="G146" s="11">
        <v>0.13</v>
      </c>
    </row>
    <row r="147" spans="1:8" ht="12" customHeight="1">
      <c r="A147" s="3"/>
      <c r="B147" s="3"/>
      <c r="C147" s="3"/>
      <c r="D147" s="176" t="s">
        <v>531</v>
      </c>
      <c r="E147" s="177"/>
      <c r="F147" s="176"/>
      <c r="G147" s="11">
        <v>0.03</v>
      </c>
      <c r="H147" s="16"/>
    </row>
    <row r="148" spans="1:8" ht="12" customHeight="1">
      <c r="A148" s="3"/>
      <c r="B148" s="3"/>
      <c r="C148" s="3"/>
      <c r="D148" s="176" t="s">
        <v>532</v>
      </c>
      <c r="E148" s="177"/>
      <c r="F148" s="176"/>
      <c r="G148" s="11">
        <v>0.04</v>
      </c>
      <c r="H148" s="16"/>
    </row>
    <row r="149" spans="1:8" ht="12" customHeight="1">
      <c r="A149" s="3"/>
      <c r="B149" s="3"/>
      <c r="C149" s="3"/>
      <c r="D149" s="176" t="s">
        <v>533</v>
      </c>
      <c r="E149" s="177"/>
      <c r="F149" s="176"/>
      <c r="G149" s="11">
        <v>0.24</v>
      </c>
      <c r="H149" s="16"/>
    </row>
    <row r="150" spans="1:8" ht="12" customHeight="1">
      <c r="A150" s="3"/>
      <c r="B150" s="3"/>
      <c r="C150" s="3"/>
      <c r="D150" s="176" t="s">
        <v>534</v>
      </c>
      <c r="E150" s="177"/>
      <c r="F150" s="176"/>
      <c r="G150" s="11">
        <v>0.09</v>
      </c>
      <c r="H150" s="16"/>
    </row>
    <row r="151" spans="1:8" ht="12.75">
      <c r="A151" s="3" t="s">
        <v>53</v>
      </c>
      <c r="B151" s="3"/>
      <c r="C151" s="3" t="s">
        <v>253</v>
      </c>
      <c r="D151" s="143" t="s">
        <v>535</v>
      </c>
      <c r="E151" s="144"/>
      <c r="F151" s="3" t="s">
        <v>854</v>
      </c>
      <c r="G151" s="10">
        <v>43</v>
      </c>
      <c r="H151" s="10">
        <v>0</v>
      </c>
    </row>
    <row r="152" spans="4:7" ht="12" customHeight="1">
      <c r="D152" s="176" t="s">
        <v>536</v>
      </c>
      <c r="E152" s="177"/>
      <c r="F152" s="177"/>
      <c r="G152" s="11">
        <v>43</v>
      </c>
    </row>
    <row r="153" spans="1:8" ht="12.75">
      <c r="A153" s="3" t="s">
        <v>54</v>
      </c>
      <c r="B153" s="3"/>
      <c r="C153" s="3" t="s">
        <v>254</v>
      </c>
      <c r="D153" s="143" t="s">
        <v>537</v>
      </c>
      <c r="E153" s="144"/>
      <c r="F153" s="3" t="s">
        <v>854</v>
      </c>
      <c r="G153" s="10">
        <v>41</v>
      </c>
      <c r="H153" s="10">
        <v>0</v>
      </c>
    </row>
    <row r="154" spans="4:7" ht="12" customHeight="1">
      <c r="D154" s="176" t="s">
        <v>538</v>
      </c>
      <c r="E154" s="177"/>
      <c r="F154" s="177"/>
      <c r="G154" s="11">
        <v>41</v>
      </c>
    </row>
    <row r="155" spans="1:8" ht="12.75">
      <c r="A155" s="3" t="s">
        <v>55</v>
      </c>
      <c r="B155" s="3"/>
      <c r="C155" s="3" t="s">
        <v>255</v>
      </c>
      <c r="D155" s="143" t="s">
        <v>539</v>
      </c>
      <c r="E155" s="144"/>
      <c r="F155" s="3" t="s">
        <v>852</v>
      </c>
      <c r="G155" s="10">
        <v>38.86</v>
      </c>
      <c r="H155" s="10">
        <v>0</v>
      </c>
    </row>
    <row r="156" spans="4:7" ht="12" customHeight="1">
      <c r="D156" s="176" t="s">
        <v>540</v>
      </c>
      <c r="E156" s="177"/>
      <c r="F156" s="177"/>
      <c r="G156" s="11">
        <v>26.53</v>
      </c>
    </row>
    <row r="157" spans="1:8" ht="12" customHeight="1">
      <c r="A157" s="3"/>
      <c r="B157" s="3"/>
      <c r="C157" s="3"/>
      <c r="D157" s="176" t="s">
        <v>541</v>
      </c>
      <c r="E157" s="177"/>
      <c r="F157" s="176"/>
      <c r="G157" s="11">
        <v>12.33</v>
      </c>
      <c r="H157" s="16"/>
    </row>
    <row r="158" spans="1:8" ht="12.75">
      <c r="A158" s="3" t="s">
        <v>56</v>
      </c>
      <c r="B158" s="3"/>
      <c r="C158" s="3" t="s">
        <v>256</v>
      </c>
      <c r="D158" s="143" t="s">
        <v>542</v>
      </c>
      <c r="E158" s="144"/>
      <c r="F158" s="3" t="s">
        <v>852</v>
      </c>
      <c r="G158" s="10">
        <v>41.93</v>
      </c>
      <c r="H158" s="10">
        <v>0</v>
      </c>
    </row>
    <row r="159" spans="4:7" ht="12" customHeight="1">
      <c r="D159" s="176" t="s">
        <v>543</v>
      </c>
      <c r="E159" s="177"/>
      <c r="F159" s="177"/>
      <c r="G159" s="11">
        <v>41.93</v>
      </c>
    </row>
    <row r="160" spans="1:8" ht="12.75">
      <c r="A160" s="3" t="s">
        <v>57</v>
      </c>
      <c r="B160" s="3"/>
      <c r="C160" s="3" t="s">
        <v>257</v>
      </c>
      <c r="D160" s="143" t="s">
        <v>544</v>
      </c>
      <c r="E160" s="144"/>
      <c r="F160" s="3" t="s">
        <v>852</v>
      </c>
      <c r="G160" s="10">
        <v>155.92</v>
      </c>
      <c r="H160" s="10">
        <v>0</v>
      </c>
    </row>
    <row r="161" spans="4:7" ht="12" customHeight="1">
      <c r="D161" s="176" t="s">
        <v>545</v>
      </c>
      <c r="E161" s="177"/>
      <c r="F161" s="177"/>
      <c r="G161" s="11">
        <v>155.92</v>
      </c>
    </row>
    <row r="162" spans="1:8" ht="12.75">
      <c r="A162" s="3" t="s">
        <v>58</v>
      </c>
      <c r="B162" s="3"/>
      <c r="C162" s="3" t="s">
        <v>258</v>
      </c>
      <c r="D162" s="143" t="s">
        <v>546</v>
      </c>
      <c r="E162" s="144"/>
      <c r="F162" s="3" t="s">
        <v>852</v>
      </c>
      <c r="G162" s="10">
        <v>19.8</v>
      </c>
      <c r="H162" s="10">
        <v>0</v>
      </c>
    </row>
    <row r="163" spans="4:7" ht="12" customHeight="1">
      <c r="D163" s="176" t="s">
        <v>547</v>
      </c>
      <c r="E163" s="177"/>
      <c r="F163" s="177"/>
      <c r="G163" s="11">
        <v>19.8</v>
      </c>
    </row>
    <row r="164" spans="1:8" ht="12.75">
      <c r="A164" s="3" t="s">
        <v>59</v>
      </c>
      <c r="B164" s="3"/>
      <c r="C164" s="3" t="s">
        <v>259</v>
      </c>
      <c r="D164" s="143" t="s">
        <v>548</v>
      </c>
      <c r="E164" s="144"/>
      <c r="F164" s="3" t="s">
        <v>852</v>
      </c>
      <c r="G164" s="10">
        <v>256.51</v>
      </c>
      <c r="H164" s="10">
        <v>0</v>
      </c>
    </row>
    <row r="165" spans="4:7" ht="12" customHeight="1">
      <c r="D165" s="176" t="s">
        <v>549</v>
      </c>
      <c r="E165" s="177"/>
      <c r="F165" s="177"/>
      <c r="G165" s="11">
        <v>244.18</v>
      </c>
    </row>
    <row r="166" spans="1:8" ht="12" customHeight="1">
      <c r="A166" s="3"/>
      <c r="B166" s="3"/>
      <c r="C166" s="3"/>
      <c r="D166" s="176" t="s">
        <v>550</v>
      </c>
      <c r="E166" s="177"/>
      <c r="F166" s="176"/>
      <c r="G166" s="11">
        <v>12.33</v>
      </c>
      <c r="H166" s="16"/>
    </row>
    <row r="167" spans="1:8" ht="12.75">
      <c r="A167" s="5" t="s">
        <v>60</v>
      </c>
      <c r="B167" s="5"/>
      <c r="C167" s="5" t="s">
        <v>260</v>
      </c>
      <c r="D167" s="147" t="s">
        <v>551</v>
      </c>
      <c r="E167" s="148"/>
      <c r="F167" s="5" t="s">
        <v>852</v>
      </c>
      <c r="G167" s="13">
        <v>307.81</v>
      </c>
      <c r="H167" s="13">
        <v>0</v>
      </c>
    </row>
    <row r="168" spans="4:7" ht="12" customHeight="1">
      <c r="D168" s="178" t="s">
        <v>552</v>
      </c>
      <c r="E168" s="179"/>
      <c r="F168" s="179"/>
      <c r="G168" s="14">
        <v>307.81</v>
      </c>
    </row>
    <row r="169" spans="1:8" ht="12.75">
      <c r="A169" s="4"/>
      <c r="B169" s="4"/>
      <c r="C169" s="4" t="s">
        <v>48</v>
      </c>
      <c r="D169" s="145" t="s">
        <v>553</v>
      </c>
      <c r="E169" s="146"/>
      <c r="F169" s="4"/>
      <c r="G169" s="70"/>
      <c r="H169" s="12"/>
    </row>
    <row r="170" spans="1:8" ht="12.75">
      <c r="A170" s="3" t="s">
        <v>61</v>
      </c>
      <c r="B170" s="3"/>
      <c r="C170" s="3" t="s">
        <v>261</v>
      </c>
      <c r="D170" s="143" t="s">
        <v>554</v>
      </c>
      <c r="E170" s="144"/>
      <c r="F170" s="3" t="s">
        <v>852</v>
      </c>
      <c r="G170" s="10">
        <v>1.2</v>
      </c>
      <c r="H170" s="10">
        <v>0</v>
      </c>
    </row>
    <row r="171" spans="4:7" ht="12" customHeight="1">
      <c r="D171" s="176" t="s">
        <v>555</v>
      </c>
      <c r="E171" s="177"/>
      <c r="F171" s="177"/>
      <c r="G171" s="11">
        <v>1.2</v>
      </c>
    </row>
    <row r="172" spans="1:8" ht="12.75">
      <c r="A172" s="3" t="s">
        <v>62</v>
      </c>
      <c r="B172" s="3"/>
      <c r="C172" s="3" t="s">
        <v>262</v>
      </c>
      <c r="D172" s="143" t="s">
        <v>556</v>
      </c>
      <c r="E172" s="144"/>
      <c r="F172" s="3" t="s">
        <v>852</v>
      </c>
      <c r="G172" s="10">
        <v>1.2</v>
      </c>
      <c r="H172" s="10">
        <v>0</v>
      </c>
    </row>
    <row r="173" spans="4:7" ht="12" customHeight="1">
      <c r="D173" s="176" t="s">
        <v>557</v>
      </c>
      <c r="E173" s="177"/>
      <c r="F173" s="177"/>
      <c r="G173" s="11">
        <v>1.2</v>
      </c>
    </row>
    <row r="174" spans="1:8" ht="12.75">
      <c r="A174" s="3" t="s">
        <v>63</v>
      </c>
      <c r="B174" s="3"/>
      <c r="C174" s="3" t="s">
        <v>263</v>
      </c>
      <c r="D174" s="143" t="s">
        <v>558</v>
      </c>
      <c r="E174" s="144"/>
      <c r="F174" s="3" t="s">
        <v>852</v>
      </c>
      <c r="G174" s="10">
        <v>0.54</v>
      </c>
      <c r="H174" s="10">
        <v>0</v>
      </c>
    </row>
    <row r="175" spans="4:7" ht="12" customHeight="1">
      <c r="D175" s="176" t="s">
        <v>559</v>
      </c>
      <c r="E175" s="177"/>
      <c r="F175" s="177"/>
      <c r="G175" s="11">
        <v>0.54</v>
      </c>
    </row>
    <row r="176" spans="1:8" ht="12.75">
      <c r="A176" s="3" t="s">
        <v>64</v>
      </c>
      <c r="B176" s="3"/>
      <c r="C176" s="3" t="s">
        <v>264</v>
      </c>
      <c r="D176" s="143" t="s">
        <v>560</v>
      </c>
      <c r="E176" s="144"/>
      <c r="F176" s="3" t="s">
        <v>852</v>
      </c>
      <c r="G176" s="10">
        <v>0.54</v>
      </c>
      <c r="H176" s="10">
        <v>0</v>
      </c>
    </row>
    <row r="177" spans="4:7" ht="12" customHeight="1">
      <c r="D177" s="176" t="s">
        <v>561</v>
      </c>
      <c r="E177" s="177"/>
      <c r="F177" s="177"/>
      <c r="G177" s="11">
        <v>0.54</v>
      </c>
    </row>
    <row r="178" spans="1:8" ht="12.75">
      <c r="A178" s="3" t="s">
        <v>65</v>
      </c>
      <c r="B178" s="3"/>
      <c r="C178" s="3" t="s">
        <v>265</v>
      </c>
      <c r="D178" s="143" t="s">
        <v>562</v>
      </c>
      <c r="E178" s="144"/>
      <c r="F178" s="3" t="s">
        <v>857</v>
      </c>
      <c r="G178" s="10">
        <v>0.02</v>
      </c>
      <c r="H178" s="10">
        <v>0</v>
      </c>
    </row>
    <row r="179" spans="4:7" ht="12" customHeight="1">
      <c r="D179" s="176" t="s">
        <v>563</v>
      </c>
      <c r="E179" s="177"/>
      <c r="F179" s="177"/>
      <c r="G179" s="11">
        <v>0.02</v>
      </c>
    </row>
    <row r="180" spans="1:8" ht="12.75">
      <c r="A180" s="3" t="s">
        <v>66</v>
      </c>
      <c r="B180" s="3"/>
      <c r="C180" s="3" t="s">
        <v>266</v>
      </c>
      <c r="D180" s="143" t="s">
        <v>564</v>
      </c>
      <c r="E180" s="144"/>
      <c r="F180" s="3" t="s">
        <v>851</v>
      </c>
      <c r="G180" s="10">
        <v>1.05</v>
      </c>
      <c r="H180" s="10">
        <v>0</v>
      </c>
    </row>
    <row r="181" spans="4:7" ht="12" customHeight="1">
      <c r="D181" s="176" t="s">
        <v>565</v>
      </c>
      <c r="E181" s="177"/>
      <c r="F181" s="177"/>
      <c r="G181" s="11">
        <v>1.05</v>
      </c>
    </row>
    <row r="182" spans="1:8" ht="12.75">
      <c r="A182" s="4"/>
      <c r="B182" s="4"/>
      <c r="C182" s="4" t="s">
        <v>62</v>
      </c>
      <c r="D182" s="145" t="s">
        <v>566</v>
      </c>
      <c r="E182" s="146"/>
      <c r="F182" s="4"/>
      <c r="G182" s="70"/>
      <c r="H182" s="12"/>
    </row>
    <row r="183" spans="1:8" ht="12.75">
      <c r="A183" s="3" t="s">
        <v>67</v>
      </c>
      <c r="B183" s="3"/>
      <c r="C183" s="3" t="s">
        <v>267</v>
      </c>
      <c r="D183" s="143" t="s">
        <v>567</v>
      </c>
      <c r="E183" s="144"/>
      <c r="F183" s="3" t="s">
        <v>852</v>
      </c>
      <c r="G183" s="10">
        <v>24.64</v>
      </c>
      <c r="H183" s="10">
        <v>0</v>
      </c>
    </row>
    <row r="184" spans="4:7" ht="12" customHeight="1">
      <c r="D184" s="176" t="s">
        <v>568</v>
      </c>
      <c r="E184" s="177"/>
      <c r="F184" s="177"/>
      <c r="G184" s="11">
        <v>24.64</v>
      </c>
    </row>
    <row r="185" spans="1:8" ht="12.75">
      <c r="A185" s="3" t="s">
        <v>68</v>
      </c>
      <c r="B185" s="3"/>
      <c r="C185" s="3" t="s">
        <v>268</v>
      </c>
      <c r="D185" s="143" t="s">
        <v>569</v>
      </c>
      <c r="E185" s="144"/>
      <c r="F185" s="3" t="s">
        <v>852</v>
      </c>
      <c r="G185" s="10">
        <v>24.64</v>
      </c>
      <c r="H185" s="10">
        <v>0</v>
      </c>
    </row>
    <row r="186" spans="4:7" ht="12" customHeight="1">
      <c r="D186" s="176" t="s">
        <v>568</v>
      </c>
      <c r="E186" s="177"/>
      <c r="F186" s="177"/>
      <c r="G186" s="11">
        <v>24.64</v>
      </c>
    </row>
    <row r="187" spans="1:8" ht="12.75">
      <c r="A187" s="3" t="s">
        <v>69</v>
      </c>
      <c r="B187" s="3"/>
      <c r="C187" s="3" t="s">
        <v>269</v>
      </c>
      <c r="D187" s="143" t="s">
        <v>570</v>
      </c>
      <c r="E187" s="144"/>
      <c r="F187" s="3" t="s">
        <v>856</v>
      </c>
      <c r="G187" s="10">
        <v>10.8</v>
      </c>
      <c r="H187" s="10">
        <v>0</v>
      </c>
    </row>
    <row r="188" spans="4:7" ht="12" customHeight="1">
      <c r="D188" s="176" t="s">
        <v>571</v>
      </c>
      <c r="E188" s="177"/>
      <c r="F188" s="177"/>
      <c r="G188" s="11">
        <v>10.8</v>
      </c>
    </row>
    <row r="189" spans="1:8" ht="12.75">
      <c r="A189" s="3" t="s">
        <v>70</v>
      </c>
      <c r="B189" s="3"/>
      <c r="C189" s="3" t="s">
        <v>270</v>
      </c>
      <c r="D189" s="143" t="s">
        <v>572</v>
      </c>
      <c r="E189" s="144"/>
      <c r="F189" s="3" t="s">
        <v>856</v>
      </c>
      <c r="G189" s="10">
        <v>6.8</v>
      </c>
      <c r="H189" s="10">
        <v>0</v>
      </c>
    </row>
    <row r="190" spans="4:7" ht="12" customHeight="1">
      <c r="D190" s="176" t="s">
        <v>573</v>
      </c>
      <c r="E190" s="177"/>
      <c r="F190" s="177"/>
      <c r="G190" s="11">
        <v>6.8</v>
      </c>
    </row>
    <row r="191" spans="1:8" ht="12.75">
      <c r="A191" s="3" t="s">
        <v>71</v>
      </c>
      <c r="B191" s="3"/>
      <c r="C191" s="3" t="s">
        <v>271</v>
      </c>
      <c r="D191" s="143" t="s">
        <v>574</v>
      </c>
      <c r="E191" s="144"/>
      <c r="F191" s="3" t="s">
        <v>852</v>
      </c>
      <c r="G191" s="10">
        <v>24.64</v>
      </c>
      <c r="H191" s="10">
        <v>0</v>
      </c>
    </row>
    <row r="192" spans="4:7" ht="12" customHeight="1">
      <c r="D192" s="176" t="s">
        <v>568</v>
      </c>
      <c r="E192" s="177"/>
      <c r="F192" s="177"/>
      <c r="G192" s="11">
        <v>24.64</v>
      </c>
    </row>
    <row r="193" spans="1:8" ht="12.75">
      <c r="A193" s="3" t="s">
        <v>72</v>
      </c>
      <c r="B193" s="3"/>
      <c r="C193" s="3" t="s">
        <v>272</v>
      </c>
      <c r="D193" s="143" t="s">
        <v>575</v>
      </c>
      <c r="E193" s="144"/>
      <c r="F193" s="3" t="s">
        <v>852</v>
      </c>
      <c r="G193" s="10">
        <v>24.64</v>
      </c>
      <c r="H193" s="10">
        <v>0</v>
      </c>
    </row>
    <row r="194" spans="4:7" ht="12" customHeight="1">
      <c r="D194" s="176" t="s">
        <v>568</v>
      </c>
      <c r="E194" s="177"/>
      <c r="F194" s="177"/>
      <c r="G194" s="11">
        <v>24.64</v>
      </c>
    </row>
    <row r="195" spans="1:8" ht="12.75">
      <c r="A195" s="3" t="s">
        <v>73</v>
      </c>
      <c r="B195" s="3"/>
      <c r="C195" s="3" t="s">
        <v>273</v>
      </c>
      <c r="D195" s="143" t="s">
        <v>576</v>
      </c>
      <c r="E195" s="144"/>
      <c r="F195" s="3" t="s">
        <v>852</v>
      </c>
      <c r="G195" s="10">
        <v>24.64</v>
      </c>
      <c r="H195" s="10">
        <v>0</v>
      </c>
    </row>
    <row r="196" spans="4:7" ht="12" customHeight="1">
      <c r="D196" s="176" t="s">
        <v>568</v>
      </c>
      <c r="E196" s="177"/>
      <c r="F196" s="177"/>
      <c r="G196" s="11">
        <v>24.64</v>
      </c>
    </row>
    <row r="197" spans="1:8" ht="12.75">
      <c r="A197" s="3" t="s">
        <v>74</v>
      </c>
      <c r="B197" s="3"/>
      <c r="C197" s="3" t="s">
        <v>274</v>
      </c>
      <c r="D197" s="143" t="s">
        <v>577</v>
      </c>
      <c r="E197" s="144"/>
      <c r="F197" s="3" t="s">
        <v>856</v>
      </c>
      <c r="G197" s="10">
        <v>11</v>
      </c>
      <c r="H197" s="10">
        <v>0</v>
      </c>
    </row>
    <row r="198" spans="4:7" ht="12" customHeight="1">
      <c r="D198" s="176" t="s">
        <v>578</v>
      </c>
      <c r="E198" s="177"/>
      <c r="F198" s="177"/>
      <c r="G198" s="11">
        <v>11</v>
      </c>
    </row>
    <row r="199" spans="1:8" ht="12.75">
      <c r="A199" s="5" t="s">
        <v>75</v>
      </c>
      <c r="B199" s="5"/>
      <c r="C199" s="5" t="s">
        <v>275</v>
      </c>
      <c r="D199" s="147" t="s">
        <v>579</v>
      </c>
      <c r="E199" s="148"/>
      <c r="F199" s="5" t="s">
        <v>854</v>
      </c>
      <c r="G199" s="13">
        <v>11</v>
      </c>
      <c r="H199" s="13">
        <v>0</v>
      </c>
    </row>
    <row r="200" spans="4:7" ht="12" customHeight="1">
      <c r="D200" s="178" t="s">
        <v>578</v>
      </c>
      <c r="E200" s="179"/>
      <c r="F200" s="179"/>
      <c r="G200" s="14">
        <v>11</v>
      </c>
    </row>
    <row r="201" spans="1:8" ht="12.75">
      <c r="A201" s="4"/>
      <c r="B201" s="4"/>
      <c r="C201" s="4" t="s">
        <v>66</v>
      </c>
      <c r="D201" s="145" t="s">
        <v>580</v>
      </c>
      <c r="E201" s="146"/>
      <c r="F201" s="4"/>
      <c r="G201" s="70"/>
      <c r="H201" s="12"/>
    </row>
    <row r="202" spans="1:8" ht="12.75">
      <c r="A202" s="3" t="s">
        <v>76</v>
      </c>
      <c r="B202" s="3"/>
      <c r="C202" s="3" t="s">
        <v>276</v>
      </c>
      <c r="D202" s="143" t="s">
        <v>581</v>
      </c>
      <c r="E202" s="144"/>
      <c r="F202" s="3" t="s">
        <v>852</v>
      </c>
      <c r="G202" s="10">
        <v>122.87</v>
      </c>
      <c r="H202" s="10">
        <v>0</v>
      </c>
    </row>
    <row r="203" spans="4:7" ht="12" customHeight="1">
      <c r="D203" s="176" t="s">
        <v>582</v>
      </c>
      <c r="E203" s="177"/>
      <c r="F203" s="177"/>
      <c r="G203" s="11">
        <v>122.87</v>
      </c>
    </row>
    <row r="204" spans="1:8" ht="12.75">
      <c r="A204" s="3" t="s">
        <v>77</v>
      </c>
      <c r="B204" s="3"/>
      <c r="C204" s="3" t="s">
        <v>277</v>
      </c>
      <c r="D204" s="143" t="s">
        <v>583</v>
      </c>
      <c r="E204" s="144"/>
      <c r="F204" s="3" t="s">
        <v>852</v>
      </c>
      <c r="G204" s="10">
        <v>122.87</v>
      </c>
      <c r="H204" s="10">
        <v>0</v>
      </c>
    </row>
    <row r="205" spans="4:7" ht="12" customHeight="1">
      <c r="D205" s="176" t="s">
        <v>584</v>
      </c>
      <c r="E205" s="177"/>
      <c r="F205" s="177"/>
      <c r="G205" s="11">
        <v>86.95</v>
      </c>
    </row>
    <row r="206" spans="1:8" ht="12" customHeight="1">
      <c r="A206" s="3"/>
      <c r="B206" s="3"/>
      <c r="C206" s="3"/>
      <c r="D206" s="176" t="s">
        <v>585</v>
      </c>
      <c r="E206" s="177"/>
      <c r="F206" s="176"/>
      <c r="G206" s="11">
        <v>35.92</v>
      </c>
      <c r="H206" s="16"/>
    </row>
    <row r="207" spans="1:8" ht="12.75">
      <c r="A207" s="3" t="s">
        <v>78</v>
      </c>
      <c r="B207" s="3"/>
      <c r="C207" s="3" t="s">
        <v>278</v>
      </c>
      <c r="D207" s="143" t="s">
        <v>586</v>
      </c>
      <c r="E207" s="144"/>
      <c r="F207" s="3" t="s">
        <v>852</v>
      </c>
      <c r="G207" s="10">
        <v>802</v>
      </c>
      <c r="H207" s="10">
        <v>0</v>
      </c>
    </row>
    <row r="208" spans="4:7" ht="12" customHeight="1">
      <c r="D208" s="176" t="s">
        <v>587</v>
      </c>
      <c r="E208" s="177"/>
      <c r="F208" s="177"/>
      <c r="G208" s="11">
        <v>802</v>
      </c>
    </row>
    <row r="209" spans="1:8" ht="12.75">
      <c r="A209" s="3" t="s">
        <v>79</v>
      </c>
      <c r="B209" s="3"/>
      <c r="C209" s="3" t="s">
        <v>279</v>
      </c>
      <c r="D209" s="143" t="s">
        <v>588</v>
      </c>
      <c r="E209" s="144"/>
      <c r="F209" s="3" t="s">
        <v>852</v>
      </c>
      <c r="G209" s="10">
        <v>294.68</v>
      </c>
      <c r="H209" s="10">
        <v>0</v>
      </c>
    </row>
    <row r="210" spans="4:7" ht="12" customHeight="1">
      <c r="D210" s="176" t="s">
        <v>589</v>
      </c>
      <c r="E210" s="177"/>
      <c r="F210" s="177"/>
      <c r="G210" s="11">
        <v>144.79</v>
      </c>
    </row>
    <row r="211" spans="1:8" ht="12" customHeight="1">
      <c r="A211" s="3"/>
      <c r="B211" s="3"/>
      <c r="C211" s="3"/>
      <c r="D211" s="176" t="s">
        <v>590</v>
      </c>
      <c r="E211" s="177"/>
      <c r="F211" s="176"/>
      <c r="G211" s="11">
        <v>134.14</v>
      </c>
      <c r="H211" s="16"/>
    </row>
    <row r="212" spans="1:8" ht="12" customHeight="1">
      <c r="A212" s="3"/>
      <c r="B212" s="3"/>
      <c r="C212" s="3"/>
      <c r="D212" s="176" t="s">
        <v>591</v>
      </c>
      <c r="E212" s="177"/>
      <c r="F212" s="176"/>
      <c r="G212" s="11">
        <v>-41.8</v>
      </c>
      <c r="H212" s="16"/>
    </row>
    <row r="213" spans="1:8" ht="12" customHeight="1">
      <c r="A213" s="3"/>
      <c r="B213" s="3"/>
      <c r="C213" s="3"/>
      <c r="D213" s="176" t="s">
        <v>592</v>
      </c>
      <c r="E213" s="177"/>
      <c r="F213" s="176"/>
      <c r="G213" s="11">
        <v>57.55</v>
      </c>
      <c r="H213" s="16"/>
    </row>
    <row r="214" spans="1:8" ht="12.75">
      <c r="A214" s="3" t="s">
        <v>80</v>
      </c>
      <c r="B214" s="3"/>
      <c r="C214" s="3" t="s">
        <v>280</v>
      </c>
      <c r="D214" s="143" t="s">
        <v>593</v>
      </c>
      <c r="E214" s="144"/>
      <c r="F214" s="3" t="s">
        <v>852</v>
      </c>
      <c r="G214" s="10">
        <v>201.42</v>
      </c>
      <c r="H214" s="10">
        <v>0</v>
      </c>
    </row>
    <row r="215" spans="4:7" ht="12" customHeight="1">
      <c r="D215" s="176" t="s">
        <v>594</v>
      </c>
      <c r="E215" s="177"/>
      <c r="F215" s="177"/>
      <c r="G215" s="11">
        <v>371.46</v>
      </c>
    </row>
    <row r="216" spans="1:8" ht="12" customHeight="1">
      <c r="A216" s="3"/>
      <c r="B216" s="3"/>
      <c r="C216" s="3"/>
      <c r="D216" s="176" t="s">
        <v>595</v>
      </c>
      <c r="E216" s="177"/>
      <c r="F216" s="176"/>
      <c r="G216" s="11">
        <v>-227.59</v>
      </c>
      <c r="H216" s="16"/>
    </row>
    <row r="217" spans="1:8" ht="12" customHeight="1">
      <c r="A217" s="3"/>
      <c r="B217" s="3"/>
      <c r="C217" s="3"/>
      <c r="D217" s="176" t="s">
        <v>596</v>
      </c>
      <c r="E217" s="177"/>
      <c r="F217" s="176"/>
      <c r="G217" s="11">
        <v>57.55</v>
      </c>
      <c r="H217" s="16"/>
    </row>
    <row r="218" spans="1:8" ht="12.75">
      <c r="A218" s="3" t="s">
        <v>81</v>
      </c>
      <c r="B218" s="3"/>
      <c r="C218" s="3" t="s">
        <v>281</v>
      </c>
      <c r="D218" s="143" t="s">
        <v>597</v>
      </c>
      <c r="E218" s="144"/>
      <c r="F218" s="3" t="s">
        <v>852</v>
      </c>
      <c r="G218" s="10">
        <v>20.16</v>
      </c>
      <c r="H218" s="10">
        <v>0</v>
      </c>
    </row>
    <row r="219" spans="4:7" ht="12" customHeight="1">
      <c r="D219" s="176" t="s">
        <v>598</v>
      </c>
      <c r="E219" s="177"/>
      <c r="F219" s="177"/>
      <c r="G219" s="11">
        <v>20.16</v>
      </c>
    </row>
    <row r="220" spans="1:8" ht="12.75">
      <c r="A220" s="3" t="s">
        <v>82</v>
      </c>
      <c r="B220" s="3"/>
      <c r="C220" s="3" t="s">
        <v>282</v>
      </c>
      <c r="D220" s="143" t="s">
        <v>599</v>
      </c>
      <c r="E220" s="144"/>
      <c r="F220" s="3" t="s">
        <v>852</v>
      </c>
      <c r="G220" s="10">
        <v>20.16</v>
      </c>
      <c r="H220" s="10">
        <v>0</v>
      </c>
    </row>
    <row r="221" spans="4:7" ht="12" customHeight="1">
      <c r="D221" s="176" t="s">
        <v>600</v>
      </c>
      <c r="E221" s="177"/>
      <c r="F221" s="177"/>
      <c r="G221" s="11">
        <v>20.16</v>
      </c>
    </row>
    <row r="222" spans="1:8" ht="12.75">
      <c r="A222" s="3" t="s">
        <v>83</v>
      </c>
      <c r="B222" s="3"/>
      <c r="C222" s="3" t="s">
        <v>283</v>
      </c>
      <c r="D222" s="143" t="s">
        <v>601</v>
      </c>
      <c r="E222" s="144"/>
      <c r="F222" s="3" t="s">
        <v>856</v>
      </c>
      <c r="G222" s="10">
        <v>122</v>
      </c>
      <c r="H222" s="10">
        <v>0</v>
      </c>
    </row>
    <row r="223" spans="4:7" ht="12" customHeight="1">
      <c r="D223" s="176" t="s">
        <v>602</v>
      </c>
      <c r="E223" s="177"/>
      <c r="F223" s="177"/>
      <c r="G223" s="11">
        <v>122</v>
      </c>
    </row>
    <row r="224" spans="1:8" ht="12.75">
      <c r="A224" s="3" t="s">
        <v>84</v>
      </c>
      <c r="B224" s="3"/>
      <c r="C224" s="3" t="s">
        <v>284</v>
      </c>
      <c r="D224" s="143" t="s">
        <v>603</v>
      </c>
      <c r="E224" s="144"/>
      <c r="F224" s="3" t="s">
        <v>852</v>
      </c>
      <c r="G224" s="10">
        <v>10.45</v>
      </c>
      <c r="H224" s="10">
        <v>0</v>
      </c>
    </row>
    <row r="225" spans="4:7" ht="12" customHeight="1">
      <c r="D225" s="176" t="s">
        <v>604</v>
      </c>
      <c r="E225" s="177"/>
      <c r="F225" s="177"/>
      <c r="G225" s="11">
        <v>10.45</v>
      </c>
    </row>
    <row r="226" spans="1:8" ht="12.75">
      <c r="A226" s="3" t="s">
        <v>85</v>
      </c>
      <c r="B226" s="3"/>
      <c r="C226" s="3" t="s">
        <v>285</v>
      </c>
      <c r="D226" s="143" t="s">
        <v>605</v>
      </c>
      <c r="E226" s="144"/>
      <c r="F226" s="3" t="s">
        <v>856</v>
      </c>
      <c r="G226" s="10">
        <v>170.3</v>
      </c>
      <c r="H226" s="10">
        <v>0</v>
      </c>
    </row>
    <row r="227" spans="4:7" ht="12" customHeight="1">
      <c r="D227" s="176" t="s">
        <v>606</v>
      </c>
      <c r="E227" s="177"/>
      <c r="F227" s="177"/>
      <c r="G227" s="11">
        <v>170.3</v>
      </c>
    </row>
    <row r="228" spans="1:8" ht="12.75">
      <c r="A228" s="3" t="s">
        <v>86</v>
      </c>
      <c r="B228" s="3"/>
      <c r="C228" s="3" t="s">
        <v>286</v>
      </c>
      <c r="D228" s="143" t="s">
        <v>607</v>
      </c>
      <c r="E228" s="144"/>
      <c r="F228" s="3" t="s">
        <v>858</v>
      </c>
      <c r="G228" s="10">
        <v>50</v>
      </c>
      <c r="H228" s="10">
        <v>0</v>
      </c>
    </row>
    <row r="229" spans="4:7" ht="12" customHeight="1">
      <c r="D229" s="176" t="s">
        <v>608</v>
      </c>
      <c r="E229" s="177"/>
      <c r="F229" s="177"/>
      <c r="G229" s="11">
        <v>50</v>
      </c>
    </row>
    <row r="230" spans="1:8" ht="12.75">
      <c r="A230" s="4"/>
      <c r="B230" s="4"/>
      <c r="C230" s="4" t="s">
        <v>67</v>
      </c>
      <c r="D230" s="145" t="s">
        <v>609</v>
      </c>
      <c r="E230" s="146"/>
      <c r="F230" s="4"/>
      <c r="G230" s="70"/>
      <c r="H230" s="12"/>
    </row>
    <row r="231" spans="1:8" ht="12.75">
      <c r="A231" s="3" t="s">
        <v>87</v>
      </c>
      <c r="B231" s="3"/>
      <c r="C231" s="3" t="s">
        <v>287</v>
      </c>
      <c r="D231" s="143" t="s">
        <v>610</v>
      </c>
      <c r="E231" s="144"/>
      <c r="F231" s="3" t="s">
        <v>852</v>
      </c>
      <c r="G231" s="10">
        <v>33.35</v>
      </c>
      <c r="H231" s="10">
        <v>0</v>
      </c>
    </row>
    <row r="232" spans="4:7" ht="12" customHeight="1">
      <c r="D232" s="176" t="s">
        <v>611</v>
      </c>
      <c r="E232" s="177"/>
      <c r="F232" s="177"/>
      <c r="G232" s="11">
        <v>14.5</v>
      </c>
    </row>
    <row r="233" spans="1:8" ht="12" customHeight="1">
      <c r="A233" s="3"/>
      <c r="B233" s="3"/>
      <c r="C233" s="3"/>
      <c r="D233" s="176" t="s">
        <v>612</v>
      </c>
      <c r="E233" s="177"/>
      <c r="F233" s="176"/>
      <c r="G233" s="11">
        <v>18.85</v>
      </c>
      <c r="H233" s="16"/>
    </row>
    <row r="234" spans="1:8" ht="12.75">
      <c r="A234" s="3" t="s">
        <v>88</v>
      </c>
      <c r="B234" s="3"/>
      <c r="C234" s="3" t="s">
        <v>288</v>
      </c>
      <c r="D234" s="143" t="s">
        <v>613</v>
      </c>
      <c r="E234" s="144"/>
      <c r="F234" s="3" t="s">
        <v>852</v>
      </c>
      <c r="G234" s="10">
        <v>33.35</v>
      </c>
      <c r="H234" s="10">
        <v>0</v>
      </c>
    </row>
    <row r="235" spans="4:7" ht="12" customHeight="1">
      <c r="D235" s="176" t="s">
        <v>611</v>
      </c>
      <c r="E235" s="177"/>
      <c r="F235" s="177"/>
      <c r="G235" s="11">
        <v>14.5</v>
      </c>
    </row>
    <row r="236" spans="1:8" ht="12" customHeight="1">
      <c r="A236" s="3"/>
      <c r="B236" s="3"/>
      <c r="C236" s="3"/>
      <c r="D236" s="176" t="s">
        <v>612</v>
      </c>
      <c r="E236" s="177"/>
      <c r="F236" s="176"/>
      <c r="G236" s="11">
        <v>18.85</v>
      </c>
      <c r="H236" s="16"/>
    </row>
    <row r="237" spans="1:8" ht="12.75">
      <c r="A237" s="3" t="s">
        <v>89</v>
      </c>
      <c r="B237" s="3"/>
      <c r="C237" s="3" t="s">
        <v>289</v>
      </c>
      <c r="D237" s="143" t="s">
        <v>614</v>
      </c>
      <c r="E237" s="144"/>
      <c r="F237" s="3" t="s">
        <v>852</v>
      </c>
      <c r="G237" s="10">
        <v>35.39</v>
      </c>
      <c r="H237" s="10">
        <v>0</v>
      </c>
    </row>
    <row r="238" spans="4:7" ht="12" customHeight="1">
      <c r="D238" s="176" t="s">
        <v>615</v>
      </c>
      <c r="E238" s="177"/>
      <c r="F238" s="177"/>
      <c r="G238" s="11">
        <v>7.15</v>
      </c>
    </row>
    <row r="239" spans="1:8" ht="12" customHeight="1">
      <c r="A239" s="3"/>
      <c r="B239" s="3"/>
      <c r="C239" s="3"/>
      <c r="D239" s="176" t="s">
        <v>616</v>
      </c>
      <c r="E239" s="177"/>
      <c r="F239" s="176"/>
      <c r="G239" s="11">
        <v>14.06</v>
      </c>
      <c r="H239" s="16"/>
    </row>
    <row r="240" spans="1:8" ht="12" customHeight="1">
      <c r="A240" s="3"/>
      <c r="B240" s="3"/>
      <c r="C240" s="3"/>
      <c r="D240" s="176" t="s">
        <v>617</v>
      </c>
      <c r="E240" s="177"/>
      <c r="F240" s="176"/>
      <c r="G240" s="11">
        <v>14.18</v>
      </c>
      <c r="H240" s="16"/>
    </row>
    <row r="241" spans="1:8" ht="12.75">
      <c r="A241" s="3" t="s">
        <v>90</v>
      </c>
      <c r="B241" s="3"/>
      <c r="C241" s="3" t="s">
        <v>290</v>
      </c>
      <c r="D241" s="143" t="s">
        <v>618</v>
      </c>
      <c r="E241" s="144"/>
      <c r="F241" s="3" t="s">
        <v>852</v>
      </c>
      <c r="G241" s="10">
        <v>27.51</v>
      </c>
      <c r="H241" s="10">
        <v>0</v>
      </c>
    </row>
    <row r="242" spans="4:7" ht="12" customHeight="1">
      <c r="D242" s="176" t="s">
        <v>619</v>
      </c>
      <c r="E242" s="177"/>
      <c r="F242" s="177"/>
      <c r="G242" s="11">
        <v>14.11</v>
      </c>
    </row>
    <row r="243" spans="1:8" ht="12" customHeight="1">
      <c r="A243" s="3"/>
      <c r="B243" s="3"/>
      <c r="C243" s="3"/>
      <c r="D243" s="176" t="s">
        <v>620</v>
      </c>
      <c r="E243" s="177"/>
      <c r="F243" s="176"/>
      <c r="G243" s="11">
        <v>13.4</v>
      </c>
      <c r="H243" s="16"/>
    </row>
    <row r="244" spans="1:8" ht="12.75">
      <c r="A244" s="5" t="s">
        <v>91</v>
      </c>
      <c r="B244" s="5"/>
      <c r="C244" s="5" t="s">
        <v>291</v>
      </c>
      <c r="D244" s="147" t="s">
        <v>621</v>
      </c>
      <c r="E244" s="148"/>
      <c r="F244" s="5" t="s">
        <v>852</v>
      </c>
      <c r="G244" s="13">
        <v>139.03</v>
      </c>
      <c r="H244" s="13">
        <v>0</v>
      </c>
    </row>
    <row r="245" spans="4:7" ht="12" customHeight="1">
      <c r="D245" s="178" t="s">
        <v>622</v>
      </c>
      <c r="E245" s="179"/>
      <c r="F245" s="179"/>
      <c r="G245" s="14">
        <v>27.51</v>
      </c>
    </row>
    <row r="246" spans="1:8" ht="12" customHeight="1">
      <c r="A246" s="5"/>
      <c r="B246" s="5"/>
      <c r="C246" s="5"/>
      <c r="D246" s="178" t="s">
        <v>623</v>
      </c>
      <c r="E246" s="179"/>
      <c r="F246" s="178"/>
      <c r="G246" s="14">
        <v>111.52</v>
      </c>
      <c r="H246" s="17"/>
    </row>
    <row r="247" spans="1:8" ht="12.75">
      <c r="A247" s="3" t="s">
        <v>92</v>
      </c>
      <c r="B247" s="3"/>
      <c r="C247" s="3" t="s">
        <v>292</v>
      </c>
      <c r="D247" s="143" t="s">
        <v>624</v>
      </c>
      <c r="E247" s="144"/>
      <c r="F247" s="3" t="s">
        <v>852</v>
      </c>
      <c r="G247" s="10">
        <v>27.51</v>
      </c>
      <c r="H247" s="10">
        <v>0</v>
      </c>
    </row>
    <row r="248" spans="4:7" ht="12" customHeight="1">
      <c r="D248" s="176" t="s">
        <v>622</v>
      </c>
      <c r="E248" s="177"/>
      <c r="F248" s="177"/>
      <c r="G248" s="11">
        <v>27.51</v>
      </c>
    </row>
    <row r="249" spans="1:8" ht="12.75">
      <c r="A249" s="4"/>
      <c r="B249" s="4"/>
      <c r="C249" s="4" t="s">
        <v>68</v>
      </c>
      <c r="D249" s="145" t="s">
        <v>625</v>
      </c>
      <c r="E249" s="146"/>
      <c r="F249" s="4"/>
      <c r="G249" s="70"/>
      <c r="H249" s="12"/>
    </row>
    <row r="250" spans="1:8" ht="12.75">
      <c r="A250" s="3" t="s">
        <v>93</v>
      </c>
      <c r="B250" s="3"/>
      <c r="C250" s="3" t="s">
        <v>293</v>
      </c>
      <c r="D250" s="143" t="s">
        <v>626</v>
      </c>
      <c r="E250" s="144"/>
      <c r="F250" s="3" t="s">
        <v>852</v>
      </c>
      <c r="G250" s="10">
        <v>192.23</v>
      </c>
      <c r="H250" s="10">
        <v>0</v>
      </c>
    </row>
    <row r="251" spans="4:7" ht="12" customHeight="1">
      <c r="D251" s="176" t="s">
        <v>627</v>
      </c>
      <c r="E251" s="177"/>
      <c r="F251" s="177"/>
      <c r="G251" s="11">
        <v>82.99</v>
      </c>
    </row>
    <row r="252" spans="1:8" ht="12" customHeight="1">
      <c r="A252" s="3"/>
      <c r="B252" s="3"/>
      <c r="C252" s="3"/>
      <c r="D252" s="176" t="s">
        <v>628</v>
      </c>
      <c r="E252" s="177"/>
      <c r="F252" s="176"/>
      <c r="G252" s="11">
        <v>109.24</v>
      </c>
      <c r="H252" s="16"/>
    </row>
    <row r="253" spans="1:8" ht="12.75">
      <c r="A253" s="72" t="s">
        <v>94</v>
      </c>
      <c r="B253" s="72"/>
      <c r="C253" s="72" t="s">
        <v>294</v>
      </c>
      <c r="D253" s="180" t="s">
        <v>629</v>
      </c>
      <c r="E253" s="150"/>
      <c r="F253" s="72" t="s">
        <v>851</v>
      </c>
      <c r="G253" s="74">
        <v>8.5</v>
      </c>
      <c r="H253" s="73">
        <v>0</v>
      </c>
    </row>
    <row r="254" spans="4:7" ht="12" customHeight="1">
      <c r="D254" s="176" t="s">
        <v>630</v>
      </c>
      <c r="E254" s="177"/>
      <c r="F254" s="177"/>
      <c r="G254" s="11">
        <v>8.5</v>
      </c>
    </row>
    <row r="255" spans="1:8" ht="12.75">
      <c r="A255" s="3" t="s">
        <v>95</v>
      </c>
      <c r="B255" s="3"/>
      <c r="C255" s="3" t="s">
        <v>295</v>
      </c>
      <c r="D255" s="143" t="s">
        <v>631</v>
      </c>
      <c r="E255" s="144"/>
      <c r="F255" s="3" t="s">
        <v>857</v>
      </c>
      <c r="G255" s="10">
        <v>0.32</v>
      </c>
      <c r="H255" s="10">
        <v>0</v>
      </c>
    </row>
    <row r="256" spans="4:7" ht="12" customHeight="1">
      <c r="D256" s="176" t="s">
        <v>632</v>
      </c>
      <c r="E256" s="177"/>
      <c r="F256" s="177"/>
      <c r="G256" s="11">
        <v>0.32</v>
      </c>
    </row>
    <row r="257" spans="1:8" ht="12.75">
      <c r="A257" s="4"/>
      <c r="B257" s="4"/>
      <c r="C257" s="4" t="s">
        <v>296</v>
      </c>
      <c r="D257" s="145" t="s">
        <v>633</v>
      </c>
      <c r="E257" s="146"/>
      <c r="F257" s="4"/>
      <c r="G257" s="70"/>
      <c r="H257" s="12"/>
    </row>
    <row r="258" spans="1:8" ht="12.75">
      <c r="A258" s="3" t="s">
        <v>96</v>
      </c>
      <c r="B258" s="3"/>
      <c r="C258" s="3" t="s">
        <v>297</v>
      </c>
      <c r="D258" s="143" t="s">
        <v>634</v>
      </c>
      <c r="E258" s="144"/>
      <c r="F258" s="3" t="s">
        <v>852</v>
      </c>
      <c r="G258" s="10">
        <v>85.1</v>
      </c>
      <c r="H258" s="10">
        <v>0</v>
      </c>
    </row>
    <row r="259" spans="4:7" ht="12" customHeight="1">
      <c r="D259" s="176" t="s">
        <v>635</v>
      </c>
      <c r="E259" s="177"/>
      <c r="F259" s="177"/>
      <c r="G259" s="11">
        <v>85.1</v>
      </c>
    </row>
    <row r="260" spans="1:8" ht="12.75">
      <c r="A260" s="3" t="s">
        <v>97</v>
      </c>
      <c r="B260" s="3"/>
      <c r="C260" s="3" t="s">
        <v>298</v>
      </c>
      <c r="D260" s="143" t="s">
        <v>636</v>
      </c>
      <c r="E260" s="144"/>
      <c r="F260" s="3" t="s">
        <v>852</v>
      </c>
      <c r="G260" s="10">
        <v>7.38</v>
      </c>
      <c r="H260" s="10">
        <v>0</v>
      </c>
    </row>
    <row r="261" spans="4:7" ht="12" customHeight="1">
      <c r="D261" s="176" t="s">
        <v>637</v>
      </c>
      <c r="E261" s="177"/>
      <c r="F261" s="177"/>
      <c r="G261" s="11">
        <v>7.38</v>
      </c>
    </row>
    <row r="262" spans="1:8" ht="12.75">
      <c r="A262" s="3" t="s">
        <v>98</v>
      </c>
      <c r="B262" s="3"/>
      <c r="C262" s="3" t="s">
        <v>299</v>
      </c>
      <c r="D262" s="143" t="s">
        <v>638</v>
      </c>
      <c r="E262" s="144"/>
      <c r="F262" s="3" t="s">
        <v>852</v>
      </c>
      <c r="G262" s="10">
        <v>85.1</v>
      </c>
      <c r="H262" s="10">
        <v>0</v>
      </c>
    </row>
    <row r="263" spans="4:7" ht="12" customHeight="1">
      <c r="D263" s="176" t="s">
        <v>635</v>
      </c>
      <c r="E263" s="177"/>
      <c r="F263" s="177"/>
      <c r="G263" s="11">
        <v>85.1</v>
      </c>
    </row>
    <row r="264" spans="1:8" ht="12.75">
      <c r="A264" s="3" t="s">
        <v>99</v>
      </c>
      <c r="B264" s="3"/>
      <c r="C264" s="3" t="s">
        <v>300</v>
      </c>
      <c r="D264" s="143" t="s">
        <v>639</v>
      </c>
      <c r="E264" s="144"/>
      <c r="F264" s="3" t="s">
        <v>852</v>
      </c>
      <c r="G264" s="10">
        <v>7.38</v>
      </c>
      <c r="H264" s="10">
        <v>0</v>
      </c>
    </row>
    <row r="265" spans="4:7" ht="12" customHeight="1">
      <c r="D265" s="176" t="s">
        <v>640</v>
      </c>
      <c r="E265" s="177"/>
      <c r="F265" s="177"/>
      <c r="G265" s="11">
        <v>7.38</v>
      </c>
    </row>
    <row r="266" spans="1:8" ht="12.75">
      <c r="A266" s="5" t="s">
        <v>100</v>
      </c>
      <c r="B266" s="5"/>
      <c r="C266" s="5" t="s">
        <v>301</v>
      </c>
      <c r="D266" s="147" t="s">
        <v>1015</v>
      </c>
      <c r="E266" s="148"/>
      <c r="F266" s="5" t="s">
        <v>852</v>
      </c>
      <c r="G266" s="13">
        <v>101.73</v>
      </c>
      <c r="H266" s="13">
        <v>0</v>
      </c>
    </row>
    <row r="267" spans="4:7" ht="12" customHeight="1">
      <c r="D267" s="178" t="s">
        <v>641</v>
      </c>
      <c r="E267" s="179"/>
      <c r="F267" s="179"/>
      <c r="G267" s="14">
        <v>101.73</v>
      </c>
    </row>
    <row r="268" spans="1:8" ht="12.75">
      <c r="A268" s="5" t="s">
        <v>101</v>
      </c>
      <c r="B268" s="5"/>
      <c r="C268" s="5" t="s">
        <v>302</v>
      </c>
      <c r="D268" s="147" t="s">
        <v>1016</v>
      </c>
      <c r="E268" s="148"/>
      <c r="F268" s="5" t="s">
        <v>852</v>
      </c>
      <c r="G268" s="13">
        <v>101.73</v>
      </c>
      <c r="H268" s="13">
        <v>0</v>
      </c>
    </row>
    <row r="269" spans="4:7" ht="12" customHeight="1">
      <c r="D269" s="178" t="s">
        <v>642</v>
      </c>
      <c r="E269" s="179"/>
      <c r="F269" s="179"/>
      <c r="G269" s="14">
        <v>101.73</v>
      </c>
    </row>
    <row r="270" spans="1:8" ht="12.75">
      <c r="A270" s="3" t="s">
        <v>102</v>
      </c>
      <c r="B270" s="3"/>
      <c r="C270" s="3" t="s">
        <v>303</v>
      </c>
      <c r="D270" s="143" t="s">
        <v>643</v>
      </c>
      <c r="E270" s="144"/>
      <c r="F270" s="3" t="s">
        <v>852</v>
      </c>
      <c r="G270" s="10">
        <v>35.39</v>
      </c>
      <c r="H270" s="10">
        <v>0</v>
      </c>
    </row>
    <row r="271" spans="4:7" ht="12" customHeight="1">
      <c r="D271" s="176" t="s">
        <v>644</v>
      </c>
      <c r="E271" s="177"/>
      <c r="F271" s="177"/>
      <c r="G271" s="11">
        <v>14.18</v>
      </c>
    </row>
    <row r="272" spans="1:8" ht="12" customHeight="1">
      <c r="A272" s="3"/>
      <c r="B272" s="3"/>
      <c r="C272" s="3"/>
      <c r="D272" s="176" t="s">
        <v>645</v>
      </c>
      <c r="E272" s="177"/>
      <c r="F272" s="176"/>
      <c r="G272" s="11">
        <v>14.06</v>
      </c>
      <c r="H272" s="16"/>
    </row>
    <row r="273" spans="1:8" ht="12" customHeight="1">
      <c r="A273" s="3"/>
      <c r="B273" s="3"/>
      <c r="C273" s="3"/>
      <c r="D273" s="176" t="s">
        <v>646</v>
      </c>
      <c r="E273" s="177"/>
      <c r="F273" s="176"/>
      <c r="G273" s="11">
        <v>7.15</v>
      </c>
      <c r="H273" s="16"/>
    </row>
    <row r="274" spans="1:8" ht="12.75">
      <c r="A274" s="3" t="s">
        <v>103</v>
      </c>
      <c r="B274" s="3"/>
      <c r="C274" s="3" t="s">
        <v>304</v>
      </c>
      <c r="D274" s="143" t="s">
        <v>647</v>
      </c>
      <c r="E274" s="144"/>
      <c r="F274" s="3" t="s">
        <v>852</v>
      </c>
      <c r="G274" s="10">
        <v>30.45</v>
      </c>
      <c r="H274" s="10">
        <v>0</v>
      </c>
    </row>
    <row r="275" spans="4:7" ht="12" customHeight="1">
      <c r="D275" s="176" t="s">
        <v>648</v>
      </c>
      <c r="E275" s="177"/>
      <c r="F275" s="177"/>
      <c r="G275" s="11">
        <v>11.6</v>
      </c>
    </row>
    <row r="276" spans="1:8" ht="12" customHeight="1">
      <c r="A276" s="3"/>
      <c r="B276" s="3"/>
      <c r="C276" s="3"/>
      <c r="D276" s="176" t="s">
        <v>612</v>
      </c>
      <c r="E276" s="177"/>
      <c r="F276" s="176"/>
      <c r="G276" s="11">
        <v>18.85</v>
      </c>
      <c r="H276" s="16"/>
    </row>
    <row r="277" spans="1:8" ht="12.75">
      <c r="A277" s="3" t="s">
        <v>104</v>
      </c>
      <c r="B277" s="3"/>
      <c r="C277" s="3" t="s">
        <v>305</v>
      </c>
      <c r="D277" s="143" t="s">
        <v>649</v>
      </c>
      <c r="E277" s="144"/>
      <c r="F277" s="3" t="s">
        <v>852</v>
      </c>
      <c r="G277" s="10">
        <v>35.39</v>
      </c>
      <c r="H277" s="10">
        <v>0</v>
      </c>
    </row>
    <row r="278" spans="4:7" ht="12" customHeight="1">
      <c r="D278" s="176" t="s">
        <v>650</v>
      </c>
      <c r="E278" s="177"/>
      <c r="F278" s="177"/>
      <c r="G278" s="11">
        <v>35.39</v>
      </c>
    </row>
    <row r="279" spans="1:8" ht="12.75">
      <c r="A279" s="3" t="s">
        <v>105</v>
      </c>
      <c r="B279" s="3"/>
      <c r="C279" s="3" t="s">
        <v>306</v>
      </c>
      <c r="D279" s="143" t="s">
        <v>651</v>
      </c>
      <c r="E279" s="144"/>
      <c r="F279" s="3" t="s">
        <v>852</v>
      </c>
      <c r="G279" s="10">
        <v>26.1</v>
      </c>
      <c r="H279" s="10">
        <v>0</v>
      </c>
    </row>
    <row r="280" spans="4:7" ht="12" customHeight="1">
      <c r="D280" s="176" t="s">
        <v>652</v>
      </c>
      <c r="E280" s="177"/>
      <c r="F280" s="177"/>
      <c r="G280" s="11">
        <v>8.7</v>
      </c>
    </row>
    <row r="281" spans="1:8" ht="12" customHeight="1">
      <c r="A281" s="3"/>
      <c r="B281" s="3"/>
      <c r="C281" s="3"/>
      <c r="D281" s="176" t="s">
        <v>653</v>
      </c>
      <c r="E281" s="177"/>
      <c r="F281" s="176"/>
      <c r="G281" s="11">
        <v>17.4</v>
      </c>
      <c r="H281" s="16"/>
    </row>
    <row r="282" spans="1:8" ht="12.75">
      <c r="A282" s="3" t="s">
        <v>106</v>
      </c>
      <c r="B282" s="3"/>
      <c r="C282" s="3" t="s">
        <v>307</v>
      </c>
      <c r="D282" s="143" t="s">
        <v>654</v>
      </c>
      <c r="E282" s="144"/>
      <c r="F282" s="3" t="s">
        <v>852</v>
      </c>
      <c r="G282" s="10">
        <v>26.1</v>
      </c>
      <c r="H282" s="10">
        <v>0</v>
      </c>
    </row>
    <row r="283" spans="4:7" ht="12" customHeight="1">
      <c r="D283" s="176" t="s">
        <v>655</v>
      </c>
      <c r="E283" s="177"/>
      <c r="F283" s="177"/>
      <c r="G283" s="11">
        <v>26.1</v>
      </c>
    </row>
    <row r="284" spans="1:8" ht="12.75">
      <c r="A284" s="3" t="s">
        <v>107</v>
      </c>
      <c r="B284" s="3"/>
      <c r="C284" s="3" t="s">
        <v>308</v>
      </c>
      <c r="D284" s="143" t="s">
        <v>656</v>
      </c>
      <c r="E284" s="144"/>
      <c r="F284" s="3" t="s">
        <v>859</v>
      </c>
      <c r="G284" s="10">
        <v>1169.04</v>
      </c>
      <c r="H284" s="10">
        <v>0</v>
      </c>
    </row>
    <row r="285" spans="4:7" ht="12" customHeight="1">
      <c r="D285" s="176" t="s">
        <v>657</v>
      </c>
      <c r="E285" s="177"/>
      <c r="F285" s="177"/>
      <c r="G285" s="11">
        <v>1169.04</v>
      </c>
    </row>
    <row r="286" spans="1:8" ht="12.75">
      <c r="A286" s="4"/>
      <c r="B286" s="4"/>
      <c r="C286" s="4" t="s">
        <v>309</v>
      </c>
      <c r="D286" s="145" t="s">
        <v>658</v>
      </c>
      <c r="E286" s="146"/>
      <c r="F286" s="4"/>
      <c r="G286" s="70"/>
      <c r="H286" s="12"/>
    </row>
    <row r="287" spans="1:8" ht="12.75">
      <c r="A287" s="3" t="s">
        <v>108</v>
      </c>
      <c r="B287" s="3"/>
      <c r="C287" s="3" t="s">
        <v>310</v>
      </c>
      <c r="D287" s="143" t="s">
        <v>659</v>
      </c>
      <c r="E287" s="144"/>
      <c r="F287" s="3" t="s">
        <v>852</v>
      </c>
      <c r="G287" s="10">
        <v>19.94</v>
      </c>
      <c r="H287" s="10">
        <v>0</v>
      </c>
    </row>
    <row r="288" spans="4:7" ht="12" customHeight="1">
      <c r="D288" s="176" t="s">
        <v>660</v>
      </c>
      <c r="E288" s="177"/>
      <c r="F288" s="177"/>
      <c r="G288" s="11">
        <v>19.94</v>
      </c>
    </row>
    <row r="289" spans="1:8" ht="12.75">
      <c r="A289" s="3" t="s">
        <v>109</v>
      </c>
      <c r="B289" s="3"/>
      <c r="C289" s="3" t="s">
        <v>311</v>
      </c>
      <c r="D289" s="143" t="s">
        <v>661</v>
      </c>
      <c r="E289" s="144"/>
      <c r="F289" s="3" t="s">
        <v>852</v>
      </c>
      <c r="G289" s="10">
        <v>20.16</v>
      </c>
      <c r="H289" s="10">
        <v>0</v>
      </c>
    </row>
    <row r="290" spans="4:7" ht="12" customHeight="1">
      <c r="D290" s="176" t="s">
        <v>662</v>
      </c>
      <c r="E290" s="177"/>
      <c r="F290" s="177"/>
      <c r="G290" s="11">
        <v>20.16</v>
      </c>
    </row>
    <row r="291" spans="1:8" ht="12.75">
      <c r="A291" s="3" t="s">
        <v>110</v>
      </c>
      <c r="B291" s="3"/>
      <c r="C291" s="3" t="s">
        <v>312</v>
      </c>
      <c r="D291" s="143" t="s">
        <v>663</v>
      </c>
      <c r="E291" s="144"/>
      <c r="F291" s="3" t="s">
        <v>852</v>
      </c>
      <c r="G291" s="10">
        <v>23.67</v>
      </c>
      <c r="H291" s="10">
        <v>0</v>
      </c>
    </row>
    <row r="292" spans="4:7" ht="12" customHeight="1">
      <c r="D292" s="176" t="s">
        <v>664</v>
      </c>
      <c r="E292" s="177"/>
      <c r="F292" s="177"/>
      <c r="G292" s="11">
        <v>23.67</v>
      </c>
    </row>
    <row r="293" spans="1:8" ht="12.75">
      <c r="A293" s="3" t="s">
        <v>111</v>
      </c>
      <c r="B293" s="3"/>
      <c r="C293" s="3" t="s">
        <v>313</v>
      </c>
      <c r="D293" s="143" t="s">
        <v>665</v>
      </c>
      <c r="E293" s="144"/>
      <c r="F293" s="3" t="s">
        <v>852</v>
      </c>
      <c r="G293" s="10">
        <v>82.99</v>
      </c>
      <c r="H293" s="10">
        <v>0</v>
      </c>
    </row>
    <row r="294" spans="4:7" ht="12" customHeight="1">
      <c r="D294" s="176" t="s">
        <v>627</v>
      </c>
      <c r="E294" s="177"/>
      <c r="F294" s="177"/>
      <c r="G294" s="11">
        <v>82.99</v>
      </c>
    </row>
    <row r="295" spans="1:8" ht="12.75">
      <c r="A295" s="3" t="s">
        <v>112</v>
      </c>
      <c r="B295" s="3"/>
      <c r="C295" s="3" t="s">
        <v>314</v>
      </c>
      <c r="D295" s="143" t="s">
        <v>666</v>
      </c>
      <c r="E295" s="144"/>
      <c r="F295" s="3" t="s">
        <v>852</v>
      </c>
      <c r="G295" s="10">
        <v>175.72</v>
      </c>
      <c r="H295" s="10">
        <v>0</v>
      </c>
    </row>
    <row r="296" spans="4:7" ht="12" customHeight="1">
      <c r="D296" s="176" t="s">
        <v>667</v>
      </c>
      <c r="E296" s="177"/>
      <c r="F296" s="177"/>
      <c r="G296" s="11">
        <v>175.72</v>
      </c>
    </row>
    <row r="297" spans="1:8" ht="12.75">
      <c r="A297" s="3" t="s">
        <v>113</v>
      </c>
      <c r="B297" s="3"/>
      <c r="C297" s="3" t="s">
        <v>315</v>
      </c>
      <c r="D297" s="143" t="s">
        <v>668</v>
      </c>
      <c r="E297" s="144"/>
      <c r="F297" s="3" t="s">
        <v>852</v>
      </c>
      <c r="G297" s="10">
        <v>223.85</v>
      </c>
      <c r="H297" s="10">
        <v>0</v>
      </c>
    </row>
    <row r="298" spans="4:7" ht="12" customHeight="1">
      <c r="D298" s="176" t="s">
        <v>669</v>
      </c>
      <c r="E298" s="177"/>
      <c r="F298" s="177"/>
      <c r="G298" s="11">
        <v>48.13</v>
      </c>
    </row>
    <row r="299" spans="1:8" ht="12" customHeight="1">
      <c r="A299" s="3"/>
      <c r="B299" s="3"/>
      <c r="C299" s="3"/>
      <c r="D299" s="176" t="s">
        <v>670</v>
      </c>
      <c r="E299" s="177"/>
      <c r="F299" s="176"/>
      <c r="G299" s="11">
        <v>175.72</v>
      </c>
      <c r="H299" s="16"/>
    </row>
    <row r="300" spans="1:8" ht="12.75">
      <c r="A300" s="5" t="s">
        <v>114</v>
      </c>
      <c r="B300" s="5"/>
      <c r="C300" s="5" t="s">
        <v>316</v>
      </c>
      <c r="D300" s="147" t="s">
        <v>1017</v>
      </c>
      <c r="E300" s="148"/>
      <c r="F300" s="5" t="s">
        <v>852</v>
      </c>
      <c r="G300" s="13">
        <v>52.94</v>
      </c>
      <c r="H300" s="13">
        <v>0</v>
      </c>
    </row>
    <row r="301" spans="4:7" ht="12" customHeight="1">
      <c r="D301" s="178" t="s">
        <v>671</v>
      </c>
      <c r="E301" s="179"/>
      <c r="F301" s="179"/>
      <c r="G301" s="14">
        <v>52.94</v>
      </c>
    </row>
    <row r="302" spans="1:8" ht="12.75">
      <c r="A302" s="5" t="s">
        <v>115</v>
      </c>
      <c r="B302" s="5"/>
      <c r="C302" s="5" t="s">
        <v>317</v>
      </c>
      <c r="D302" s="147" t="s">
        <v>1018</v>
      </c>
      <c r="E302" s="148"/>
      <c r="F302" s="5" t="s">
        <v>852</v>
      </c>
      <c r="G302" s="13">
        <v>43.61</v>
      </c>
      <c r="H302" s="13">
        <v>0</v>
      </c>
    </row>
    <row r="303" spans="4:7" ht="12" customHeight="1">
      <c r="D303" s="178" t="s">
        <v>672</v>
      </c>
      <c r="E303" s="179"/>
      <c r="F303" s="179"/>
      <c r="G303" s="14">
        <v>21.43</v>
      </c>
    </row>
    <row r="304" spans="1:8" ht="12" customHeight="1">
      <c r="A304" s="5"/>
      <c r="B304" s="5"/>
      <c r="C304" s="5"/>
      <c r="D304" s="178" t="s">
        <v>673</v>
      </c>
      <c r="E304" s="179"/>
      <c r="F304" s="178"/>
      <c r="G304" s="14">
        <v>22.18</v>
      </c>
      <c r="H304" s="17"/>
    </row>
    <row r="305" spans="1:8" ht="12.75">
      <c r="A305" s="5" t="s">
        <v>116</v>
      </c>
      <c r="B305" s="5"/>
      <c r="C305" s="5" t="s">
        <v>318</v>
      </c>
      <c r="D305" s="147" t="s">
        <v>1019</v>
      </c>
      <c r="E305" s="148"/>
      <c r="F305" s="5" t="s">
        <v>852</v>
      </c>
      <c r="G305" s="13">
        <v>193.29</v>
      </c>
      <c r="H305" s="13">
        <v>0</v>
      </c>
    </row>
    <row r="306" spans="4:7" ht="12" customHeight="1">
      <c r="D306" s="178" t="s">
        <v>674</v>
      </c>
      <c r="E306" s="179"/>
      <c r="F306" s="179"/>
      <c r="G306" s="14">
        <v>193.29</v>
      </c>
    </row>
    <row r="307" spans="1:8" ht="12.75">
      <c r="A307" s="5" t="s">
        <v>117</v>
      </c>
      <c r="B307" s="5"/>
      <c r="C307" s="5" t="s">
        <v>319</v>
      </c>
      <c r="D307" s="147" t="s">
        <v>1020</v>
      </c>
      <c r="E307" s="148"/>
      <c r="F307" s="5" t="s">
        <v>852</v>
      </c>
      <c r="G307" s="13">
        <v>64.39</v>
      </c>
      <c r="H307" s="13">
        <v>0</v>
      </c>
    </row>
    <row r="308" spans="4:7" ht="12" customHeight="1">
      <c r="D308" s="178" t="s">
        <v>675</v>
      </c>
      <c r="E308" s="179"/>
      <c r="F308" s="179"/>
      <c r="G308" s="14">
        <v>38.35</v>
      </c>
    </row>
    <row r="309" spans="1:8" ht="12" customHeight="1">
      <c r="A309" s="5"/>
      <c r="B309" s="5"/>
      <c r="C309" s="5"/>
      <c r="D309" s="178" t="s">
        <v>676</v>
      </c>
      <c r="E309" s="179"/>
      <c r="F309" s="178"/>
      <c r="G309" s="14">
        <v>26.04</v>
      </c>
      <c r="H309" s="17"/>
    </row>
    <row r="310" spans="1:8" ht="12.75">
      <c r="A310" s="5" t="s">
        <v>118</v>
      </c>
      <c r="B310" s="5"/>
      <c r="C310" s="5" t="s">
        <v>320</v>
      </c>
      <c r="D310" s="147" t="s">
        <v>1021</v>
      </c>
      <c r="E310" s="148"/>
      <c r="F310" s="5" t="s">
        <v>852</v>
      </c>
      <c r="G310" s="13">
        <v>193.29</v>
      </c>
      <c r="H310" s="13">
        <v>0</v>
      </c>
    </row>
    <row r="311" spans="4:7" ht="12" customHeight="1">
      <c r="D311" s="178" t="s">
        <v>677</v>
      </c>
      <c r="E311" s="179"/>
      <c r="F311" s="179"/>
      <c r="G311" s="14">
        <v>193.29</v>
      </c>
    </row>
    <row r="312" spans="1:8" ht="12.75">
      <c r="A312" s="5" t="s">
        <v>119</v>
      </c>
      <c r="B312" s="5"/>
      <c r="C312" s="5" t="s">
        <v>321</v>
      </c>
      <c r="D312" s="147" t="s">
        <v>1022</v>
      </c>
      <c r="E312" s="148"/>
      <c r="F312" s="5" t="s">
        <v>852</v>
      </c>
      <c r="G312" s="13">
        <v>246.23</v>
      </c>
      <c r="H312" s="13">
        <v>0</v>
      </c>
    </row>
    <row r="313" spans="4:7" ht="12" customHeight="1">
      <c r="D313" s="178" t="s">
        <v>678</v>
      </c>
      <c r="E313" s="179"/>
      <c r="F313" s="179"/>
      <c r="G313" s="14">
        <v>52.94</v>
      </c>
    </row>
    <row r="314" spans="1:8" ht="12" customHeight="1">
      <c r="A314" s="5"/>
      <c r="B314" s="5"/>
      <c r="C314" s="5"/>
      <c r="D314" s="178" t="s">
        <v>679</v>
      </c>
      <c r="E314" s="179"/>
      <c r="F314" s="178"/>
      <c r="G314" s="14">
        <v>193.29</v>
      </c>
      <c r="H314" s="17"/>
    </row>
    <row r="315" spans="1:8" ht="12.75">
      <c r="A315" s="5" t="s">
        <v>120</v>
      </c>
      <c r="B315" s="5"/>
      <c r="C315" s="5" t="s">
        <v>322</v>
      </c>
      <c r="D315" s="147" t="s">
        <v>680</v>
      </c>
      <c r="E315" s="148"/>
      <c r="F315" s="5" t="s">
        <v>852</v>
      </c>
      <c r="G315" s="13">
        <v>223.85</v>
      </c>
      <c r="H315" s="13">
        <v>0</v>
      </c>
    </row>
    <row r="316" spans="4:7" ht="12" customHeight="1">
      <c r="D316" s="178" t="s">
        <v>681</v>
      </c>
      <c r="E316" s="179"/>
      <c r="F316" s="179"/>
      <c r="G316" s="14">
        <v>223.85</v>
      </c>
    </row>
    <row r="317" spans="1:8" ht="12.75">
      <c r="A317" s="3" t="s">
        <v>121</v>
      </c>
      <c r="B317" s="3"/>
      <c r="C317" s="3" t="s">
        <v>323</v>
      </c>
      <c r="D317" s="143" t="s">
        <v>682</v>
      </c>
      <c r="E317" s="144"/>
      <c r="F317" s="3" t="s">
        <v>856</v>
      </c>
      <c r="G317" s="10">
        <v>273.34</v>
      </c>
      <c r="H317" s="10">
        <v>0</v>
      </c>
    </row>
    <row r="318" spans="4:7" ht="12" customHeight="1">
      <c r="D318" s="176" t="s">
        <v>683</v>
      </c>
      <c r="E318" s="177"/>
      <c r="F318" s="177"/>
      <c r="G318" s="11">
        <v>98.78</v>
      </c>
    </row>
    <row r="319" spans="1:8" ht="12" customHeight="1">
      <c r="A319" s="3"/>
      <c r="B319" s="3"/>
      <c r="C319" s="3"/>
      <c r="D319" s="176" t="s">
        <v>684</v>
      </c>
      <c r="E319" s="177"/>
      <c r="F319" s="176"/>
      <c r="G319" s="11">
        <v>122.06</v>
      </c>
      <c r="H319" s="16"/>
    </row>
    <row r="320" spans="1:8" ht="12" customHeight="1">
      <c r="A320" s="3"/>
      <c r="B320" s="3"/>
      <c r="C320" s="3"/>
      <c r="D320" s="176" t="s">
        <v>685</v>
      </c>
      <c r="E320" s="177"/>
      <c r="F320" s="176"/>
      <c r="G320" s="11">
        <v>52.5</v>
      </c>
      <c r="H320" s="16"/>
    </row>
    <row r="321" spans="1:8" ht="12.75">
      <c r="A321" s="3" t="s">
        <v>122</v>
      </c>
      <c r="B321" s="3"/>
      <c r="C321" s="3" t="s">
        <v>324</v>
      </c>
      <c r="D321" s="143" t="s">
        <v>686</v>
      </c>
      <c r="E321" s="144"/>
      <c r="F321" s="3" t="s">
        <v>859</v>
      </c>
      <c r="G321" s="10">
        <v>2643.87</v>
      </c>
      <c r="H321" s="10">
        <v>0</v>
      </c>
    </row>
    <row r="322" spans="4:7" ht="12" customHeight="1">
      <c r="D322" s="176" t="s">
        <v>687</v>
      </c>
      <c r="E322" s="177"/>
      <c r="F322" s="177"/>
      <c r="G322" s="11">
        <v>2643.87</v>
      </c>
    </row>
    <row r="323" spans="1:8" ht="12.75">
      <c r="A323" s="4"/>
      <c r="B323" s="4"/>
      <c r="C323" s="4" t="s">
        <v>77</v>
      </c>
      <c r="D323" s="145" t="s">
        <v>688</v>
      </c>
      <c r="E323" s="146"/>
      <c r="F323" s="4"/>
      <c r="G323" s="70"/>
      <c r="H323" s="12"/>
    </row>
    <row r="324" spans="1:8" ht="12.75">
      <c r="A324" s="5" t="s">
        <v>123</v>
      </c>
      <c r="B324" s="5"/>
      <c r="C324" s="5" t="s">
        <v>325</v>
      </c>
      <c r="D324" s="147" t="s">
        <v>689</v>
      </c>
      <c r="E324" s="148"/>
      <c r="F324" s="5" t="s">
        <v>854</v>
      </c>
      <c r="G324" s="13">
        <v>1</v>
      </c>
      <c r="H324" s="13">
        <v>0</v>
      </c>
    </row>
    <row r="325" spans="4:7" ht="12" customHeight="1">
      <c r="D325" s="178" t="s">
        <v>690</v>
      </c>
      <c r="E325" s="179"/>
      <c r="F325" s="179"/>
      <c r="G325" s="14">
        <v>1</v>
      </c>
    </row>
    <row r="326" spans="1:8" ht="12.75">
      <c r="A326" s="3" t="s">
        <v>124</v>
      </c>
      <c r="B326" s="3"/>
      <c r="C326" s="3" t="s">
        <v>326</v>
      </c>
      <c r="D326" s="143" t="s">
        <v>691</v>
      </c>
      <c r="E326" s="144"/>
      <c r="F326" s="3" t="s">
        <v>854</v>
      </c>
      <c r="G326" s="10">
        <v>1</v>
      </c>
      <c r="H326" s="10">
        <v>0</v>
      </c>
    </row>
    <row r="327" spans="4:7" ht="12" customHeight="1">
      <c r="D327" s="176" t="s">
        <v>463</v>
      </c>
      <c r="E327" s="177"/>
      <c r="F327" s="177"/>
      <c r="G327" s="11">
        <v>1</v>
      </c>
    </row>
    <row r="328" spans="1:8" ht="12.75">
      <c r="A328" s="3" t="s">
        <v>125</v>
      </c>
      <c r="B328" s="3"/>
      <c r="C328" s="3" t="s">
        <v>327</v>
      </c>
      <c r="D328" s="143" t="s">
        <v>692</v>
      </c>
      <c r="E328" s="144"/>
      <c r="F328" s="3" t="s">
        <v>860</v>
      </c>
      <c r="G328" s="10">
        <v>1</v>
      </c>
      <c r="H328" s="10">
        <v>0</v>
      </c>
    </row>
    <row r="329" spans="4:7" ht="12" customHeight="1">
      <c r="D329" s="176" t="s">
        <v>463</v>
      </c>
      <c r="E329" s="177"/>
      <c r="F329" s="177"/>
      <c r="G329" s="11">
        <v>1</v>
      </c>
    </row>
    <row r="330" spans="1:8" ht="12.75">
      <c r="A330" s="3" t="s">
        <v>126</v>
      </c>
      <c r="B330" s="3"/>
      <c r="C330" s="3" t="s">
        <v>328</v>
      </c>
      <c r="D330" s="143" t="s">
        <v>693</v>
      </c>
      <c r="E330" s="144"/>
      <c r="F330" s="3" t="s">
        <v>859</v>
      </c>
      <c r="G330" s="10">
        <v>385.47</v>
      </c>
      <c r="H330" s="10">
        <v>0</v>
      </c>
    </row>
    <row r="331" spans="4:7" ht="12" customHeight="1">
      <c r="D331" s="176" t="s">
        <v>694</v>
      </c>
      <c r="E331" s="177"/>
      <c r="F331" s="177"/>
      <c r="G331" s="11">
        <v>385.47</v>
      </c>
    </row>
    <row r="332" spans="1:8" ht="12.75">
      <c r="A332" s="4"/>
      <c r="B332" s="4"/>
      <c r="C332" s="4" t="s">
        <v>329</v>
      </c>
      <c r="D332" s="145" t="s">
        <v>695</v>
      </c>
      <c r="E332" s="146"/>
      <c r="F332" s="4"/>
      <c r="G332" s="70"/>
      <c r="H332" s="12"/>
    </row>
    <row r="333" spans="1:8" ht="12.75">
      <c r="A333" s="3" t="s">
        <v>127</v>
      </c>
      <c r="B333" s="3"/>
      <c r="C333" s="3" t="s">
        <v>330</v>
      </c>
      <c r="D333" s="143" t="s">
        <v>696</v>
      </c>
      <c r="E333" s="144"/>
      <c r="F333" s="3" t="s">
        <v>856</v>
      </c>
      <c r="G333" s="10">
        <v>234.25</v>
      </c>
      <c r="H333" s="10">
        <v>0</v>
      </c>
    </row>
    <row r="334" spans="4:7" ht="12" customHeight="1">
      <c r="D334" s="176" t="s">
        <v>697</v>
      </c>
      <c r="E334" s="177"/>
      <c r="F334" s="177"/>
      <c r="G334" s="11">
        <v>234.25</v>
      </c>
    </row>
    <row r="335" spans="1:8" ht="12.75">
      <c r="A335" s="5" t="s">
        <v>128</v>
      </c>
      <c r="B335" s="5"/>
      <c r="C335" s="5" t="s">
        <v>331</v>
      </c>
      <c r="D335" s="147" t="s">
        <v>698</v>
      </c>
      <c r="E335" s="148"/>
      <c r="F335" s="5" t="s">
        <v>851</v>
      </c>
      <c r="G335" s="13">
        <v>6.18</v>
      </c>
      <c r="H335" s="13">
        <v>0</v>
      </c>
    </row>
    <row r="336" spans="4:7" ht="12" customHeight="1">
      <c r="D336" s="178" t="s">
        <v>699</v>
      </c>
      <c r="E336" s="179"/>
      <c r="F336" s="179"/>
      <c r="G336" s="14">
        <v>6.18</v>
      </c>
    </row>
    <row r="337" spans="1:8" ht="12.75">
      <c r="A337" s="3" t="s">
        <v>129</v>
      </c>
      <c r="B337" s="3"/>
      <c r="C337" s="3" t="s">
        <v>332</v>
      </c>
      <c r="D337" s="143" t="s">
        <v>700</v>
      </c>
      <c r="E337" s="144"/>
      <c r="F337" s="3" t="s">
        <v>851</v>
      </c>
      <c r="G337" s="10">
        <v>5.62</v>
      </c>
      <c r="H337" s="10">
        <v>0</v>
      </c>
    </row>
    <row r="338" spans="4:7" ht="12" customHeight="1">
      <c r="D338" s="176" t="s">
        <v>701</v>
      </c>
      <c r="E338" s="177"/>
      <c r="F338" s="177"/>
      <c r="G338" s="11">
        <v>5.62</v>
      </c>
    </row>
    <row r="339" spans="1:8" ht="12.75">
      <c r="A339" s="3" t="s">
        <v>130</v>
      </c>
      <c r="B339" s="3"/>
      <c r="C339" s="3" t="s">
        <v>333</v>
      </c>
      <c r="D339" s="143" t="s">
        <v>702</v>
      </c>
      <c r="E339" s="144"/>
      <c r="F339" s="3" t="s">
        <v>852</v>
      </c>
      <c r="G339" s="10">
        <v>150.32</v>
      </c>
      <c r="H339" s="10">
        <v>0</v>
      </c>
    </row>
    <row r="340" spans="4:7" ht="12" customHeight="1">
      <c r="D340" s="176" t="s">
        <v>703</v>
      </c>
      <c r="E340" s="177"/>
      <c r="F340" s="177"/>
      <c r="G340" s="11">
        <v>150.32</v>
      </c>
    </row>
    <row r="341" spans="1:8" ht="12.75">
      <c r="A341" s="3" t="s">
        <v>131</v>
      </c>
      <c r="B341" s="3"/>
      <c r="C341" s="3" t="s">
        <v>334</v>
      </c>
      <c r="D341" s="143" t="s">
        <v>704</v>
      </c>
      <c r="E341" s="144"/>
      <c r="F341" s="3" t="s">
        <v>860</v>
      </c>
      <c r="G341" s="10">
        <v>1</v>
      </c>
      <c r="H341" s="10">
        <v>0</v>
      </c>
    </row>
    <row r="342" spans="4:7" ht="12" customHeight="1">
      <c r="D342" s="176" t="s">
        <v>463</v>
      </c>
      <c r="E342" s="177"/>
      <c r="F342" s="177"/>
      <c r="G342" s="11">
        <v>1</v>
      </c>
    </row>
    <row r="343" spans="1:8" ht="12.75">
      <c r="A343" s="3" t="s">
        <v>132</v>
      </c>
      <c r="B343" s="3"/>
      <c r="C343" s="3" t="s">
        <v>335</v>
      </c>
      <c r="D343" s="143" t="s">
        <v>705</v>
      </c>
      <c r="E343" s="144"/>
      <c r="F343" s="3" t="s">
        <v>859</v>
      </c>
      <c r="G343" s="10">
        <v>870.54</v>
      </c>
      <c r="H343" s="10">
        <v>0</v>
      </c>
    </row>
    <row r="344" spans="4:7" ht="12" customHeight="1">
      <c r="D344" s="176" t="s">
        <v>706</v>
      </c>
      <c r="E344" s="177"/>
      <c r="F344" s="177"/>
      <c r="G344" s="11">
        <v>870.54</v>
      </c>
    </row>
    <row r="345" spans="1:8" ht="12.75">
      <c r="A345" s="4"/>
      <c r="B345" s="4"/>
      <c r="C345" s="4" t="s">
        <v>336</v>
      </c>
      <c r="D345" s="145" t="s">
        <v>707</v>
      </c>
      <c r="E345" s="146"/>
      <c r="F345" s="4"/>
      <c r="G345" s="70"/>
      <c r="H345" s="12"/>
    </row>
    <row r="346" spans="1:8" ht="12.75">
      <c r="A346" s="3" t="s">
        <v>133</v>
      </c>
      <c r="B346" s="3"/>
      <c r="C346" s="3" t="s">
        <v>337</v>
      </c>
      <c r="D346" s="143" t="s">
        <v>708</v>
      </c>
      <c r="E346" s="144"/>
      <c r="F346" s="3" t="s">
        <v>852</v>
      </c>
      <c r="G346" s="10">
        <v>6</v>
      </c>
      <c r="H346" s="10">
        <v>0</v>
      </c>
    </row>
    <row r="347" spans="4:7" ht="12" customHeight="1">
      <c r="D347" s="176" t="s">
        <v>461</v>
      </c>
      <c r="E347" s="177"/>
      <c r="F347" s="177"/>
      <c r="G347" s="11">
        <v>6</v>
      </c>
    </row>
    <row r="348" spans="1:8" ht="12.75">
      <c r="A348" s="3" t="s">
        <v>134</v>
      </c>
      <c r="B348" s="3"/>
      <c r="C348" s="3" t="s">
        <v>338</v>
      </c>
      <c r="D348" s="143" t="s">
        <v>709</v>
      </c>
      <c r="E348" s="144"/>
      <c r="F348" s="3" t="s">
        <v>856</v>
      </c>
      <c r="G348" s="10">
        <v>21.8</v>
      </c>
      <c r="H348" s="10">
        <v>0</v>
      </c>
    </row>
    <row r="349" spans="4:7" ht="12" customHeight="1">
      <c r="D349" s="176" t="s">
        <v>710</v>
      </c>
      <c r="E349" s="177"/>
      <c r="F349" s="177"/>
      <c r="G349" s="11">
        <v>21.8</v>
      </c>
    </row>
    <row r="350" spans="1:8" ht="12.75">
      <c r="A350" s="3" t="s">
        <v>135</v>
      </c>
      <c r="B350" s="3"/>
      <c r="C350" s="3" t="s">
        <v>339</v>
      </c>
      <c r="D350" s="143" t="s">
        <v>711</v>
      </c>
      <c r="E350" s="144"/>
      <c r="F350" s="3" t="s">
        <v>854</v>
      </c>
      <c r="G350" s="10">
        <v>2</v>
      </c>
      <c r="H350" s="10">
        <v>0</v>
      </c>
    </row>
    <row r="351" spans="4:7" ht="12" customHeight="1">
      <c r="D351" s="176" t="s">
        <v>712</v>
      </c>
      <c r="E351" s="177"/>
      <c r="F351" s="177"/>
      <c r="G351" s="11">
        <v>2</v>
      </c>
    </row>
    <row r="352" spans="1:8" ht="12.75">
      <c r="A352" s="3" t="s">
        <v>136</v>
      </c>
      <c r="B352" s="3"/>
      <c r="C352" s="3" t="s">
        <v>340</v>
      </c>
      <c r="D352" s="143" t="s">
        <v>713</v>
      </c>
      <c r="E352" s="144"/>
      <c r="F352" s="3" t="s">
        <v>854</v>
      </c>
      <c r="G352" s="10">
        <v>4</v>
      </c>
      <c r="H352" s="10">
        <v>0</v>
      </c>
    </row>
    <row r="353" spans="4:7" ht="12" customHeight="1">
      <c r="D353" s="176" t="s">
        <v>469</v>
      </c>
      <c r="E353" s="177"/>
      <c r="F353" s="177"/>
      <c r="G353" s="11">
        <v>4</v>
      </c>
    </row>
    <row r="354" spans="1:8" ht="12.75">
      <c r="A354" s="3" t="s">
        <v>137</v>
      </c>
      <c r="B354" s="3"/>
      <c r="C354" s="3" t="s">
        <v>341</v>
      </c>
      <c r="D354" s="143" t="s">
        <v>714</v>
      </c>
      <c r="E354" s="144"/>
      <c r="F354" s="3" t="s">
        <v>854</v>
      </c>
      <c r="G354" s="10">
        <v>2</v>
      </c>
      <c r="H354" s="10">
        <v>0</v>
      </c>
    </row>
    <row r="355" spans="4:7" ht="12" customHeight="1">
      <c r="D355" s="176" t="s">
        <v>712</v>
      </c>
      <c r="E355" s="177"/>
      <c r="F355" s="177"/>
      <c r="G355" s="11">
        <v>2</v>
      </c>
    </row>
    <row r="356" spans="1:8" ht="12.75">
      <c r="A356" s="3" t="s">
        <v>138</v>
      </c>
      <c r="B356" s="3"/>
      <c r="C356" s="3" t="s">
        <v>342</v>
      </c>
      <c r="D356" s="143" t="s">
        <v>715</v>
      </c>
      <c r="E356" s="144"/>
      <c r="F356" s="3" t="s">
        <v>852</v>
      </c>
      <c r="G356" s="10">
        <v>10</v>
      </c>
      <c r="H356" s="10">
        <v>0</v>
      </c>
    </row>
    <row r="357" spans="4:7" ht="12" customHeight="1">
      <c r="D357" s="176" t="s">
        <v>716</v>
      </c>
      <c r="E357" s="177"/>
      <c r="F357" s="177"/>
      <c r="G357" s="11">
        <v>10</v>
      </c>
    </row>
    <row r="358" spans="1:8" ht="12.75">
      <c r="A358" s="3" t="s">
        <v>139</v>
      </c>
      <c r="B358" s="3"/>
      <c r="C358" s="3" t="s">
        <v>343</v>
      </c>
      <c r="D358" s="143" t="s">
        <v>717</v>
      </c>
      <c r="E358" s="144"/>
      <c r="F358" s="3" t="s">
        <v>856</v>
      </c>
      <c r="G358" s="10">
        <v>3.6</v>
      </c>
      <c r="H358" s="10">
        <v>0</v>
      </c>
    </row>
    <row r="359" spans="4:7" ht="12" customHeight="1">
      <c r="D359" s="176" t="s">
        <v>718</v>
      </c>
      <c r="E359" s="177"/>
      <c r="F359" s="177"/>
      <c r="G359" s="11">
        <v>3.6</v>
      </c>
    </row>
    <row r="360" spans="1:8" ht="12.75">
      <c r="A360" s="3" t="s">
        <v>140</v>
      </c>
      <c r="B360" s="3"/>
      <c r="C360" s="3" t="s">
        <v>344</v>
      </c>
      <c r="D360" s="143" t="s">
        <v>719</v>
      </c>
      <c r="E360" s="144"/>
      <c r="F360" s="3" t="s">
        <v>856</v>
      </c>
      <c r="G360" s="10">
        <v>9.6</v>
      </c>
      <c r="H360" s="10">
        <v>0</v>
      </c>
    </row>
    <row r="361" spans="4:7" ht="12" customHeight="1">
      <c r="D361" s="176" t="s">
        <v>720</v>
      </c>
      <c r="E361" s="177"/>
      <c r="F361" s="177"/>
      <c r="G361" s="11">
        <v>9.6</v>
      </c>
    </row>
    <row r="362" spans="1:8" ht="12.75">
      <c r="A362" s="3" t="s">
        <v>141</v>
      </c>
      <c r="B362" s="3"/>
      <c r="C362" s="3" t="s">
        <v>345</v>
      </c>
      <c r="D362" s="143" t="s">
        <v>721</v>
      </c>
      <c r="E362" s="144"/>
      <c r="F362" s="3" t="s">
        <v>854</v>
      </c>
      <c r="G362" s="10">
        <v>16</v>
      </c>
      <c r="H362" s="10">
        <v>0</v>
      </c>
    </row>
    <row r="363" spans="4:7" ht="12" customHeight="1">
      <c r="D363" s="176" t="s">
        <v>722</v>
      </c>
      <c r="E363" s="177"/>
      <c r="F363" s="177"/>
      <c r="G363" s="11">
        <v>16</v>
      </c>
    </row>
    <row r="364" spans="1:8" ht="12.75">
      <c r="A364" s="3" t="s">
        <v>142</v>
      </c>
      <c r="B364" s="3"/>
      <c r="C364" s="3" t="s">
        <v>346</v>
      </c>
      <c r="D364" s="143" t="s">
        <v>723</v>
      </c>
      <c r="E364" s="144"/>
      <c r="F364" s="3" t="s">
        <v>859</v>
      </c>
      <c r="G364" s="10">
        <v>751.37</v>
      </c>
      <c r="H364" s="10">
        <v>0</v>
      </c>
    </row>
    <row r="365" spans="4:7" ht="12" customHeight="1">
      <c r="D365" s="176" t="s">
        <v>724</v>
      </c>
      <c r="E365" s="177"/>
      <c r="F365" s="177"/>
      <c r="G365" s="11">
        <v>751.37</v>
      </c>
    </row>
    <row r="366" spans="1:8" ht="12.75">
      <c r="A366" s="4"/>
      <c r="B366" s="4"/>
      <c r="C366" s="4" t="s">
        <v>347</v>
      </c>
      <c r="D366" s="145" t="s">
        <v>725</v>
      </c>
      <c r="E366" s="146"/>
      <c r="F366" s="4"/>
      <c r="G366" s="70"/>
      <c r="H366" s="12"/>
    </row>
    <row r="367" spans="1:8" ht="12.75">
      <c r="A367" s="3" t="s">
        <v>143</v>
      </c>
      <c r="B367" s="3"/>
      <c r="C367" s="3" t="s">
        <v>348</v>
      </c>
      <c r="D367" s="143" t="s">
        <v>726</v>
      </c>
      <c r="E367" s="144"/>
      <c r="F367" s="3" t="s">
        <v>858</v>
      </c>
      <c r="G367" s="10">
        <v>20</v>
      </c>
      <c r="H367" s="10">
        <v>0</v>
      </c>
    </row>
    <row r="368" spans="4:7" ht="12" customHeight="1">
      <c r="D368" s="176" t="s">
        <v>727</v>
      </c>
      <c r="E368" s="177"/>
      <c r="F368" s="177"/>
      <c r="G368" s="11">
        <v>20</v>
      </c>
    </row>
    <row r="369" spans="1:8" ht="12.75">
      <c r="A369" s="3" t="s">
        <v>144</v>
      </c>
      <c r="B369" s="3"/>
      <c r="C369" s="3" t="s">
        <v>349</v>
      </c>
      <c r="D369" s="143" t="s">
        <v>728</v>
      </c>
      <c r="E369" s="144"/>
      <c r="F369" s="3" t="s">
        <v>859</v>
      </c>
      <c r="G369" s="10">
        <v>110</v>
      </c>
      <c r="H369" s="10">
        <v>0</v>
      </c>
    </row>
    <row r="370" spans="4:7" ht="12" customHeight="1">
      <c r="D370" s="176" t="s">
        <v>729</v>
      </c>
      <c r="E370" s="177"/>
      <c r="F370" s="177"/>
      <c r="G370" s="11">
        <v>110</v>
      </c>
    </row>
    <row r="371" spans="1:8" ht="12.75">
      <c r="A371" s="4"/>
      <c r="B371" s="4"/>
      <c r="C371" s="4" t="s">
        <v>350</v>
      </c>
      <c r="D371" s="145" t="s">
        <v>730</v>
      </c>
      <c r="E371" s="146"/>
      <c r="F371" s="4"/>
      <c r="G371" s="70"/>
      <c r="H371" s="12"/>
    </row>
    <row r="372" spans="1:8" ht="12.75">
      <c r="A372" s="3" t="s">
        <v>145</v>
      </c>
      <c r="B372" s="3"/>
      <c r="C372" s="3" t="s">
        <v>351</v>
      </c>
      <c r="D372" s="143" t="s">
        <v>731</v>
      </c>
      <c r="E372" s="144"/>
      <c r="F372" s="3" t="s">
        <v>852</v>
      </c>
      <c r="G372" s="10">
        <v>2.31</v>
      </c>
      <c r="H372" s="10">
        <v>0</v>
      </c>
    </row>
    <row r="373" spans="4:7" ht="12" customHeight="1">
      <c r="D373" s="176" t="s">
        <v>732</v>
      </c>
      <c r="E373" s="177"/>
      <c r="F373" s="177"/>
      <c r="G373" s="11">
        <v>2.31</v>
      </c>
    </row>
    <row r="374" spans="1:8" ht="12.75">
      <c r="A374" s="3" t="s">
        <v>146</v>
      </c>
      <c r="B374" s="3"/>
      <c r="C374" s="3" t="s">
        <v>352</v>
      </c>
      <c r="D374" s="143" t="s">
        <v>733</v>
      </c>
      <c r="E374" s="144"/>
      <c r="F374" s="3" t="s">
        <v>854</v>
      </c>
      <c r="G374" s="10">
        <v>1</v>
      </c>
      <c r="H374" s="10">
        <v>0</v>
      </c>
    </row>
    <row r="375" spans="4:7" ht="12" customHeight="1">
      <c r="D375" s="176" t="s">
        <v>463</v>
      </c>
      <c r="E375" s="177"/>
      <c r="F375" s="177"/>
      <c r="G375" s="11">
        <v>1</v>
      </c>
    </row>
    <row r="376" spans="1:8" ht="12.75">
      <c r="A376" s="3" t="s">
        <v>147</v>
      </c>
      <c r="B376" s="3"/>
      <c r="C376" s="3" t="s">
        <v>353</v>
      </c>
      <c r="D376" s="143" t="s">
        <v>734</v>
      </c>
      <c r="E376" s="144"/>
      <c r="F376" s="3" t="s">
        <v>854</v>
      </c>
      <c r="G376" s="10">
        <v>13</v>
      </c>
      <c r="H376" s="10">
        <v>0</v>
      </c>
    </row>
    <row r="377" spans="4:7" ht="12" customHeight="1">
      <c r="D377" s="176" t="s">
        <v>735</v>
      </c>
      <c r="E377" s="177"/>
      <c r="F377" s="177"/>
      <c r="G377" s="11">
        <v>13</v>
      </c>
    </row>
    <row r="378" spans="1:8" ht="12.75">
      <c r="A378" s="3" t="s">
        <v>148</v>
      </c>
      <c r="B378" s="3"/>
      <c r="C378" s="3" t="s">
        <v>354</v>
      </c>
      <c r="D378" s="143" t="s">
        <v>736</v>
      </c>
      <c r="E378" s="144"/>
      <c r="F378" s="3" t="s">
        <v>854</v>
      </c>
      <c r="G378" s="10">
        <v>2</v>
      </c>
      <c r="H378" s="10">
        <v>0</v>
      </c>
    </row>
    <row r="379" spans="4:7" ht="12" customHeight="1">
      <c r="D379" s="176" t="s">
        <v>737</v>
      </c>
      <c r="E379" s="177"/>
      <c r="F379" s="177"/>
      <c r="G379" s="11">
        <v>2</v>
      </c>
    </row>
    <row r="380" spans="1:8" ht="12.75">
      <c r="A380" s="5" t="s">
        <v>149</v>
      </c>
      <c r="B380" s="5"/>
      <c r="C380" s="5" t="s">
        <v>355</v>
      </c>
      <c r="D380" s="147" t="s">
        <v>738</v>
      </c>
      <c r="E380" s="148"/>
      <c r="F380" s="5" t="s">
        <v>854</v>
      </c>
      <c r="G380" s="13">
        <v>26</v>
      </c>
      <c r="H380" s="13">
        <v>0</v>
      </c>
    </row>
    <row r="381" spans="4:7" ht="12" customHeight="1">
      <c r="D381" s="178" t="s">
        <v>739</v>
      </c>
      <c r="E381" s="179"/>
      <c r="F381" s="179"/>
      <c r="G381" s="14">
        <v>26</v>
      </c>
    </row>
    <row r="382" spans="1:8" ht="12.75">
      <c r="A382" s="5" t="s">
        <v>150</v>
      </c>
      <c r="B382" s="5"/>
      <c r="C382" s="5" t="s">
        <v>356</v>
      </c>
      <c r="D382" s="147" t="s">
        <v>740</v>
      </c>
      <c r="E382" s="148"/>
      <c r="F382" s="5" t="s">
        <v>852</v>
      </c>
      <c r="G382" s="13">
        <v>10.02</v>
      </c>
      <c r="H382" s="13">
        <v>0</v>
      </c>
    </row>
    <row r="383" spans="4:7" ht="12" customHeight="1">
      <c r="D383" s="178" t="s">
        <v>741</v>
      </c>
      <c r="E383" s="179"/>
      <c r="F383" s="179"/>
      <c r="G383" s="14">
        <v>10.02</v>
      </c>
    </row>
    <row r="384" spans="1:8" ht="12.75">
      <c r="A384" s="3" t="s">
        <v>151</v>
      </c>
      <c r="B384" s="3"/>
      <c r="C384" s="3" t="s">
        <v>357</v>
      </c>
      <c r="D384" s="143" t="s">
        <v>742</v>
      </c>
      <c r="E384" s="144"/>
      <c r="F384" s="3" t="s">
        <v>859</v>
      </c>
      <c r="G384" s="10">
        <v>230.77</v>
      </c>
      <c r="H384" s="10">
        <v>0</v>
      </c>
    </row>
    <row r="385" spans="4:7" ht="12" customHeight="1">
      <c r="D385" s="176" t="s">
        <v>743</v>
      </c>
      <c r="E385" s="177"/>
      <c r="F385" s="177"/>
      <c r="G385" s="11">
        <v>230.77</v>
      </c>
    </row>
    <row r="386" spans="1:8" ht="12.75">
      <c r="A386" s="4"/>
      <c r="B386" s="4"/>
      <c r="C386" s="4" t="s">
        <v>358</v>
      </c>
      <c r="D386" s="145" t="s">
        <v>744</v>
      </c>
      <c r="E386" s="146"/>
      <c r="F386" s="4"/>
      <c r="G386" s="70"/>
      <c r="H386" s="12"/>
    </row>
    <row r="387" spans="1:8" ht="12.75">
      <c r="A387" s="3" t="s">
        <v>152</v>
      </c>
      <c r="B387" s="3"/>
      <c r="C387" s="3" t="s">
        <v>359</v>
      </c>
      <c r="D387" s="143" t="s">
        <v>745</v>
      </c>
      <c r="E387" s="144"/>
      <c r="F387" s="3" t="s">
        <v>861</v>
      </c>
      <c r="G387" s="10">
        <v>15</v>
      </c>
      <c r="H387" s="10">
        <v>0</v>
      </c>
    </row>
    <row r="388" spans="4:7" ht="12" customHeight="1">
      <c r="D388" s="176" t="s">
        <v>746</v>
      </c>
      <c r="E388" s="177"/>
      <c r="F388" s="177"/>
      <c r="G388" s="11">
        <v>15</v>
      </c>
    </row>
    <row r="389" spans="1:8" ht="12.75">
      <c r="A389" s="3" t="s">
        <v>153</v>
      </c>
      <c r="B389" s="3"/>
      <c r="C389" s="3" t="s">
        <v>360</v>
      </c>
      <c r="D389" s="143" t="s">
        <v>747</v>
      </c>
      <c r="E389" s="144"/>
      <c r="F389" s="3" t="s">
        <v>853</v>
      </c>
      <c r="G389" s="10">
        <v>4</v>
      </c>
      <c r="H389" s="10">
        <v>0</v>
      </c>
    </row>
    <row r="390" spans="4:7" ht="12" customHeight="1">
      <c r="D390" s="176" t="s">
        <v>469</v>
      </c>
      <c r="E390" s="177"/>
      <c r="F390" s="177"/>
      <c r="G390" s="11">
        <v>4</v>
      </c>
    </row>
    <row r="391" spans="1:8" ht="12.75">
      <c r="A391" s="3" t="s">
        <v>154</v>
      </c>
      <c r="B391" s="3"/>
      <c r="C391" s="3" t="s">
        <v>361</v>
      </c>
      <c r="D391" s="143" t="s">
        <v>748</v>
      </c>
      <c r="E391" s="144"/>
      <c r="F391" s="3" t="s">
        <v>861</v>
      </c>
      <c r="G391" s="10">
        <v>1</v>
      </c>
      <c r="H391" s="10">
        <v>0</v>
      </c>
    </row>
    <row r="392" spans="4:7" ht="12" customHeight="1">
      <c r="D392" s="176" t="s">
        <v>463</v>
      </c>
      <c r="E392" s="177"/>
      <c r="F392" s="177"/>
      <c r="G392" s="11">
        <v>1</v>
      </c>
    </row>
    <row r="393" spans="1:8" ht="12.75">
      <c r="A393" s="3" t="s">
        <v>155</v>
      </c>
      <c r="B393" s="3"/>
      <c r="C393" s="3" t="s">
        <v>362</v>
      </c>
      <c r="D393" s="143" t="s">
        <v>749</v>
      </c>
      <c r="E393" s="144"/>
      <c r="F393" s="3" t="s">
        <v>852</v>
      </c>
      <c r="G393" s="10">
        <v>24.67</v>
      </c>
      <c r="H393" s="10">
        <v>0</v>
      </c>
    </row>
    <row r="394" spans="4:7" ht="12" customHeight="1">
      <c r="D394" s="176" t="s">
        <v>750</v>
      </c>
      <c r="E394" s="177"/>
      <c r="F394" s="177"/>
      <c r="G394" s="11">
        <v>24.67</v>
      </c>
    </row>
    <row r="395" spans="1:8" ht="12.75">
      <c r="A395" s="5" t="s">
        <v>156</v>
      </c>
      <c r="B395" s="5"/>
      <c r="C395" s="5" t="s">
        <v>363</v>
      </c>
      <c r="D395" s="147" t="s">
        <v>751</v>
      </c>
      <c r="E395" s="148"/>
      <c r="F395" s="5" t="s">
        <v>857</v>
      </c>
      <c r="G395" s="13">
        <v>0.63</v>
      </c>
      <c r="H395" s="13">
        <v>0</v>
      </c>
    </row>
    <row r="396" spans="4:7" ht="12" customHeight="1">
      <c r="D396" s="178" t="s">
        <v>752</v>
      </c>
      <c r="E396" s="179"/>
      <c r="F396" s="179"/>
      <c r="G396" s="14">
        <v>0.63</v>
      </c>
    </row>
    <row r="397" spans="1:8" ht="12.75">
      <c r="A397" s="5" t="s">
        <v>157</v>
      </c>
      <c r="B397" s="5"/>
      <c r="C397" s="5" t="s">
        <v>364</v>
      </c>
      <c r="D397" s="147" t="s">
        <v>753</v>
      </c>
      <c r="E397" s="148"/>
      <c r="F397" s="5" t="s">
        <v>852</v>
      </c>
      <c r="G397" s="13">
        <v>35.03</v>
      </c>
      <c r="H397" s="13">
        <v>0</v>
      </c>
    </row>
    <row r="398" spans="4:7" ht="12" customHeight="1">
      <c r="D398" s="178" t="s">
        <v>754</v>
      </c>
      <c r="E398" s="179"/>
      <c r="F398" s="179"/>
      <c r="G398" s="14">
        <v>35.03</v>
      </c>
    </row>
    <row r="399" spans="1:8" ht="12.75">
      <c r="A399" s="3" t="s">
        <v>158</v>
      </c>
      <c r="B399" s="3"/>
      <c r="C399" s="3" t="s">
        <v>365</v>
      </c>
      <c r="D399" s="143" t="s">
        <v>755</v>
      </c>
      <c r="E399" s="144"/>
      <c r="F399" s="3" t="s">
        <v>859</v>
      </c>
      <c r="G399" s="10">
        <v>1061.74</v>
      </c>
      <c r="H399" s="10">
        <v>0</v>
      </c>
    </row>
    <row r="400" spans="4:7" ht="12" customHeight="1">
      <c r="D400" s="176" t="s">
        <v>756</v>
      </c>
      <c r="E400" s="177"/>
      <c r="F400" s="177"/>
      <c r="G400" s="11">
        <v>1061.74</v>
      </c>
    </row>
    <row r="401" spans="1:8" ht="12.75">
      <c r="A401" s="4"/>
      <c r="B401" s="4"/>
      <c r="C401" s="4" t="s">
        <v>366</v>
      </c>
      <c r="D401" s="145" t="s">
        <v>757</v>
      </c>
      <c r="E401" s="146"/>
      <c r="F401" s="4"/>
      <c r="G401" s="70"/>
      <c r="H401" s="12"/>
    </row>
    <row r="402" spans="1:8" ht="12.75">
      <c r="A402" s="3" t="s">
        <v>159</v>
      </c>
      <c r="B402" s="3"/>
      <c r="C402" s="3" t="s">
        <v>367</v>
      </c>
      <c r="D402" s="143" t="s">
        <v>758</v>
      </c>
      <c r="E402" s="144"/>
      <c r="F402" s="3" t="s">
        <v>856</v>
      </c>
      <c r="G402" s="10">
        <v>2</v>
      </c>
      <c r="H402" s="10">
        <v>0</v>
      </c>
    </row>
    <row r="403" spans="4:7" ht="12" customHeight="1">
      <c r="D403" s="176" t="s">
        <v>712</v>
      </c>
      <c r="E403" s="177"/>
      <c r="F403" s="177"/>
      <c r="G403" s="11">
        <v>2</v>
      </c>
    </row>
    <row r="404" spans="1:8" ht="12.75">
      <c r="A404" s="3" t="s">
        <v>160</v>
      </c>
      <c r="B404" s="3"/>
      <c r="C404" s="3" t="s">
        <v>368</v>
      </c>
      <c r="D404" s="143" t="s">
        <v>759</v>
      </c>
      <c r="E404" s="144"/>
      <c r="F404" s="3" t="s">
        <v>856</v>
      </c>
      <c r="G404" s="10">
        <v>2</v>
      </c>
      <c r="H404" s="10">
        <v>0</v>
      </c>
    </row>
    <row r="405" spans="4:7" ht="12" customHeight="1">
      <c r="D405" s="176" t="s">
        <v>712</v>
      </c>
      <c r="E405" s="177"/>
      <c r="F405" s="177"/>
      <c r="G405" s="11">
        <v>2</v>
      </c>
    </row>
    <row r="406" spans="1:8" ht="12.75">
      <c r="A406" s="3" t="s">
        <v>161</v>
      </c>
      <c r="B406" s="3"/>
      <c r="C406" s="3" t="s">
        <v>369</v>
      </c>
      <c r="D406" s="143" t="s">
        <v>760</v>
      </c>
      <c r="E406" s="144"/>
      <c r="F406" s="3" t="s">
        <v>852</v>
      </c>
      <c r="G406" s="10">
        <v>11.13</v>
      </c>
      <c r="H406" s="10">
        <v>0</v>
      </c>
    </row>
    <row r="407" spans="4:7" ht="12" customHeight="1">
      <c r="D407" s="176" t="s">
        <v>761</v>
      </c>
      <c r="E407" s="177"/>
      <c r="F407" s="177"/>
      <c r="G407" s="11">
        <v>11.13</v>
      </c>
    </row>
    <row r="408" spans="1:8" ht="12.75">
      <c r="A408" s="3" t="s">
        <v>162</v>
      </c>
      <c r="B408" s="3"/>
      <c r="C408" s="3" t="s">
        <v>370</v>
      </c>
      <c r="D408" s="143" t="s">
        <v>762</v>
      </c>
      <c r="E408" s="144"/>
      <c r="F408" s="3" t="s">
        <v>852</v>
      </c>
      <c r="G408" s="10">
        <v>11.13</v>
      </c>
      <c r="H408" s="10">
        <v>0</v>
      </c>
    </row>
    <row r="409" spans="4:7" ht="12" customHeight="1">
      <c r="D409" s="176" t="s">
        <v>761</v>
      </c>
      <c r="E409" s="177"/>
      <c r="F409" s="177"/>
      <c r="G409" s="11">
        <v>11.13</v>
      </c>
    </row>
    <row r="410" spans="1:8" ht="12.75">
      <c r="A410" s="5" t="s">
        <v>163</v>
      </c>
      <c r="B410" s="5"/>
      <c r="C410" s="5" t="s">
        <v>371</v>
      </c>
      <c r="D410" s="147" t="s">
        <v>763</v>
      </c>
      <c r="E410" s="148"/>
      <c r="F410" s="5" t="s">
        <v>852</v>
      </c>
      <c r="G410" s="13">
        <v>13.36</v>
      </c>
      <c r="H410" s="13">
        <v>0</v>
      </c>
    </row>
    <row r="411" spans="4:7" ht="12" customHeight="1">
      <c r="D411" s="178" t="s">
        <v>764</v>
      </c>
      <c r="E411" s="179"/>
      <c r="F411" s="179"/>
      <c r="G411" s="14">
        <v>13.36</v>
      </c>
    </row>
    <row r="412" spans="1:8" ht="12.75">
      <c r="A412" s="3" t="s">
        <v>164</v>
      </c>
      <c r="B412" s="3"/>
      <c r="C412" s="3" t="s">
        <v>372</v>
      </c>
      <c r="D412" s="143" t="s">
        <v>765</v>
      </c>
      <c r="E412" s="144"/>
      <c r="F412" s="3" t="s">
        <v>852</v>
      </c>
      <c r="G412" s="10">
        <v>120.18</v>
      </c>
      <c r="H412" s="10">
        <v>0</v>
      </c>
    </row>
    <row r="413" spans="4:7" ht="12" customHeight="1">
      <c r="D413" s="176" t="s">
        <v>766</v>
      </c>
      <c r="E413" s="177"/>
      <c r="F413" s="177"/>
      <c r="G413" s="11">
        <v>120.18</v>
      </c>
    </row>
    <row r="414" spans="1:8" ht="12.75">
      <c r="A414" s="3" t="s">
        <v>165</v>
      </c>
      <c r="B414" s="3"/>
      <c r="C414" s="3" t="s">
        <v>373</v>
      </c>
      <c r="D414" s="143" t="s">
        <v>767</v>
      </c>
      <c r="E414" s="144"/>
      <c r="F414" s="3" t="s">
        <v>856</v>
      </c>
      <c r="G414" s="10">
        <v>5</v>
      </c>
      <c r="H414" s="10">
        <v>0</v>
      </c>
    </row>
    <row r="415" spans="4:7" ht="12" customHeight="1">
      <c r="D415" s="176" t="s">
        <v>455</v>
      </c>
      <c r="E415" s="177"/>
      <c r="F415" s="177"/>
      <c r="G415" s="11">
        <v>5</v>
      </c>
    </row>
    <row r="416" spans="1:8" ht="12.75">
      <c r="A416" s="3" t="s">
        <v>166</v>
      </c>
      <c r="B416" s="3"/>
      <c r="C416" s="3" t="s">
        <v>374</v>
      </c>
      <c r="D416" s="143" t="s">
        <v>768</v>
      </c>
      <c r="E416" s="144"/>
      <c r="F416" s="3" t="s">
        <v>859</v>
      </c>
      <c r="G416" s="10">
        <v>250.57</v>
      </c>
      <c r="H416" s="10">
        <v>0</v>
      </c>
    </row>
    <row r="417" spans="4:7" ht="12" customHeight="1">
      <c r="D417" s="176" t="s">
        <v>769</v>
      </c>
      <c r="E417" s="177"/>
      <c r="F417" s="177"/>
      <c r="G417" s="11">
        <v>250.57</v>
      </c>
    </row>
    <row r="418" spans="1:8" ht="12.75">
      <c r="A418" s="4"/>
      <c r="B418" s="4"/>
      <c r="C418" s="4" t="s">
        <v>375</v>
      </c>
      <c r="D418" s="145" t="s">
        <v>770</v>
      </c>
      <c r="E418" s="146"/>
      <c r="F418" s="4"/>
      <c r="G418" s="70"/>
      <c r="H418" s="12"/>
    </row>
    <row r="419" spans="1:8" ht="12.75">
      <c r="A419" s="3" t="s">
        <v>167</v>
      </c>
      <c r="B419" s="3"/>
      <c r="C419" s="3" t="s">
        <v>376</v>
      </c>
      <c r="D419" s="143" t="s">
        <v>771</v>
      </c>
      <c r="E419" s="144"/>
      <c r="F419" s="3" t="s">
        <v>852</v>
      </c>
      <c r="G419" s="10">
        <v>27.87</v>
      </c>
      <c r="H419" s="10">
        <v>0</v>
      </c>
    </row>
    <row r="420" spans="4:7" ht="12" customHeight="1">
      <c r="D420" s="176" t="s">
        <v>772</v>
      </c>
      <c r="E420" s="177"/>
      <c r="F420" s="177"/>
      <c r="G420" s="11">
        <v>27.87</v>
      </c>
    </row>
    <row r="421" spans="1:8" ht="12.75">
      <c r="A421" s="3" t="s">
        <v>168</v>
      </c>
      <c r="B421" s="3"/>
      <c r="C421" s="3" t="s">
        <v>377</v>
      </c>
      <c r="D421" s="143" t="s">
        <v>773</v>
      </c>
      <c r="E421" s="144"/>
      <c r="F421" s="3" t="s">
        <v>852</v>
      </c>
      <c r="G421" s="10">
        <v>27.87</v>
      </c>
      <c r="H421" s="10">
        <v>0</v>
      </c>
    </row>
    <row r="422" spans="4:7" ht="12" customHeight="1">
      <c r="D422" s="176" t="s">
        <v>772</v>
      </c>
      <c r="E422" s="177"/>
      <c r="F422" s="177"/>
      <c r="G422" s="11">
        <v>27.87</v>
      </c>
    </row>
    <row r="423" spans="1:8" ht="12.75">
      <c r="A423" s="3" t="s">
        <v>169</v>
      </c>
      <c r="B423" s="3"/>
      <c r="C423" s="3" t="s">
        <v>378</v>
      </c>
      <c r="D423" s="143" t="s">
        <v>774</v>
      </c>
      <c r="E423" s="144"/>
      <c r="F423" s="3" t="s">
        <v>852</v>
      </c>
      <c r="G423" s="10">
        <v>27.87</v>
      </c>
      <c r="H423" s="10">
        <v>0</v>
      </c>
    </row>
    <row r="424" spans="4:7" ht="12" customHeight="1">
      <c r="D424" s="176" t="s">
        <v>772</v>
      </c>
      <c r="E424" s="177"/>
      <c r="F424" s="177"/>
      <c r="G424" s="11">
        <v>27.87</v>
      </c>
    </row>
    <row r="425" spans="1:8" ht="12.75">
      <c r="A425" s="5" t="s">
        <v>170</v>
      </c>
      <c r="B425" s="5"/>
      <c r="C425" s="5" t="s">
        <v>379</v>
      </c>
      <c r="D425" s="147" t="s">
        <v>775</v>
      </c>
      <c r="E425" s="148"/>
      <c r="F425" s="5" t="s">
        <v>852</v>
      </c>
      <c r="G425" s="13">
        <v>33.44</v>
      </c>
      <c r="H425" s="13">
        <v>0</v>
      </c>
    </row>
    <row r="426" spans="4:7" ht="12" customHeight="1">
      <c r="D426" s="178" t="s">
        <v>776</v>
      </c>
      <c r="E426" s="179"/>
      <c r="F426" s="179"/>
      <c r="G426" s="14">
        <v>33.44</v>
      </c>
    </row>
    <row r="427" spans="1:8" ht="12.75">
      <c r="A427" s="3" t="s">
        <v>171</v>
      </c>
      <c r="B427" s="3"/>
      <c r="C427" s="3" t="s">
        <v>380</v>
      </c>
      <c r="D427" s="143" t="s">
        <v>777</v>
      </c>
      <c r="E427" s="144"/>
      <c r="F427" s="3" t="s">
        <v>856</v>
      </c>
      <c r="G427" s="10">
        <v>8.6</v>
      </c>
      <c r="H427" s="10">
        <v>0</v>
      </c>
    </row>
    <row r="428" spans="4:7" ht="12" customHeight="1">
      <c r="D428" s="176" t="s">
        <v>778</v>
      </c>
      <c r="E428" s="177"/>
      <c r="F428" s="177"/>
      <c r="G428" s="11">
        <v>8.6</v>
      </c>
    </row>
    <row r="429" spans="1:8" ht="12.75">
      <c r="A429" s="5" t="s">
        <v>172</v>
      </c>
      <c r="B429" s="5"/>
      <c r="C429" s="5" t="s">
        <v>381</v>
      </c>
      <c r="D429" s="147" t="s">
        <v>1023</v>
      </c>
      <c r="E429" s="148"/>
      <c r="F429" s="5" t="s">
        <v>856</v>
      </c>
      <c r="G429" s="13">
        <v>9.46</v>
      </c>
      <c r="H429" s="13">
        <v>0</v>
      </c>
    </row>
    <row r="430" spans="4:7" ht="12" customHeight="1">
      <c r="D430" s="178" t="s">
        <v>779</v>
      </c>
      <c r="E430" s="179"/>
      <c r="F430" s="179"/>
      <c r="G430" s="14">
        <v>9.46</v>
      </c>
    </row>
    <row r="431" spans="1:8" ht="12.75">
      <c r="A431" s="3" t="s">
        <v>173</v>
      </c>
      <c r="B431" s="3"/>
      <c r="C431" s="3" t="s">
        <v>382</v>
      </c>
      <c r="D431" s="143" t="s">
        <v>780</v>
      </c>
      <c r="E431" s="144"/>
      <c r="F431" s="3" t="s">
        <v>859</v>
      </c>
      <c r="G431" s="10">
        <v>261.87</v>
      </c>
      <c r="H431" s="10">
        <v>0</v>
      </c>
    </row>
    <row r="432" spans="4:7" ht="12" customHeight="1">
      <c r="D432" s="176" t="s">
        <v>781</v>
      </c>
      <c r="E432" s="177"/>
      <c r="F432" s="177"/>
      <c r="G432" s="11">
        <v>261.87</v>
      </c>
    </row>
    <row r="433" spans="1:8" ht="12.75">
      <c r="A433" s="4"/>
      <c r="B433" s="4"/>
      <c r="C433" s="4" t="s">
        <v>383</v>
      </c>
      <c r="D433" s="145" t="s">
        <v>782</v>
      </c>
      <c r="E433" s="146"/>
      <c r="F433" s="4"/>
      <c r="G433" s="70"/>
      <c r="H433" s="12"/>
    </row>
    <row r="434" spans="1:8" ht="12.75">
      <c r="A434" s="3" t="s">
        <v>174</v>
      </c>
      <c r="B434" s="3"/>
      <c r="C434" s="3" t="s">
        <v>384</v>
      </c>
      <c r="D434" s="143" t="s">
        <v>783</v>
      </c>
      <c r="E434" s="144"/>
      <c r="F434" s="3" t="s">
        <v>852</v>
      </c>
      <c r="G434" s="10">
        <v>126.73</v>
      </c>
      <c r="H434" s="10">
        <v>0</v>
      </c>
    </row>
    <row r="435" spans="4:7" ht="12" customHeight="1">
      <c r="D435" s="176" t="s">
        <v>784</v>
      </c>
      <c r="E435" s="177"/>
      <c r="F435" s="177"/>
      <c r="G435" s="11">
        <v>126.73</v>
      </c>
    </row>
    <row r="436" spans="1:8" ht="12.75">
      <c r="A436" s="4"/>
      <c r="B436" s="4"/>
      <c r="C436" s="4" t="s">
        <v>99</v>
      </c>
      <c r="D436" s="145" t="s">
        <v>785</v>
      </c>
      <c r="E436" s="146"/>
      <c r="F436" s="4"/>
      <c r="G436" s="70"/>
      <c r="H436" s="12"/>
    </row>
    <row r="437" spans="1:8" ht="12.75">
      <c r="A437" s="3" t="s">
        <v>175</v>
      </c>
      <c r="B437" s="3"/>
      <c r="C437" s="3" t="s">
        <v>385</v>
      </c>
      <c r="D437" s="143" t="s">
        <v>786</v>
      </c>
      <c r="E437" s="144"/>
      <c r="F437" s="3" t="s">
        <v>852</v>
      </c>
      <c r="G437" s="10">
        <v>250</v>
      </c>
      <c r="H437" s="10">
        <v>0</v>
      </c>
    </row>
    <row r="438" spans="4:7" ht="12" customHeight="1">
      <c r="D438" s="176" t="s">
        <v>787</v>
      </c>
      <c r="E438" s="177"/>
      <c r="F438" s="177"/>
      <c r="G438" s="11">
        <v>250</v>
      </c>
    </row>
    <row r="439" spans="1:8" ht="12.75">
      <c r="A439" s="3" t="s">
        <v>176</v>
      </c>
      <c r="B439" s="3"/>
      <c r="C439" s="3" t="s">
        <v>386</v>
      </c>
      <c r="D439" s="143" t="s">
        <v>788</v>
      </c>
      <c r="E439" s="144"/>
      <c r="F439" s="3" t="s">
        <v>862</v>
      </c>
      <c r="G439" s="10">
        <v>30</v>
      </c>
      <c r="H439" s="10">
        <v>0</v>
      </c>
    </row>
    <row r="440" spans="4:7" ht="12" customHeight="1">
      <c r="D440" s="176" t="s">
        <v>789</v>
      </c>
      <c r="E440" s="177"/>
      <c r="F440" s="177"/>
      <c r="G440" s="11">
        <v>30</v>
      </c>
    </row>
    <row r="441" spans="1:8" ht="12.75">
      <c r="A441" s="3" t="s">
        <v>177</v>
      </c>
      <c r="B441" s="3"/>
      <c r="C441" s="3" t="s">
        <v>387</v>
      </c>
      <c r="D441" s="143" t="s">
        <v>790</v>
      </c>
      <c r="E441" s="144"/>
      <c r="F441" s="3" t="s">
        <v>852</v>
      </c>
      <c r="G441" s="10">
        <v>66</v>
      </c>
      <c r="H441" s="10">
        <v>0</v>
      </c>
    </row>
    <row r="442" spans="4:7" ht="12" customHeight="1">
      <c r="D442" s="176" t="s">
        <v>791</v>
      </c>
      <c r="E442" s="177"/>
      <c r="F442" s="177"/>
      <c r="G442" s="11">
        <v>66</v>
      </c>
    </row>
    <row r="443" spans="1:8" ht="12.75">
      <c r="A443" s="3" t="s">
        <v>178</v>
      </c>
      <c r="B443" s="3"/>
      <c r="C443" s="3" t="s">
        <v>388</v>
      </c>
      <c r="D443" s="143" t="s">
        <v>792</v>
      </c>
      <c r="E443" s="144"/>
      <c r="F443" s="3" t="s">
        <v>852</v>
      </c>
      <c r="G443" s="10">
        <v>1914</v>
      </c>
      <c r="H443" s="10">
        <v>0</v>
      </c>
    </row>
    <row r="444" spans="4:7" ht="12" customHeight="1">
      <c r="D444" s="176" t="s">
        <v>793</v>
      </c>
      <c r="E444" s="177"/>
      <c r="F444" s="177"/>
      <c r="G444" s="11">
        <v>1914</v>
      </c>
    </row>
    <row r="445" spans="1:8" ht="12.75">
      <c r="A445" s="3" t="s">
        <v>179</v>
      </c>
      <c r="B445" s="3"/>
      <c r="C445" s="3" t="s">
        <v>389</v>
      </c>
      <c r="D445" s="143" t="s">
        <v>794</v>
      </c>
      <c r="E445" s="144"/>
      <c r="F445" s="3" t="s">
        <v>852</v>
      </c>
      <c r="G445" s="10">
        <v>66</v>
      </c>
      <c r="H445" s="10">
        <v>0</v>
      </c>
    </row>
    <row r="446" spans="4:7" ht="12" customHeight="1">
      <c r="D446" s="176" t="s">
        <v>795</v>
      </c>
      <c r="E446" s="177"/>
      <c r="F446" s="177"/>
      <c r="G446" s="11">
        <v>66</v>
      </c>
    </row>
    <row r="447" spans="1:8" ht="12.75">
      <c r="A447" s="4"/>
      <c r="B447" s="4"/>
      <c r="C447" s="4" t="s">
        <v>101</v>
      </c>
      <c r="D447" s="145" t="s">
        <v>796</v>
      </c>
      <c r="E447" s="146"/>
      <c r="F447" s="4"/>
      <c r="G447" s="70"/>
      <c r="H447" s="12"/>
    </row>
    <row r="448" spans="1:8" ht="12.75">
      <c r="A448" s="3" t="s">
        <v>180</v>
      </c>
      <c r="B448" s="3"/>
      <c r="C448" s="3" t="s">
        <v>390</v>
      </c>
      <c r="D448" s="143" t="s">
        <v>797</v>
      </c>
      <c r="E448" s="144"/>
      <c r="F448" s="3" t="s">
        <v>861</v>
      </c>
      <c r="G448" s="10">
        <v>6</v>
      </c>
      <c r="H448" s="10">
        <v>0</v>
      </c>
    </row>
    <row r="449" spans="4:7" ht="12" customHeight="1">
      <c r="D449" s="176" t="s">
        <v>798</v>
      </c>
      <c r="E449" s="177"/>
      <c r="F449" s="177"/>
      <c r="G449" s="11">
        <v>6</v>
      </c>
    </row>
    <row r="450" spans="1:8" ht="12.75">
      <c r="A450" s="3" t="s">
        <v>181</v>
      </c>
      <c r="B450" s="3"/>
      <c r="C450" s="3" t="s">
        <v>391</v>
      </c>
      <c r="D450" s="143" t="s">
        <v>799</v>
      </c>
      <c r="E450" s="144"/>
      <c r="F450" s="3" t="s">
        <v>857</v>
      </c>
      <c r="G450" s="10">
        <v>0.02</v>
      </c>
      <c r="H450" s="10">
        <v>0</v>
      </c>
    </row>
    <row r="451" spans="4:7" ht="12" customHeight="1">
      <c r="D451" s="176" t="s">
        <v>800</v>
      </c>
      <c r="E451" s="177"/>
      <c r="F451" s="177"/>
      <c r="G451" s="11">
        <v>0.02</v>
      </c>
    </row>
    <row r="452" spans="1:8" ht="12.75">
      <c r="A452" s="3" t="s">
        <v>182</v>
      </c>
      <c r="B452" s="3"/>
      <c r="C452" s="3" t="s">
        <v>392</v>
      </c>
      <c r="D452" s="143" t="s">
        <v>801</v>
      </c>
      <c r="E452" s="144"/>
      <c r="F452" s="3" t="s">
        <v>851</v>
      </c>
      <c r="G452" s="10">
        <v>2.31</v>
      </c>
      <c r="H452" s="10">
        <v>0</v>
      </c>
    </row>
    <row r="453" spans="4:7" ht="12" customHeight="1">
      <c r="D453" s="176" t="s">
        <v>802</v>
      </c>
      <c r="E453" s="177"/>
      <c r="F453" s="177"/>
      <c r="G453" s="11">
        <v>1.08</v>
      </c>
    </row>
    <row r="454" spans="1:8" ht="12" customHeight="1">
      <c r="A454" s="3"/>
      <c r="B454" s="3"/>
      <c r="C454" s="3"/>
      <c r="D454" s="176" t="s">
        <v>803</v>
      </c>
      <c r="E454" s="177"/>
      <c r="F454" s="176"/>
      <c r="G454" s="11">
        <v>1.23</v>
      </c>
      <c r="H454" s="16"/>
    </row>
    <row r="455" spans="1:8" ht="12.75">
      <c r="A455" s="3" t="s">
        <v>183</v>
      </c>
      <c r="B455" s="3"/>
      <c r="C455" s="3" t="s">
        <v>393</v>
      </c>
      <c r="D455" s="143" t="s">
        <v>804</v>
      </c>
      <c r="E455" s="144"/>
      <c r="F455" s="3" t="s">
        <v>851</v>
      </c>
      <c r="G455" s="10">
        <v>2.87</v>
      </c>
      <c r="H455" s="10">
        <v>0</v>
      </c>
    </row>
    <row r="456" spans="4:7" ht="12" customHeight="1">
      <c r="D456" s="176" t="s">
        <v>805</v>
      </c>
      <c r="E456" s="177"/>
      <c r="F456" s="177"/>
      <c r="G456" s="11">
        <v>0.29</v>
      </c>
    </row>
    <row r="457" spans="1:8" ht="12" customHeight="1">
      <c r="A457" s="3"/>
      <c r="B457" s="3"/>
      <c r="C457" s="3"/>
      <c r="D457" s="176" t="s">
        <v>806</v>
      </c>
      <c r="E457" s="177"/>
      <c r="F457" s="176"/>
      <c r="G457" s="11">
        <v>1.78</v>
      </c>
      <c r="H457" s="16"/>
    </row>
    <row r="458" spans="1:8" ht="12" customHeight="1">
      <c r="A458" s="3"/>
      <c r="B458" s="3"/>
      <c r="C458" s="3"/>
      <c r="D458" s="176" t="s">
        <v>807</v>
      </c>
      <c r="E458" s="177"/>
      <c r="F458" s="176"/>
      <c r="G458" s="11">
        <v>0.8</v>
      </c>
      <c r="H458" s="16"/>
    </row>
    <row r="459" spans="1:8" ht="12.75">
      <c r="A459" s="3" t="s">
        <v>184</v>
      </c>
      <c r="B459" s="3"/>
      <c r="C459" s="3" t="s">
        <v>394</v>
      </c>
      <c r="D459" s="143" t="s">
        <v>808</v>
      </c>
      <c r="E459" s="144"/>
      <c r="F459" s="3" t="s">
        <v>851</v>
      </c>
      <c r="G459" s="10">
        <v>5.88</v>
      </c>
      <c r="H459" s="10">
        <v>0</v>
      </c>
    </row>
    <row r="460" spans="4:7" ht="12" customHeight="1">
      <c r="D460" s="176" t="s">
        <v>809</v>
      </c>
      <c r="E460" s="177"/>
      <c r="F460" s="177"/>
      <c r="G460" s="11">
        <v>5.88</v>
      </c>
    </row>
    <row r="461" spans="1:8" ht="12.75">
      <c r="A461" s="3" t="s">
        <v>185</v>
      </c>
      <c r="B461" s="3"/>
      <c r="C461" s="3" t="s">
        <v>395</v>
      </c>
      <c r="D461" s="143" t="s">
        <v>810</v>
      </c>
      <c r="E461" s="144"/>
      <c r="F461" s="3" t="s">
        <v>851</v>
      </c>
      <c r="G461" s="10">
        <v>6.97</v>
      </c>
      <c r="H461" s="10">
        <v>0</v>
      </c>
    </row>
    <row r="462" spans="4:7" ht="12" customHeight="1">
      <c r="D462" s="176" t="s">
        <v>811</v>
      </c>
      <c r="E462" s="177"/>
      <c r="F462" s="177"/>
      <c r="G462" s="11">
        <v>6.97</v>
      </c>
    </row>
    <row r="463" spans="1:8" ht="12.75">
      <c r="A463" s="3" t="s">
        <v>186</v>
      </c>
      <c r="B463" s="3"/>
      <c r="C463" s="3" t="s">
        <v>396</v>
      </c>
      <c r="D463" s="143" t="s">
        <v>812</v>
      </c>
      <c r="E463" s="144"/>
      <c r="F463" s="3" t="s">
        <v>851</v>
      </c>
      <c r="G463" s="10">
        <v>1.89</v>
      </c>
      <c r="H463" s="10">
        <v>0</v>
      </c>
    </row>
    <row r="464" spans="4:7" ht="12" customHeight="1">
      <c r="D464" s="176" t="s">
        <v>813</v>
      </c>
      <c r="E464" s="177"/>
      <c r="F464" s="177"/>
      <c r="G464" s="11">
        <v>1.89</v>
      </c>
    </row>
    <row r="465" spans="1:8" ht="12.75">
      <c r="A465" s="4"/>
      <c r="B465" s="4"/>
      <c r="C465" s="4" t="s">
        <v>102</v>
      </c>
      <c r="D465" s="145" t="s">
        <v>814</v>
      </c>
      <c r="E465" s="146"/>
      <c r="F465" s="4"/>
      <c r="G465" s="70"/>
      <c r="H465" s="12"/>
    </row>
    <row r="466" spans="1:8" ht="12.75">
      <c r="A466" s="3" t="s">
        <v>187</v>
      </c>
      <c r="B466" s="3"/>
      <c r="C466" s="3" t="s">
        <v>397</v>
      </c>
      <c r="D466" s="143" t="s">
        <v>815</v>
      </c>
      <c r="E466" s="144"/>
      <c r="F466" s="3" t="s">
        <v>856</v>
      </c>
      <c r="G466" s="10">
        <v>2</v>
      </c>
      <c r="H466" s="10">
        <v>0</v>
      </c>
    </row>
    <row r="467" spans="4:7" ht="12" customHeight="1">
      <c r="D467" s="176" t="s">
        <v>816</v>
      </c>
      <c r="E467" s="177"/>
      <c r="F467" s="177"/>
      <c r="G467" s="11">
        <v>2</v>
      </c>
    </row>
    <row r="468" spans="1:8" ht="12.75">
      <c r="A468" s="3" t="s">
        <v>188</v>
      </c>
      <c r="B468" s="3"/>
      <c r="C468" s="3" t="s">
        <v>398</v>
      </c>
      <c r="D468" s="143" t="s">
        <v>817</v>
      </c>
      <c r="E468" s="144"/>
      <c r="F468" s="3" t="s">
        <v>854</v>
      </c>
      <c r="G468" s="10">
        <v>41</v>
      </c>
      <c r="H468" s="10">
        <v>0</v>
      </c>
    </row>
    <row r="469" spans="4:7" ht="12" customHeight="1">
      <c r="D469" s="176" t="s">
        <v>538</v>
      </c>
      <c r="E469" s="177"/>
      <c r="F469" s="177"/>
      <c r="G469" s="11">
        <v>41</v>
      </c>
    </row>
    <row r="470" spans="1:8" ht="12.75">
      <c r="A470" s="3" t="s">
        <v>189</v>
      </c>
      <c r="B470" s="3"/>
      <c r="C470" s="3" t="s">
        <v>399</v>
      </c>
      <c r="D470" s="143" t="s">
        <v>818</v>
      </c>
      <c r="E470" s="144"/>
      <c r="F470" s="3" t="s">
        <v>854</v>
      </c>
      <c r="G470" s="10">
        <v>43</v>
      </c>
      <c r="H470" s="10">
        <v>0</v>
      </c>
    </row>
    <row r="471" spans="4:7" ht="12" customHeight="1">
      <c r="D471" s="176" t="s">
        <v>536</v>
      </c>
      <c r="E471" s="177"/>
      <c r="F471" s="177"/>
      <c r="G471" s="11">
        <v>43</v>
      </c>
    </row>
    <row r="472" spans="1:8" ht="12.75">
      <c r="A472" s="3" t="s">
        <v>190</v>
      </c>
      <c r="B472" s="3"/>
      <c r="C472" s="3" t="s">
        <v>400</v>
      </c>
      <c r="D472" s="143" t="s">
        <v>819</v>
      </c>
      <c r="E472" s="144"/>
      <c r="F472" s="3" t="s">
        <v>856</v>
      </c>
      <c r="G472" s="10">
        <v>21.6</v>
      </c>
      <c r="H472" s="10">
        <v>0</v>
      </c>
    </row>
    <row r="473" spans="4:7" ht="12" customHeight="1">
      <c r="D473" s="176" t="s">
        <v>820</v>
      </c>
      <c r="E473" s="177"/>
      <c r="F473" s="177"/>
      <c r="G473" s="11">
        <v>21.6</v>
      </c>
    </row>
    <row r="474" spans="1:8" ht="12.75">
      <c r="A474" s="3" t="s">
        <v>191</v>
      </c>
      <c r="B474" s="3"/>
      <c r="C474" s="3" t="s">
        <v>401</v>
      </c>
      <c r="D474" s="143" t="s">
        <v>821</v>
      </c>
      <c r="E474" s="144"/>
      <c r="F474" s="3" t="s">
        <v>856</v>
      </c>
      <c r="G474" s="10">
        <v>29.5</v>
      </c>
      <c r="H474" s="10">
        <v>0</v>
      </c>
    </row>
    <row r="475" spans="4:7" ht="12" customHeight="1">
      <c r="D475" s="176" t="s">
        <v>822</v>
      </c>
      <c r="E475" s="177"/>
      <c r="F475" s="177"/>
      <c r="G475" s="11">
        <v>29.5</v>
      </c>
    </row>
    <row r="476" spans="1:8" ht="12.75">
      <c r="A476" s="3" t="s">
        <v>192</v>
      </c>
      <c r="B476" s="3"/>
      <c r="C476" s="3" t="s">
        <v>402</v>
      </c>
      <c r="D476" s="143" t="s">
        <v>823</v>
      </c>
      <c r="E476" s="144"/>
      <c r="F476" s="3" t="s">
        <v>856</v>
      </c>
      <c r="G476" s="10">
        <v>6.6</v>
      </c>
      <c r="H476" s="10">
        <v>0</v>
      </c>
    </row>
    <row r="477" spans="4:7" ht="12" customHeight="1">
      <c r="D477" s="176" t="s">
        <v>824</v>
      </c>
      <c r="E477" s="177"/>
      <c r="F477" s="177"/>
      <c r="G477" s="11">
        <v>6.6</v>
      </c>
    </row>
    <row r="478" spans="1:8" ht="12.75">
      <c r="A478" s="4"/>
      <c r="B478" s="4"/>
      <c r="C478" s="4" t="s">
        <v>403</v>
      </c>
      <c r="D478" s="145" t="s">
        <v>825</v>
      </c>
      <c r="E478" s="146"/>
      <c r="F478" s="4"/>
      <c r="G478" s="70"/>
      <c r="H478" s="12"/>
    </row>
    <row r="479" spans="1:8" ht="12.75">
      <c r="A479" s="3" t="s">
        <v>193</v>
      </c>
      <c r="B479" s="3"/>
      <c r="C479" s="3" t="s">
        <v>404</v>
      </c>
      <c r="D479" s="143" t="s">
        <v>826</v>
      </c>
      <c r="E479" s="144"/>
      <c r="F479" s="3" t="s">
        <v>857</v>
      </c>
      <c r="G479" s="10">
        <v>270.54</v>
      </c>
      <c r="H479" s="10">
        <v>0</v>
      </c>
    </row>
    <row r="480" spans="4:7" ht="12" customHeight="1">
      <c r="D480" s="176" t="s">
        <v>827</v>
      </c>
      <c r="E480" s="177"/>
      <c r="F480" s="177"/>
      <c r="G480" s="11">
        <v>270.54</v>
      </c>
    </row>
    <row r="481" spans="1:8" ht="12.75">
      <c r="A481" s="3" t="s">
        <v>194</v>
      </c>
      <c r="B481" s="3"/>
      <c r="C481" s="3" t="s">
        <v>405</v>
      </c>
      <c r="D481" s="143" t="s">
        <v>828</v>
      </c>
      <c r="E481" s="144"/>
      <c r="F481" s="3" t="s">
        <v>859</v>
      </c>
      <c r="G481" s="10">
        <v>2691.06</v>
      </c>
      <c r="H481" s="10">
        <v>0</v>
      </c>
    </row>
    <row r="482" spans="4:7" ht="12" customHeight="1">
      <c r="D482" s="176" t="s">
        <v>829</v>
      </c>
      <c r="E482" s="177"/>
      <c r="F482" s="177"/>
      <c r="G482" s="11">
        <v>2691.06</v>
      </c>
    </row>
    <row r="483" spans="1:8" ht="12.75">
      <c r="A483" s="4"/>
      <c r="B483" s="4"/>
      <c r="C483" s="4" t="s">
        <v>406</v>
      </c>
      <c r="D483" s="145" t="s">
        <v>830</v>
      </c>
      <c r="E483" s="146"/>
      <c r="F483" s="4"/>
      <c r="G483" s="70"/>
      <c r="H483" s="12"/>
    </row>
    <row r="484" spans="1:8" ht="12.75">
      <c r="A484" s="3" t="s">
        <v>195</v>
      </c>
      <c r="B484" s="3"/>
      <c r="C484" s="3" t="s">
        <v>407</v>
      </c>
      <c r="D484" s="143" t="s">
        <v>831</v>
      </c>
      <c r="E484" s="144"/>
      <c r="F484" s="3" t="s">
        <v>860</v>
      </c>
      <c r="G484" s="10">
        <v>1</v>
      </c>
      <c r="H484" s="10">
        <v>0</v>
      </c>
    </row>
    <row r="485" spans="4:7" ht="12" customHeight="1">
      <c r="D485" s="176" t="s">
        <v>832</v>
      </c>
      <c r="E485" s="177"/>
      <c r="F485" s="177"/>
      <c r="G485" s="11">
        <v>1</v>
      </c>
    </row>
    <row r="486" spans="1:8" ht="12.75">
      <c r="A486" s="5" t="s">
        <v>196</v>
      </c>
      <c r="B486" s="5"/>
      <c r="C486" s="5" t="s">
        <v>408</v>
      </c>
      <c r="D486" s="147" t="s">
        <v>1024</v>
      </c>
      <c r="E486" s="148"/>
      <c r="F486" s="5" t="s">
        <v>854</v>
      </c>
      <c r="G486" s="13">
        <v>6</v>
      </c>
      <c r="H486" s="13">
        <v>0</v>
      </c>
    </row>
    <row r="487" spans="4:7" ht="12" customHeight="1">
      <c r="D487" s="178" t="s">
        <v>461</v>
      </c>
      <c r="E487" s="179"/>
      <c r="F487" s="179"/>
      <c r="G487" s="14">
        <v>6</v>
      </c>
    </row>
    <row r="488" spans="1:8" ht="12.75">
      <c r="A488" s="4"/>
      <c r="B488" s="4"/>
      <c r="C488" s="4" t="s">
        <v>409</v>
      </c>
      <c r="D488" s="145" t="s">
        <v>833</v>
      </c>
      <c r="E488" s="146"/>
      <c r="F488" s="4"/>
      <c r="G488" s="70"/>
      <c r="H488" s="12"/>
    </row>
    <row r="489" spans="1:8" ht="12.75">
      <c r="A489" s="3" t="s">
        <v>197</v>
      </c>
      <c r="B489" s="3"/>
      <c r="C489" s="3" t="s">
        <v>410</v>
      </c>
      <c r="D489" s="143" t="s">
        <v>834</v>
      </c>
      <c r="E489" s="144"/>
      <c r="F489" s="3" t="s">
        <v>857</v>
      </c>
      <c r="G489" s="10">
        <v>94</v>
      </c>
      <c r="H489" s="10">
        <v>0</v>
      </c>
    </row>
    <row r="490" spans="4:7" ht="12" customHeight="1">
      <c r="D490" s="176" t="s">
        <v>835</v>
      </c>
      <c r="E490" s="177"/>
      <c r="F490" s="177"/>
      <c r="G490" s="11">
        <v>94</v>
      </c>
    </row>
    <row r="491" spans="1:8" ht="12.75">
      <c r="A491" s="3" t="s">
        <v>198</v>
      </c>
      <c r="B491" s="3"/>
      <c r="C491" s="3" t="s">
        <v>411</v>
      </c>
      <c r="D491" s="143" t="s">
        <v>836</v>
      </c>
      <c r="E491" s="144"/>
      <c r="F491" s="3" t="s">
        <v>857</v>
      </c>
      <c r="G491" s="10">
        <v>846</v>
      </c>
      <c r="H491" s="10">
        <v>0</v>
      </c>
    </row>
    <row r="492" spans="4:7" ht="12" customHeight="1">
      <c r="D492" s="176" t="s">
        <v>837</v>
      </c>
      <c r="E492" s="177"/>
      <c r="F492" s="177"/>
      <c r="G492" s="11">
        <v>846</v>
      </c>
    </row>
    <row r="493" spans="1:8" ht="12.75">
      <c r="A493" s="3" t="s">
        <v>199</v>
      </c>
      <c r="B493" s="3"/>
      <c r="C493" s="3" t="s">
        <v>412</v>
      </c>
      <c r="D493" s="143" t="s">
        <v>838</v>
      </c>
      <c r="E493" s="144"/>
      <c r="F493" s="3" t="s">
        <v>857</v>
      </c>
      <c r="G493" s="10">
        <v>94</v>
      </c>
      <c r="H493" s="10">
        <v>0</v>
      </c>
    </row>
    <row r="494" spans="4:7" ht="12" customHeight="1">
      <c r="D494" s="176" t="s">
        <v>839</v>
      </c>
      <c r="E494" s="177"/>
      <c r="F494" s="177"/>
      <c r="G494" s="11">
        <v>94</v>
      </c>
    </row>
    <row r="495" spans="1:8" ht="12.75">
      <c r="A495" s="3" t="s">
        <v>200</v>
      </c>
      <c r="B495" s="3"/>
      <c r="C495" s="3" t="s">
        <v>413</v>
      </c>
      <c r="D495" s="143" t="s">
        <v>840</v>
      </c>
      <c r="E495" s="144"/>
      <c r="F495" s="3" t="s">
        <v>857</v>
      </c>
      <c r="G495" s="10">
        <v>58.64</v>
      </c>
      <c r="H495" s="10">
        <v>0</v>
      </c>
    </row>
    <row r="496" spans="4:7" ht="12" customHeight="1">
      <c r="D496" s="176" t="s">
        <v>841</v>
      </c>
      <c r="E496" s="177"/>
      <c r="F496" s="177"/>
      <c r="G496" s="11">
        <v>58.64</v>
      </c>
    </row>
    <row r="497" spans="1:8" ht="12.75">
      <c r="A497" s="3" t="s">
        <v>201</v>
      </c>
      <c r="B497" s="3"/>
      <c r="C497" s="3" t="s">
        <v>414</v>
      </c>
      <c r="D497" s="143" t="s">
        <v>842</v>
      </c>
      <c r="E497" s="144"/>
      <c r="F497" s="3" t="s">
        <v>857</v>
      </c>
      <c r="G497" s="10">
        <v>35.36</v>
      </c>
      <c r="H497" s="10">
        <v>0</v>
      </c>
    </row>
    <row r="498" spans="4:7" ht="12" customHeight="1">
      <c r="D498" s="176" t="s">
        <v>843</v>
      </c>
      <c r="E498" s="177"/>
      <c r="F498" s="177"/>
      <c r="G498" s="11">
        <v>35.36</v>
      </c>
    </row>
    <row r="499" spans="1:8" ht="12.75">
      <c r="A499" s="3" t="s">
        <v>202</v>
      </c>
      <c r="B499" s="3"/>
      <c r="C499" s="3" t="s">
        <v>415</v>
      </c>
      <c r="D499" s="143" t="s">
        <v>844</v>
      </c>
      <c r="E499" s="144"/>
      <c r="F499" s="3" t="s">
        <v>857</v>
      </c>
      <c r="G499" s="10">
        <v>5.42</v>
      </c>
      <c r="H499" s="10">
        <v>0</v>
      </c>
    </row>
    <row r="500" spans="4:7" ht="12" customHeight="1">
      <c r="D500" s="176" t="s">
        <v>845</v>
      </c>
      <c r="E500" s="177"/>
      <c r="F500" s="177"/>
      <c r="G500" s="11">
        <v>5.42</v>
      </c>
    </row>
    <row r="502" ht="11.25" customHeight="1">
      <c r="A502" s="6" t="s">
        <v>203</v>
      </c>
    </row>
    <row r="503" spans="1:7" ht="12.75">
      <c r="A503" s="93"/>
      <c r="B503" s="85"/>
      <c r="C503" s="85"/>
      <c r="D503" s="85"/>
      <c r="E503" s="85"/>
      <c r="F503" s="85"/>
      <c r="G503" s="85"/>
    </row>
  </sheetData>
  <sheetProtection password="CCF3" sheet="1" objects="1" scenarios="1"/>
  <protectedRanges>
    <protectedRange sqref="F6:H7" name="Oblast1"/>
  </protectedRanges>
  <mergeCells count="509">
    <mergeCell ref="D496:F496"/>
    <mergeCell ref="D497:E497"/>
    <mergeCell ref="D498:F498"/>
    <mergeCell ref="D499:E499"/>
    <mergeCell ref="D500:F500"/>
    <mergeCell ref="A503:G503"/>
    <mergeCell ref="D490:F490"/>
    <mergeCell ref="D491:E491"/>
    <mergeCell ref="D492:F492"/>
    <mergeCell ref="D493:E493"/>
    <mergeCell ref="D494:F494"/>
    <mergeCell ref="D495:E495"/>
    <mergeCell ref="D484:E484"/>
    <mergeCell ref="D485:F485"/>
    <mergeCell ref="D486:E486"/>
    <mergeCell ref="D487:F487"/>
    <mergeCell ref="D488:E488"/>
    <mergeCell ref="D489:E489"/>
    <mergeCell ref="D478:E478"/>
    <mergeCell ref="D479:E479"/>
    <mergeCell ref="D480:F480"/>
    <mergeCell ref="D481:E481"/>
    <mergeCell ref="D482:F482"/>
    <mergeCell ref="D483:E483"/>
    <mergeCell ref="D472:E472"/>
    <mergeCell ref="D473:F473"/>
    <mergeCell ref="D474:E474"/>
    <mergeCell ref="D475:F475"/>
    <mergeCell ref="D476:E476"/>
    <mergeCell ref="D477:F477"/>
    <mergeCell ref="D466:E466"/>
    <mergeCell ref="D467:F467"/>
    <mergeCell ref="D468:E468"/>
    <mergeCell ref="D469:F469"/>
    <mergeCell ref="D470:E470"/>
    <mergeCell ref="D471:F471"/>
    <mergeCell ref="D460:F460"/>
    <mergeCell ref="D461:E461"/>
    <mergeCell ref="D462:F462"/>
    <mergeCell ref="D463:E463"/>
    <mergeCell ref="D464:F464"/>
    <mergeCell ref="D465:E465"/>
    <mergeCell ref="D454:F454"/>
    <mergeCell ref="D455:E455"/>
    <mergeCell ref="D456:F456"/>
    <mergeCell ref="D457:F457"/>
    <mergeCell ref="D458:F458"/>
    <mergeCell ref="D459:E459"/>
    <mergeCell ref="D448:E448"/>
    <mergeCell ref="D449:F449"/>
    <mergeCell ref="D450:E450"/>
    <mergeCell ref="D451:F451"/>
    <mergeCell ref="D452:E452"/>
    <mergeCell ref="D453:F453"/>
    <mergeCell ref="D442:F442"/>
    <mergeCell ref="D443:E443"/>
    <mergeCell ref="D444:F444"/>
    <mergeCell ref="D445:E445"/>
    <mergeCell ref="D446:F446"/>
    <mergeCell ref="D447:E447"/>
    <mergeCell ref="D436:E436"/>
    <mergeCell ref="D437:E437"/>
    <mergeCell ref="D438:F438"/>
    <mergeCell ref="D439:E439"/>
    <mergeCell ref="D440:F440"/>
    <mergeCell ref="D441:E441"/>
    <mergeCell ref="D430:F430"/>
    <mergeCell ref="D431:E431"/>
    <mergeCell ref="D432:F432"/>
    <mergeCell ref="D433:E433"/>
    <mergeCell ref="D434:E434"/>
    <mergeCell ref="D435:F435"/>
    <mergeCell ref="D424:F424"/>
    <mergeCell ref="D425:E425"/>
    <mergeCell ref="D426:F426"/>
    <mergeCell ref="D427:E427"/>
    <mergeCell ref="D428:F428"/>
    <mergeCell ref="D429:E429"/>
    <mergeCell ref="D418:E418"/>
    <mergeCell ref="D419:E419"/>
    <mergeCell ref="D420:F420"/>
    <mergeCell ref="D421:E421"/>
    <mergeCell ref="D422:F422"/>
    <mergeCell ref="D423:E423"/>
    <mergeCell ref="D412:E412"/>
    <mergeCell ref="D413:F413"/>
    <mergeCell ref="D414:E414"/>
    <mergeCell ref="D415:F415"/>
    <mergeCell ref="D416:E416"/>
    <mergeCell ref="D417:F417"/>
    <mergeCell ref="D406:E406"/>
    <mergeCell ref="D407:F407"/>
    <mergeCell ref="D408:E408"/>
    <mergeCell ref="D409:F409"/>
    <mergeCell ref="D410:E410"/>
    <mergeCell ref="D411:F411"/>
    <mergeCell ref="D400:F400"/>
    <mergeCell ref="D401:E401"/>
    <mergeCell ref="D402:E402"/>
    <mergeCell ref="D403:F403"/>
    <mergeCell ref="D404:E404"/>
    <mergeCell ref="D405:F405"/>
    <mergeCell ref="D394:F394"/>
    <mergeCell ref="D395:E395"/>
    <mergeCell ref="D396:F396"/>
    <mergeCell ref="D397:E397"/>
    <mergeCell ref="D398:F398"/>
    <mergeCell ref="D399:E399"/>
    <mergeCell ref="D388:F388"/>
    <mergeCell ref="D389:E389"/>
    <mergeCell ref="D390:F390"/>
    <mergeCell ref="D391:E391"/>
    <mergeCell ref="D392:F392"/>
    <mergeCell ref="D393:E393"/>
    <mergeCell ref="D382:E382"/>
    <mergeCell ref="D383:F383"/>
    <mergeCell ref="D384:E384"/>
    <mergeCell ref="D385:F385"/>
    <mergeCell ref="D386:E386"/>
    <mergeCell ref="D387:E387"/>
    <mergeCell ref="D376:E376"/>
    <mergeCell ref="D377:F377"/>
    <mergeCell ref="D378:E378"/>
    <mergeCell ref="D379:F379"/>
    <mergeCell ref="D380:E380"/>
    <mergeCell ref="D381:F381"/>
    <mergeCell ref="D370:F370"/>
    <mergeCell ref="D371:E371"/>
    <mergeCell ref="D372:E372"/>
    <mergeCell ref="D373:F373"/>
    <mergeCell ref="D374:E374"/>
    <mergeCell ref="D375:F375"/>
    <mergeCell ref="D364:E364"/>
    <mergeCell ref="D365:F365"/>
    <mergeCell ref="D366:E366"/>
    <mergeCell ref="D367:E367"/>
    <mergeCell ref="D368:F368"/>
    <mergeCell ref="D369:E369"/>
    <mergeCell ref="D358:E358"/>
    <mergeCell ref="D359:F359"/>
    <mergeCell ref="D360:E360"/>
    <mergeCell ref="D361:F361"/>
    <mergeCell ref="D362:E362"/>
    <mergeCell ref="D363:F363"/>
    <mergeCell ref="D352:E352"/>
    <mergeCell ref="D353:F353"/>
    <mergeCell ref="D354:E354"/>
    <mergeCell ref="D355:F355"/>
    <mergeCell ref="D356:E356"/>
    <mergeCell ref="D357:F357"/>
    <mergeCell ref="D346:E346"/>
    <mergeCell ref="D347:F347"/>
    <mergeCell ref="D348:E348"/>
    <mergeCell ref="D349:F349"/>
    <mergeCell ref="D350:E350"/>
    <mergeCell ref="D351:F351"/>
    <mergeCell ref="D340:F340"/>
    <mergeCell ref="D341:E341"/>
    <mergeCell ref="D342:F342"/>
    <mergeCell ref="D343:E343"/>
    <mergeCell ref="D344:F344"/>
    <mergeCell ref="D345:E345"/>
    <mergeCell ref="D334:F334"/>
    <mergeCell ref="D335:E335"/>
    <mergeCell ref="D336:F336"/>
    <mergeCell ref="D337:E337"/>
    <mergeCell ref="D338:F338"/>
    <mergeCell ref="D339:E339"/>
    <mergeCell ref="D328:E328"/>
    <mergeCell ref="D329:F329"/>
    <mergeCell ref="D330:E330"/>
    <mergeCell ref="D331:F331"/>
    <mergeCell ref="D332:E332"/>
    <mergeCell ref="D333:E333"/>
    <mergeCell ref="D322:F322"/>
    <mergeCell ref="D323:E323"/>
    <mergeCell ref="D324:E324"/>
    <mergeCell ref="D325:F325"/>
    <mergeCell ref="D326:E326"/>
    <mergeCell ref="D327:F327"/>
    <mergeCell ref="D316:F316"/>
    <mergeCell ref="D317:E317"/>
    <mergeCell ref="D318:F318"/>
    <mergeCell ref="D319:F319"/>
    <mergeCell ref="D320:F320"/>
    <mergeCell ref="D321:E321"/>
    <mergeCell ref="D310:E310"/>
    <mergeCell ref="D311:F311"/>
    <mergeCell ref="D312:E312"/>
    <mergeCell ref="D313:F313"/>
    <mergeCell ref="D314:F314"/>
    <mergeCell ref="D315:E315"/>
    <mergeCell ref="D304:F304"/>
    <mergeCell ref="D305:E305"/>
    <mergeCell ref="D306:F306"/>
    <mergeCell ref="D307:E307"/>
    <mergeCell ref="D308:F308"/>
    <mergeCell ref="D309:F309"/>
    <mergeCell ref="D298:F298"/>
    <mergeCell ref="D299:F299"/>
    <mergeCell ref="D300:E300"/>
    <mergeCell ref="D301:F301"/>
    <mergeCell ref="D302:E302"/>
    <mergeCell ref="D303:F303"/>
    <mergeCell ref="D292:F292"/>
    <mergeCell ref="D293:E293"/>
    <mergeCell ref="D294:F294"/>
    <mergeCell ref="D295:E295"/>
    <mergeCell ref="D296:F296"/>
    <mergeCell ref="D297:E297"/>
    <mergeCell ref="D286:E286"/>
    <mergeCell ref="D287:E287"/>
    <mergeCell ref="D288:F288"/>
    <mergeCell ref="D289:E289"/>
    <mergeCell ref="D290:F290"/>
    <mergeCell ref="D291:E291"/>
    <mergeCell ref="D280:F280"/>
    <mergeCell ref="D281:F281"/>
    <mergeCell ref="D282:E282"/>
    <mergeCell ref="D283:F283"/>
    <mergeCell ref="D284:E284"/>
    <mergeCell ref="D285:F285"/>
    <mergeCell ref="D274:E274"/>
    <mergeCell ref="D275:F275"/>
    <mergeCell ref="D276:F276"/>
    <mergeCell ref="D277:E277"/>
    <mergeCell ref="D278:F278"/>
    <mergeCell ref="D279:E279"/>
    <mergeCell ref="D268:E268"/>
    <mergeCell ref="D269:F269"/>
    <mergeCell ref="D270:E270"/>
    <mergeCell ref="D271:F271"/>
    <mergeCell ref="D272:F272"/>
    <mergeCell ref="D273:F273"/>
    <mergeCell ref="D262:E262"/>
    <mergeCell ref="D263:F263"/>
    <mergeCell ref="D264:E264"/>
    <mergeCell ref="D265:F265"/>
    <mergeCell ref="D266:E266"/>
    <mergeCell ref="D267:F267"/>
    <mergeCell ref="D256:F256"/>
    <mergeCell ref="D257:E257"/>
    <mergeCell ref="D258:E258"/>
    <mergeCell ref="D259:F259"/>
    <mergeCell ref="D260:E260"/>
    <mergeCell ref="D261:F261"/>
    <mergeCell ref="D250:E250"/>
    <mergeCell ref="D251:F251"/>
    <mergeCell ref="D252:F252"/>
    <mergeCell ref="D253:E253"/>
    <mergeCell ref="D254:F254"/>
    <mergeCell ref="D255:E255"/>
    <mergeCell ref="D244:E244"/>
    <mergeCell ref="D245:F245"/>
    <mergeCell ref="D246:F246"/>
    <mergeCell ref="D247:E247"/>
    <mergeCell ref="D248:F248"/>
    <mergeCell ref="D249:E249"/>
    <mergeCell ref="D238:F238"/>
    <mergeCell ref="D239:F239"/>
    <mergeCell ref="D240:F240"/>
    <mergeCell ref="D241:E241"/>
    <mergeCell ref="D242:F242"/>
    <mergeCell ref="D243:F243"/>
    <mergeCell ref="D232:F232"/>
    <mergeCell ref="D233:F233"/>
    <mergeCell ref="D234:E234"/>
    <mergeCell ref="D235:F235"/>
    <mergeCell ref="D236:F236"/>
    <mergeCell ref="D237:E237"/>
    <mergeCell ref="D226:E226"/>
    <mergeCell ref="D227:F227"/>
    <mergeCell ref="D228:E228"/>
    <mergeCell ref="D229:F229"/>
    <mergeCell ref="D230:E230"/>
    <mergeCell ref="D231:E231"/>
    <mergeCell ref="D220:E220"/>
    <mergeCell ref="D221:F221"/>
    <mergeCell ref="D222:E222"/>
    <mergeCell ref="D223:F223"/>
    <mergeCell ref="D224:E224"/>
    <mergeCell ref="D225:F225"/>
    <mergeCell ref="D214:E214"/>
    <mergeCell ref="D215:F215"/>
    <mergeCell ref="D216:F216"/>
    <mergeCell ref="D217:F217"/>
    <mergeCell ref="D218:E218"/>
    <mergeCell ref="D219:F219"/>
    <mergeCell ref="D208:F208"/>
    <mergeCell ref="D209:E209"/>
    <mergeCell ref="D210:F210"/>
    <mergeCell ref="D211:F211"/>
    <mergeCell ref="D212:F212"/>
    <mergeCell ref="D213:F213"/>
    <mergeCell ref="D202:E202"/>
    <mergeCell ref="D203:F203"/>
    <mergeCell ref="D204:E204"/>
    <mergeCell ref="D205:F205"/>
    <mergeCell ref="D206:F206"/>
    <mergeCell ref="D207:E207"/>
    <mergeCell ref="D196:F196"/>
    <mergeCell ref="D197:E197"/>
    <mergeCell ref="D198:F198"/>
    <mergeCell ref="D199:E199"/>
    <mergeCell ref="D200:F200"/>
    <mergeCell ref="D201:E201"/>
    <mergeCell ref="D190:F190"/>
    <mergeCell ref="D191:E191"/>
    <mergeCell ref="D192:F192"/>
    <mergeCell ref="D193:E193"/>
    <mergeCell ref="D194:F194"/>
    <mergeCell ref="D195:E195"/>
    <mergeCell ref="D184:F184"/>
    <mergeCell ref="D185:E185"/>
    <mergeCell ref="D186:F186"/>
    <mergeCell ref="D187:E187"/>
    <mergeCell ref="D188:F188"/>
    <mergeCell ref="D189:E189"/>
    <mergeCell ref="D178:E178"/>
    <mergeCell ref="D179:F179"/>
    <mergeCell ref="D180:E180"/>
    <mergeCell ref="D181:F181"/>
    <mergeCell ref="D182:E182"/>
    <mergeCell ref="D183:E183"/>
    <mergeCell ref="D172:E172"/>
    <mergeCell ref="D173:F173"/>
    <mergeCell ref="D174:E174"/>
    <mergeCell ref="D175:F175"/>
    <mergeCell ref="D176:E176"/>
    <mergeCell ref="D177:F177"/>
    <mergeCell ref="D166:F166"/>
    <mergeCell ref="D167:E167"/>
    <mergeCell ref="D168:F168"/>
    <mergeCell ref="D169:E169"/>
    <mergeCell ref="D170:E170"/>
    <mergeCell ref="D171:F171"/>
    <mergeCell ref="D160:E160"/>
    <mergeCell ref="D161:F161"/>
    <mergeCell ref="D162:E162"/>
    <mergeCell ref="D163:F163"/>
    <mergeCell ref="D164:E164"/>
    <mergeCell ref="D165:F165"/>
    <mergeCell ref="D154:F154"/>
    <mergeCell ref="D155:E155"/>
    <mergeCell ref="D156:F156"/>
    <mergeCell ref="D157:F157"/>
    <mergeCell ref="D158:E158"/>
    <mergeCell ref="D159:F159"/>
    <mergeCell ref="D148:F148"/>
    <mergeCell ref="D149:F149"/>
    <mergeCell ref="D150:F150"/>
    <mergeCell ref="D151:E151"/>
    <mergeCell ref="D152:F152"/>
    <mergeCell ref="D153:E153"/>
    <mergeCell ref="D142:F142"/>
    <mergeCell ref="D143:E143"/>
    <mergeCell ref="D144:F144"/>
    <mergeCell ref="D145:E145"/>
    <mergeCell ref="D146:F146"/>
    <mergeCell ref="D147:F147"/>
    <mergeCell ref="D136:E136"/>
    <mergeCell ref="D137:F137"/>
    <mergeCell ref="D138:F138"/>
    <mergeCell ref="D139:F139"/>
    <mergeCell ref="D140:F140"/>
    <mergeCell ref="D141:E141"/>
    <mergeCell ref="D130:E130"/>
    <mergeCell ref="D131:F131"/>
    <mergeCell ref="D132:F132"/>
    <mergeCell ref="D133:F133"/>
    <mergeCell ref="D134:F134"/>
    <mergeCell ref="D135:F135"/>
    <mergeCell ref="D124:F124"/>
    <mergeCell ref="D125:F125"/>
    <mergeCell ref="D126:E126"/>
    <mergeCell ref="D127:F127"/>
    <mergeCell ref="D128:E128"/>
    <mergeCell ref="D129:F129"/>
    <mergeCell ref="D118:F118"/>
    <mergeCell ref="D119:E119"/>
    <mergeCell ref="D120:F120"/>
    <mergeCell ref="D121:E121"/>
    <mergeCell ref="D122:F122"/>
    <mergeCell ref="D123:F123"/>
    <mergeCell ref="D112:F112"/>
    <mergeCell ref="D113:E113"/>
    <mergeCell ref="D114:F114"/>
    <mergeCell ref="D115:E115"/>
    <mergeCell ref="D116:F116"/>
    <mergeCell ref="D117:E117"/>
    <mergeCell ref="D106:E106"/>
    <mergeCell ref="D107:F107"/>
    <mergeCell ref="D108:E108"/>
    <mergeCell ref="D109:E109"/>
    <mergeCell ref="D110:F110"/>
    <mergeCell ref="D111:E111"/>
    <mergeCell ref="D100:E100"/>
    <mergeCell ref="D101:F101"/>
    <mergeCell ref="D102:F102"/>
    <mergeCell ref="D103:F103"/>
    <mergeCell ref="D104:E104"/>
    <mergeCell ref="D105:F105"/>
    <mergeCell ref="D94:F94"/>
    <mergeCell ref="D95:E95"/>
    <mergeCell ref="D96:F96"/>
    <mergeCell ref="D97:E97"/>
    <mergeCell ref="D98:F98"/>
    <mergeCell ref="D99:E99"/>
    <mergeCell ref="D88:F88"/>
    <mergeCell ref="D89:F89"/>
    <mergeCell ref="D90:F90"/>
    <mergeCell ref="D91:F91"/>
    <mergeCell ref="D92:F92"/>
    <mergeCell ref="D93:F93"/>
    <mergeCell ref="D82:E82"/>
    <mergeCell ref="D83:F83"/>
    <mergeCell ref="D84:E84"/>
    <mergeCell ref="D85:F85"/>
    <mergeCell ref="D86:E86"/>
    <mergeCell ref="D87:F87"/>
    <mergeCell ref="D76:E76"/>
    <mergeCell ref="D77:F77"/>
    <mergeCell ref="D78:E78"/>
    <mergeCell ref="D79:F79"/>
    <mergeCell ref="D80:E80"/>
    <mergeCell ref="D81:F81"/>
    <mergeCell ref="D70:E70"/>
    <mergeCell ref="D71:F71"/>
    <mergeCell ref="D72:E72"/>
    <mergeCell ref="D73:F73"/>
    <mergeCell ref="D74:E74"/>
    <mergeCell ref="D75:F75"/>
    <mergeCell ref="D64:E64"/>
    <mergeCell ref="D65:F65"/>
    <mergeCell ref="D66:E66"/>
    <mergeCell ref="D67:F67"/>
    <mergeCell ref="D68:E68"/>
    <mergeCell ref="D69:F69"/>
    <mergeCell ref="D58:E58"/>
    <mergeCell ref="D59:F59"/>
    <mergeCell ref="D60:E60"/>
    <mergeCell ref="D61:F61"/>
    <mergeCell ref="D62:E62"/>
    <mergeCell ref="D63:F63"/>
    <mergeCell ref="D52:F52"/>
    <mergeCell ref="D53:E53"/>
    <mergeCell ref="D54:F54"/>
    <mergeCell ref="D55:E55"/>
    <mergeCell ref="D56:E56"/>
    <mergeCell ref="D57:F57"/>
    <mergeCell ref="D46:E46"/>
    <mergeCell ref="D47:E47"/>
    <mergeCell ref="D48:F48"/>
    <mergeCell ref="D49:F49"/>
    <mergeCell ref="D50:F50"/>
    <mergeCell ref="D51:E51"/>
    <mergeCell ref="D40:F40"/>
    <mergeCell ref="D41:E41"/>
    <mergeCell ref="D42:F42"/>
    <mergeCell ref="D43:F43"/>
    <mergeCell ref="D44:F44"/>
    <mergeCell ref="D45:F45"/>
    <mergeCell ref="D34:F34"/>
    <mergeCell ref="D35:F35"/>
    <mergeCell ref="D36:E36"/>
    <mergeCell ref="D37:F37"/>
    <mergeCell ref="D38:F38"/>
    <mergeCell ref="D39:F39"/>
    <mergeCell ref="D28:E28"/>
    <mergeCell ref="D29:F29"/>
    <mergeCell ref="D30:E30"/>
    <mergeCell ref="D31:E31"/>
    <mergeCell ref="D32:F32"/>
    <mergeCell ref="D33:F33"/>
    <mergeCell ref="D22:F22"/>
    <mergeCell ref="D23:E23"/>
    <mergeCell ref="D24:F24"/>
    <mergeCell ref="D25:E25"/>
    <mergeCell ref="D26:F26"/>
    <mergeCell ref="D27:E27"/>
    <mergeCell ref="D16:F16"/>
    <mergeCell ref="D17:F17"/>
    <mergeCell ref="D18:E18"/>
    <mergeCell ref="D19:F19"/>
    <mergeCell ref="D20:F20"/>
    <mergeCell ref="D21:F21"/>
    <mergeCell ref="D10:E10"/>
    <mergeCell ref="D11:E11"/>
    <mergeCell ref="D12:E12"/>
    <mergeCell ref="D13:F13"/>
    <mergeCell ref="D14:E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dcterms:created xsi:type="dcterms:W3CDTF">2019-11-21T09:31:38Z</dcterms:created>
  <dcterms:modified xsi:type="dcterms:W3CDTF">2019-11-21T09:31:38Z</dcterms:modified>
  <cp:category/>
  <cp:version/>
  <cp:contentType/>
  <cp:contentStatus/>
</cp:coreProperties>
</file>