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<sst xmlns="http://schemas.openxmlformats.org/spreadsheetml/2006/main" count="1374" uniqueCount="516">
  <si>
    <t>766661112R00</t>
  </si>
  <si>
    <t>Baterie umyvadlová stojánková, ruční, bez otvírání odpadu</t>
  </si>
  <si>
    <t>92</t>
  </si>
  <si>
    <t>Doba výstavby:</t>
  </si>
  <si>
    <t>Vyvěšení dřevěných a plastových dveřních křídel pl. do 2 m2</t>
  </si>
  <si>
    <t>725219401R00</t>
  </si>
  <si>
    <t>Potrubí KG svodné (ležaté) zavěšené, D 110 x 3,2 mm</t>
  </si>
  <si>
    <t>Projektant</t>
  </si>
  <si>
    <t>722280106R00</t>
  </si>
  <si>
    <t>67</t>
  </si>
  <si>
    <t>721223420R00</t>
  </si>
  <si>
    <t>Bourací a pomocné práce ZTI</t>
  </si>
  <si>
    <t>Základ 15%</t>
  </si>
  <si>
    <t>Malby</t>
  </si>
  <si>
    <t>781419705R00</t>
  </si>
  <si>
    <t>725825111RT1</t>
  </si>
  <si>
    <t>103</t>
  </si>
  <si>
    <t>725019101R00</t>
  </si>
  <si>
    <t>Penetrace podkladu pod dlažby</t>
  </si>
  <si>
    <t>725820801R00</t>
  </si>
  <si>
    <t>725819201R00</t>
  </si>
  <si>
    <t>91</t>
  </si>
  <si>
    <t>87</t>
  </si>
  <si>
    <t>Základ 21%</t>
  </si>
  <si>
    <t>20</t>
  </si>
  <si>
    <t>346244351R00</t>
  </si>
  <si>
    <t>Přesun hmot pro obklady keramické, výšky do 6 m</t>
  </si>
  <si>
    <t>NUS celkem z obj.</t>
  </si>
  <si>
    <t>3_</t>
  </si>
  <si>
    <t>Dveře bílá barva hladké do 1250 x 1970 mm</t>
  </si>
  <si>
    <t>Montáž umyvadel š 500mm např.Jika Lyra</t>
  </si>
  <si>
    <t>711</t>
  </si>
  <si>
    <t>721170975R00</t>
  </si>
  <si>
    <t>72_</t>
  </si>
  <si>
    <t>766661111R01</t>
  </si>
  <si>
    <t>Název stavby:</t>
  </si>
  <si>
    <t>Ostatní materiál</t>
  </si>
  <si>
    <t>Otlučení omítek vnitřních stěn v rozsahu do 100 %</t>
  </si>
  <si>
    <t>Vyrovnání podkladů samonivelační hmotou tloušťky do 10 mm</t>
  </si>
  <si>
    <t>48</t>
  </si>
  <si>
    <t>29</t>
  </si>
  <si>
    <t>Č</t>
  </si>
  <si>
    <t>781111121R00</t>
  </si>
  <si>
    <t>Poznámka:</t>
  </si>
  <si>
    <t>Lokalita:</t>
  </si>
  <si>
    <t>79</t>
  </si>
  <si>
    <t>71</t>
  </si>
  <si>
    <t>16</t>
  </si>
  <si>
    <t>PSV</t>
  </si>
  <si>
    <t>24</t>
  </si>
  <si>
    <t>Bez pevné podl.</t>
  </si>
  <si>
    <t>597642031</t>
  </si>
  <si>
    <t>Celkem</t>
  </si>
  <si>
    <t>771578011RT3</t>
  </si>
  <si>
    <t>Zařízení staveniště</t>
  </si>
  <si>
    <t>766_</t>
  </si>
  <si>
    <t>Příplatek za spárovací hmotu-plošně,pórovin.obklad</t>
  </si>
  <si>
    <t>965048250R00</t>
  </si>
  <si>
    <t>4</t>
  </si>
  <si>
    <t>97</t>
  </si>
  <si>
    <t>121</t>
  </si>
  <si>
    <t>94</t>
  </si>
  <si>
    <t>Olepování vnitřních ploch</t>
  </si>
  <si>
    <t>60</t>
  </si>
  <si>
    <t>Základní rozpočtové náklady</t>
  </si>
  <si>
    <t>722202215R00</t>
  </si>
  <si>
    <t>Demontáž baterie nástěnné do G 3/4"</t>
  </si>
  <si>
    <t>9001001R01</t>
  </si>
  <si>
    <t>26</t>
  </si>
  <si>
    <t>6_</t>
  </si>
  <si>
    <t>105</t>
  </si>
  <si>
    <t>650912165R00</t>
  </si>
  <si>
    <t>Celkem bez DPH</t>
  </si>
  <si>
    <t>771101115R22</t>
  </si>
  <si>
    <t>00231401/CZ00231401</t>
  </si>
  <si>
    <t>M21</t>
  </si>
  <si>
    <t>Hmotnost (t)</t>
  </si>
  <si>
    <t>6</t>
  </si>
  <si>
    <t>Rozpočtové náklady v Kč</t>
  </si>
  <si>
    <t>725119205R09</t>
  </si>
  <si>
    <t>68</t>
  </si>
  <si>
    <t>81</t>
  </si>
  <si>
    <t>Nátěr syntetický truhl. výrobků 2x lak</t>
  </si>
  <si>
    <t>735127110R00</t>
  </si>
  <si>
    <t>B</t>
  </si>
  <si>
    <t>119</t>
  </si>
  <si>
    <t>Náklady na umístění stavby (NUS)</t>
  </si>
  <si>
    <t>Přesun hmot pro budovy zděné výšky do 6 m</t>
  </si>
  <si>
    <t>42</t>
  </si>
  <si>
    <t>82</t>
  </si>
  <si>
    <t>Montáž</t>
  </si>
  <si>
    <t>Datum, razítko a podpis</t>
  </si>
  <si>
    <t>ZRN celkem</t>
  </si>
  <si>
    <t>722202412R00</t>
  </si>
  <si>
    <t>722181211RT7</t>
  </si>
  <si>
    <t>766661132R00</t>
  </si>
  <si>
    <t>Ventil rohový</t>
  </si>
  <si>
    <t>Bourání dlažeb keramických tl.10 mm,</t>
  </si>
  <si>
    <t>69</t>
  </si>
  <si>
    <t>Tlaková zkouška otopných těles litinových - vodou</t>
  </si>
  <si>
    <t>33</t>
  </si>
  <si>
    <t>DPH 15%</t>
  </si>
  <si>
    <t>78</t>
  </si>
  <si>
    <t>Krycí list slepého rozpočtu</t>
  </si>
  <si>
    <t>120</t>
  </si>
  <si>
    <t>63</t>
  </si>
  <si>
    <t>969011131R00</t>
  </si>
  <si>
    <t>783622900R00</t>
  </si>
  <si>
    <t>Demontáž těles otopných litinových článkových pro zpětné použití</t>
  </si>
  <si>
    <t>725823111RT1</t>
  </si>
  <si>
    <t>783_</t>
  </si>
  <si>
    <t>Stěny a příčky</t>
  </si>
  <si>
    <t>Demontáž klozetů splachovacích</t>
  </si>
  <si>
    <t>77_</t>
  </si>
  <si>
    <t>766695213R00</t>
  </si>
  <si>
    <t>725119110R00</t>
  </si>
  <si>
    <t>25</t>
  </si>
  <si>
    <t>kus</t>
  </si>
  <si>
    <t>771111141R99</t>
  </si>
  <si>
    <t>Montáž lišt rohových,AL 8mm</t>
  </si>
  <si>
    <t>Dodávky</t>
  </si>
  <si>
    <t>735118110R00</t>
  </si>
  <si>
    <t>Otvor v obkladačce diamant.korunkou prům.do 90 mm</t>
  </si>
  <si>
    <t>Vnitrostaveništní doprava suti do 10 m</t>
  </si>
  <si>
    <t>Ostatní mat.</t>
  </si>
  <si>
    <t>998011001R00</t>
  </si>
  <si>
    <t>969021111R00</t>
  </si>
  <si>
    <t>781101210RT1</t>
  </si>
  <si>
    <t>55162558</t>
  </si>
  <si>
    <t>721171209R00</t>
  </si>
  <si>
    <t>781111115R00</t>
  </si>
  <si>
    <t>Montáž kliky a štítku</t>
  </si>
  <si>
    <t>Obkládačka 15x15 bílá Color One</t>
  </si>
  <si>
    <t>612421615R00</t>
  </si>
  <si>
    <t>HSV prac</t>
  </si>
  <si>
    <t>90_</t>
  </si>
  <si>
    <t>725114999R00</t>
  </si>
  <si>
    <t>Vyplnění spár tmelem,</t>
  </si>
  <si>
    <t>13</t>
  </si>
  <si>
    <t>766662811R00</t>
  </si>
  <si>
    <t>771579793R00</t>
  </si>
  <si>
    <t>Zakrytí předmětů, včetně odstranění</t>
  </si>
  <si>
    <t>"M"</t>
  </si>
  <si>
    <t>Výlevka stojící MIRA 5104.6 s plastovou mřížkou</t>
  </si>
  <si>
    <t>Dveře interierové bílá barva hladké do 900 x 1970 mm L, P,</t>
  </si>
  <si>
    <t>Vyčištění budov o výšce podlaží do 4 m</t>
  </si>
  <si>
    <t>Cena/MJ</t>
  </si>
  <si>
    <t>Konec výstavby:</t>
  </si>
  <si>
    <t>Hodinové zúčtovací sazby (HZS)</t>
  </si>
  <si>
    <t>Montáž prahů dveří jednokřídlových š. nad 10 cm</t>
  </si>
  <si>
    <t>Kód</t>
  </si>
  <si>
    <t>S</t>
  </si>
  <si>
    <t>Jednot.</t>
  </si>
  <si>
    <t>43</t>
  </si>
  <si>
    <t>771575109RU7</t>
  </si>
  <si>
    <t>Montáž podlah keram.,hladké, tmel, 30x30 cm</t>
  </si>
  <si>
    <t>784011211RT3</t>
  </si>
  <si>
    <t>Začištění omítek kolem oken,dveří apod.</t>
  </si>
  <si>
    <t>553407003</t>
  </si>
  <si>
    <t>Trubka pro připojení WC, HL202, D 110/50 mm</t>
  </si>
  <si>
    <t>soubor</t>
  </si>
  <si>
    <t>MJ</t>
  </si>
  <si>
    <t>965081702R00</t>
  </si>
  <si>
    <t>45</t>
  </si>
  <si>
    <t>40</t>
  </si>
  <si>
    <t>Penetrace podkladu nátěrem V1307</t>
  </si>
  <si>
    <t>Stavební přípomoce pro ZTI; ÚT a elektro-montáže</t>
  </si>
  <si>
    <t>9_</t>
  </si>
  <si>
    <t>722178999RT1</t>
  </si>
  <si>
    <t>Vybourání kanalizačního potrubí DN do 100 mm</t>
  </si>
  <si>
    <t>Doplňkové náklady</t>
  </si>
  <si>
    <t>735117110R00</t>
  </si>
  <si>
    <t>Demontáž vpusti s obetonávkou DN 100</t>
  </si>
  <si>
    <t>Tlakové zkoušky ZTI</t>
  </si>
  <si>
    <t>PSV prac</t>
  </si>
  <si>
    <t>HSV</t>
  </si>
  <si>
    <t>Pomocný materiál</t>
  </si>
  <si>
    <t>784111102R00</t>
  </si>
  <si>
    <t>Obezdívka modulu WC</t>
  </si>
  <si>
    <t>9</t>
  </si>
  <si>
    <t>104</t>
  </si>
  <si>
    <t>210000000R00</t>
  </si>
  <si>
    <t>15</t>
  </si>
  <si>
    <t>Mřížka vtoková z ner oceli 800mm</t>
  </si>
  <si>
    <t>781411013R00</t>
  </si>
  <si>
    <t>Vpusť podlahová se zápachovou uzávěrkou DN 110</t>
  </si>
  <si>
    <t>978059531R00</t>
  </si>
  <si>
    <t>95</t>
  </si>
  <si>
    <t>Otvor v obkladačce diamant.korunkou prům.do 30 mm</t>
  </si>
  <si>
    <t>ISWORK</t>
  </si>
  <si>
    <t>969011141R00</t>
  </si>
  <si>
    <t>Celkem včetně DPH</t>
  </si>
  <si>
    <t>Základ 0%</t>
  </si>
  <si>
    <t>S_</t>
  </si>
  <si>
    <t>721176103R00</t>
  </si>
  <si>
    <t>Manipulace materiál út</t>
  </si>
  <si>
    <t>766</t>
  </si>
  <si>
    <t>52</t>
  </si>
  <si>
    <t>118</t>
  </si>
  <si>
    <t>51</t>
  </si>
  <si>
    <t>Přesuny sutí</t>
  </si>
  <si>
    <t>Mont prac</t>
  </si>
  <si>
    <t>711212611RT1</t>
  </si>
  <si>
    <t>Obklady (keramické)</t>
  </si>
  <si>
    <t>44</t>
  </si>
  <si>
    <t>Příplatek k odvozu za každý další 1 km</t>
  </si>
  <si>
    <t>553407001</t>
  </si>
  <si>
    <t>78_</t>
  </si>
  <si>
    <t>h</t>
  </si>
  <si>
    <t>Vyvěšení dřevěných a plastových dveřních křídel pl. nad 2 m2</t>
  </si>
  <si>
    <t>23</t>
  </si>
  <si>
    <t>Demontáž vpusti DN 50</t>
  </si>
  <si>
    <t>721176232R00</t>
  </si>
  <si>
    <t>781_</t>
  </si>
  <si>
    <t>725119401R00</t>
  </si>
  <si>
    <t>59</t>
  </si>
  <si>
    <t>734209103R00</t>
  </si>
  <si>
    <t>Omítka vnitřní zdiva, MVC, hrubá zatřená do 15mm</t>
  </si>
  <si>
    <t>Nástěnka MZD PP-R INSTAPLAST, D 20 mm x R 1/2" levá/pravá</t>
  </si>
  <si>
    <t>Odpojení topných okruhů</t>
  </si>
  <si>
    <t>109</t>
  </si>
  <si>
    <t>t</t>
  </si>
  <si>
    <t>771111121R00</t>
  </si>
  <si>
    <t>117</t>
  </si>
  <si>
    <t>721210831R00</t>
  </si>
  <si>
    <t>612409991RT2</t>
  </si>
  <si>
    <t> </t>
  </si>
  <si>
    <t>53</t>
  </si>
  <si>
    <t>Konstrukce truhlářské</t>
  </si>
  <si>
    <t>99</t>
  </si>
  <si>
    <t>784011221RT2</t>
  </si>
  <si>
    <t>Montáž splachovací nádrže Kombifix</t>
  </si>
  <si>
    <t>107</t>
  </si>
  <si>
    <t>Přesun hmot pro ZTI, výšky do 6 m</t>
  </si>
  <si>
    <t>JKSO:</t>
  </si>
  <si>
    <t>85</t>
  </si>
  <si>
    <t>Dočištění povrchu po vybourání dlažeb, MC</t>
  </si>
  <si>
    <t>210060241R01</t>
  </si>
  <si>
    <t>64</t>
  </si>
  <si>
    <t>Fitinky PP-R</t>
  </si>
  <si>
    <t>Vybourání dřevěných dveřních zárubní pl. nad 2 m2</t>
  </si>
  <si>
    <t>979011221R00</t>
  </si>
  <si>
    <t>722172311R09</t>
  </si>
  <si>
    <t>553407015</t>
  </si>
  <si>
    <t>77</t>
  </si>
  <si>
    <t>DN celkem</t>
  </si>
  <si>
    <t>Montáž obkladů stěn, porovin. do MC, 15x15 cm</t>
  </si>
  <si>
    <t>725860211R00</t>
  </si>
  <si>
    <t>116</t>
  </si>
  <si>
    <t>GROUPCODE</t>
  </si>
  <si>
    <t>783322120R99</t>
  </si>
  <si>
    <t>0</t>
  </si>
  <si>
    <t>969011121R00</t>
  </si>
  <si>
    <t>Provozní vlivy</t>
  </si>
  <si>
    <t>5</t>
  </si>
  <si>
    <t>Montáž ventilu nástěnného G 1/2" zahradního</t>
  </si>
  <si>
    <t>54914594</t>
  </si>
  <si>
    <t>76_</t>
  </si>
  <si>
    <t>Montáže elektro</t>
  </si>
  <si>
    <t>725210821R00</t>
  </si>
  <si>
    <t>Druh stavby:</t>
  </si>
  <si>
    <t>Penetrace podkladu pod obklady</t>
  </si>
  <si>
    <t>784</t>
  </si>
  <si>
    <t>96</t>
  </si>
  <si>
    <t>Zpracováno dne:</t>
  </si>
  <si>
    <t>735_</t>
  </si>
  <si>
    <t>komplet</t>
  </si>
  <si>
    <t>783</t>
  </si>
  <si>
    <t>725330820R00</t>
  </si>
  <si>
    <t>Dlažba Taurus Granit protiskluz. SB 300x300x9 mm</t>
  </si>
  <si>
    <t>10</t>
  </si>
  <si>
    <t>58</t>
  </si>
  <si>
    <t>36</t>
  </si>
  <si>
    <t>725119999R01</t>
  </si>
  <si>
    <t>Utěsnění detailů při stěrkových hydroizolacích, těsnicí pás do koutů</t>
  </si>
  <si>
    <t>14</t>
  </si>
  <si>
    <t>31</t>
  </si>
  <si>
    <t>Spára podlaha - stěna, stěna - stěna silikonem</t>
  </si>
  <si>
    <t>84</t>
  </si>
  <si>
    <t>776421300R00</t>
  </si>
  <si>
    <t>Malba Primalex Plus, bílá, bez penetrace, 2 x</t>
  </si>
  <si>
    <t>Množství</t>
  </si>
  <si>
    <t>Montáž těles otopných litinových článkových</t>
  </si>
  <si>
    <t>998771201R00</t>
  </si>
  <si>
    <t>38</t>
  </si>
  <si>
    <t>Montáž WC poklopu</t>
  </si>
  <si>
    <t>Budovy občanské výstavby</t>
  </si>
  <si>
    <t>725814101R00</t>
  </si>
  <si>
    <t>95_</t>
  </si>
  <si>
    <t>Typ skupiny</t>
  </si>
  <si>
    <t>73</t>
  </si>
  <si>
    <t>612403386RT1</t>
  </si>
  <si>
    <t>61_</t>
  </si>
  <si>
    <t>56</t>
  </si>
  <si>
    <t>19</t>
  </si>
  <si>
    <t>Hrubá výplň rýh ve stěnách do 10x10cm zdící maltou z SMS</t>
  </si>
  <si>
    <t>C</t>
  </si>
  <si>
    <t>Náklady (Kč)</t>
  </si>
  <si>
    <t>110</t>
  </si>
  <si>
    <t>39</t>
  </si>
  <si>
    <t>30</t>
  </si>
  <si>
    <t>Montáž předstěnových systémů pro zazdění např. Geberit</t>
  </si>
  <si>
    <t>Montáž dveří do zárubně,otevíravých 1kř.do 0,8 m</t>
  </si>
  <si>
    <t>IČO/DIČ:</t>
  </si>
  <si>
    <t>H01</t>
  </si>
  <si>
    <t>Ostatní</t>
  </si>
  <si>
    <t>86</t>
  </si>
  <si>
    <t>979081121R00</t>
  </si>
  <si>
    <t>55</t>
  </si>
  <si>
    <t>Zpracoval:</t>
  </si>
  <si>
    <t>76</t>
  </si>
  <si>
    <t>721210818R00</t>
  </si>
  <si>
    <t>Zhotovitel</t>
  </si>
  <si>
    <t>610991111R00</t>
  </si>
  <si>
    <t>Dukelská 25601 Benešov</t>
  </si>
  <si>
    <t>2</t>
  </si>
  <si>
    <t>Projektant:</t>
  </si>
  <si>
    <t>ORN celkem</t>
  </si>
  <si>
    <t/>
  </si>
  <si>
    <t>Doprava suti a vybour. hmot  nošením 1np</t>
  </si>
  <si>
    <t>968061126R00</t>
  </si>
  <si>
    <t>17</t>
  </si>
  <si>
    <t>ks</t>
  </si>
  <si>
    <t>735111810R00</t>
  </si>
  <si>
    <t>98</t>
  </si>
  <si>
    <t>112</t>
  </si>
  <si>
    <t>965081712R00</t>
  </si>
  <si>
    <t>21</t>
  </si>
  <si>
    <t>61187181</t>
  </si>
  <si>
    <t>Kliky se štítem dveř.  Qubic vč.vložky  FAB</t>
  </si>
  <si>
    <t>34_</t>
  </si>
  <si>
    <t>Nakládání nebo překládání suti a vybouraných hmot</t>
  </si>
  <si>
    <t>998711201R00</t>
  </si>
  <si>
    <t>979081111R00</t>
  </si>
  <si>
    <t>Úprava povrchů vnitřní</t>
  </si>
  <si>
    <t>735119140R00</t>
  </si>
  <si>
    <t>Nátěr syntetický kovových zárubní</t>
  </si>
  <si>
    <t>Provedení štukových fabiónů obklad - stěna</t>
  </si>
  <si>
    <t>61</t>
  </si>
  <si>
    <t>771101210RT1</t>
  </si>
  <si>
    <t>Přesun hmot pro otopná tělesa, výšky do 6 m</t>
  </si>
  <si>
    <t>Montáž klozetových mís závěsných</t>
  </si>
  <si>
    <t>12</t>
  </si>
  <si>
    <t>998735101R00</t>
  </si>
  <si>
    <t>Montáž podlahových lišt ukončovacích Al 10mm</t>
  </si>
  <si>
    <t>Prah dřevěný dl. 900 mm, š. 150 mm, lak</t>
  </si>
  <si>
    <t>711212002RT2</t>
  </si>
  <si>
    <t>Kulturní památka</t>
  </si>
  <si>
    <t>Odvoz suti a vybour. hmot na skládku do 1 km</t>
  </si>
  <si>
    <t>Různé dokončovací konstrukce a práce na pozemních stavbách</t>
  </si>
  <si>
    <t>Bourání konstrukcí</t>
  </si>
  <si>
    <t>725840850R00</t>
  </si>
  <si>
    <t>Otopná tělesa</t>
  </si>
  <si>
    <t>Izolace návleková tl. 6mm, vnitřní průměr 22 mm</t>
  </si>
  <si>
    <t>DPH 21%</t>
  </si>
  <si>
    <t>968061125R00</t>
  </si>
  <si>
    <t>Stavební úpravy školní kuchyně ZŠ Dukelská</t>
  </si>
  <si>
    <t>713100999R09</t>
  </si>
  <si>
    <t>Dodávka a osazení sprchového žlábku bez roštu 800mm</t>
  </si>
  <si>
    <t>Elektromontáže</t>
  </si>
  <si>
    <t>_</t>
  </si>
  <si>
    <t>kpl</t>
  </si>
  <si>
    <t>ORN celkem z obj.</t>
  </si>
  <si>
    <t>Přesun hmot pro podlahy z dlaždic, výšky do 6 m</t>
  </si>
  <si>
    <t>Demontáž výlevky diturvitové s nádržkou</t>
  </si>
  <si>
    <t>49</t>
  </si>
  <si>
    <t>72</t>
  </si>
  <si>
    <t>Přesuny</t>
  </si>
  <si>
    <t>979086112R00</t>
  </si>
  <si>
    <t>MAT</t>
  </si>
  <si>
    <t>Přesun hmot pro izolace proti vodě, výšky do 6 m</t>
  </si>
  <si>
    <t>978013191R00</t>
  </si>
  <si>
    <t>Sprchové dveře 80x2000 sklo</t>
  </si>
  <si>
    <t>70</t>
  </si>
  <si>
    <t>Vybourání vodovod., plynového vedení DN do 125 mm</t>
  </si>
  <si>
    <t>766670021R00</t>
  </si>
  <si>
    <t>8</t>
  </si>
  <si>
    <t>Příplatek za dveře voděodolné do 900/1970</t>
  </si>
  <si>
    <t>Mimostav. doprava</t>
  </si>
  <si>
    <t>Nátěry</t>
  </si>
  <si>
    <t>18</t>
  </si>
  <si>
    <t>DN celkem z obj.</t>
  </si>
  <si>
    <t>Přesun hmot pro truhlářské konstr., výšky do 6 m</t>
  </si>
  <si>
    <t>46</t>
  </si>
  <si>
    <t>781</t>
  </si>
  <si>
    <t>722171999R02</t>
  </si>
  <si>
    <t>781111131R00</t>
  </si>
  <si>
    <t>71_</t>
  </si>
  <si>
    <t>766661542R00</t>
  </si>
  <si>
    <t>100</t>
  </si>
  <si>
    <t>108</t>
  </si>
  <si>
    <t>783225600R00</t>
  </si>
  <si>
    <t>50</t>
  </si>
  <si>
    <t>735191999R00</t>
  </si>
  <si>
    <t>m</t>
  </si>
  <si>
    <t>11</t>
  </si>
  <si>
    <t>998725101R00</t>
  </si>
  <si>
    <t>32</t>
  </si>
  <si>
    <t>Objednatel:</t>
  </si>
  <si>
    <t>opravy</t>
  </si>
  <si>
    <t>ZTI</t>
  </si>
  <si>
    <t>Zakrývání výplní vnitřních otvorů</t>
  </si>
  <si>
    <t>998766201R00</t>
  </si>
  <si>
    <t>PSV mat</t>
  </si>
  <si>
    <t>Město Benešov Masarykovo náměstí 100,</t>
  </si>
  <si>
    <t>998781201R00</t>
  </si>
  <si>
    <t>3</t>
  </si>
  <si>
    <t>711_</t>
  </si>
  <si>
    <t>Baterie sprchová nástěnná ruční, s příslušenstvím</t>
  </si>
  <si>
    <t>102</t>
  </si>
  <si>
    <t>Revize elektro</t>
  </si>
  <si>
    <t>Zhotovitel:</t>
  </si>
  <si>
    <t>%</t>
  </si>
  <si>
    <t>Podlahy z dlaždic</t>
  </si>
  <si>
    <t>96_</t>
  </si>
  <si>
    <t>952901111R00</t>
  </si>
  <si>
    <t>784_</t>
  </si>
  <si>
    <t>35</t>
  </si>
  <si>
    <t>Začátek výstavby:</t>
  </si>
  <si>
    <t>781111116R00</t>
  </si>
  <si>
    <t>A</t>
  </si>
  <si>
    <t>Kohout kulový nerozebíratelný PP-R INSTAPLAST, D 20 mm</t>
  </si>
  <si>
    <t>17.05.2023</t>
  </si>
  <si>
    <t>Mont mat</t>
  </si>
  <si>
    <t>Slepý stavební rozpočet</t>
  </si>
  <si>
    <t>93</t>
  </si>
  <si>
    <t>73_</t>
  </si>
  <si>
    <t>Manipulace materiál zti</t>
  </si>
  <si>
    <t>Montáž podlahových lišt spádových,dlažba vč. dodávky</t>
  </si>
  <si>
    <t>Koordinační činnost</t>
  </si>
  <si>
    <t>101</t>
  </si>
  <si>
    <t>75</t>
  </si>
  <si>
    <t>54</t>
  </si>
  <si>
    <t>Provedení úpravy připojení vnitřní kanalizace, potrubí plastové,D 110 mm</t>
  </si>
  <si>
    <t xml:space="preserve"> </t>
  </si>
  <si>
    <t>Příplatek za spárovací hmotu - plošně,keram.dlažba</t>
  </si>
  <si>
    <t>Objednatel</t>
  </si>
  <si>
    <t>57</t>
  </si>
  <si>
    <t>(Kč)</t>
  </si>
  <si>
    <t>Potrubí HT připojovací, do D 50 x 1,8 mm úprava připojení</t>
  </si>
  <si>
    <t>22</t>
  </si>
  <si>
    <t>115</t>
  </si>
  <si>
    <t>Územní vlivy</t>
  </si>
  <si>
    <t>Dveře interierové bílá barva hladké do 700 x 1970 mm L, P,</t>
  </si>
  <si>
    <t>Bourání soklíků z dlažeb keramických</t>
  </si>
  <si>
    <t>Datum:</t>
  </si>
  <si>
    <t>27</t>
  </si>
  <si>
    <t>37</t>
  </si>
  <si>
    <t>80</t>
  </si>
  <si>
    <t>m2</t>
  </si>
  <si>
    <t>771111122R00</t>
  </si>
  <si>
    <t>41</t>
  </si>
  <si>
    <t>Vybourání vodovod., plynového vedení DN do 52 mm vč.vysekání</t>
  </si>
  <si>
    <t>Přesun hmot a sutí</t>
  </si>
  <si>
    <t>NUS z rozpočtu</t>
  </si>
  <si>
    <t>1</t>
  </si>
  <si>
    <t>7</t>
  </si>
  <si>
    <t>Rozměry</t>
  </si>
  <si>
    <t>Vypouštění vodovodních rozvodů</t>
  </si>
  <si>
    <t>74</t>
  </si>
  <si>
    <t>Položek:</t>
  </si>
  <si>
    <t>Baterie umyvadlová nástěnná ruční</t>
  </si>
  <si>
    <t>NUS celkem</t>
  </si>
  <si>
    <t>WORK</t>
  </si>
  <si>
    <t>H01_</t>
  </si>
  <si>
    <t>979082111R00</t>
  </si>
  <si>
    <t>83</t>
  </si>
  <si>
    <t>725249101R00</t>
  </si>
  <si>
    <t>Montáž dveří do zárubně,otevíravých 2kř.do 1,45 m</t>
  </si>
  <si>
    <t>771_</t>
  </si>
  <si>
    <t>114</t>
  </si>
  <si>
    <t>Demontáž prahů dveří 1křídlových</t>
  </si>
  <si>
    <t>Nátěr syntetický ocel. radiát. článků do 1,5m2</t>
  </si>
  <si>
    <t>47</t>
  </si>
  <si>
    <t>735</t>
  </si>
  <si>
    <t>HSV mat</t>
  </si>
  <si>
    <t>968062456R00</t>
  </si>
  <si>
    <t>M21_</t>
  </si>
  <si>
    <t>66</t>
  </si>
  <si>
    <t>725110811R00</t>
  </si>
  <si>
    <t>Dodávka a montáž dveří vstupních, 2kř.155x210 plastových koule-klika , elektrozámek, bezpečnostní kování, barva šedá/bílá</t>
  </si>
  <si>
    <t>725860300R00</t>
  </si>
  <si>
    <t>Demontáž baterie sprchové vč. sprchového setu</t>
  </si>
  <si>
    <t>Vybourání vodovod., plynového vedení DN do 52 mm</t>
  </si>
  <si>
    <t>Bourací a pomocné práce elektroinstalací</t>
  </si>
  <si>
    <t>90</t>
  </si>
  <si>
    <t>Kliky se štítem dveř.  WC Qubic</t>
  </si>
  <si>
    <t>89</t>
  </si>
  <si>
    <t>Příplatek za kladení dlažby do spádu</t>
  </si>
  <si>
    <t>711212000R00</t>
  </si>
  <si>
    <t>Montáž sifonu umyvadloveho</t>
  </si>
  <si>
    <t>88</t>
  </si>
  <si>
    <t>725900952R00</t>
  </si>
  <si>
    <t>Montáž splachovacího tlačítka nádrže Kombifix pro WC Sigma bílé</t>
  </si>
  <si>
    <t>Zkrácený popis</t>
  </si>
  <si>
    <t>59781346</t>
  </si>
  <si>
    <t>28</t>
  </si>
  <si>
    <t>Vybourání vodovod., plynového vedení DN do 200 mm</t>
  </si>
  <si>
    <t>111</t>
  </si>
  <si>
    <t>Potrubí plastové PP-R Instaplast,D 20 x 2,8 mm, PN 16</t>
  </si>
  <si>
    <t>771</t>
  </si>
  <si>
    <t>CELK</t>
  </si>
  <si>
    <t>113</t>
  </si>
  <si>
    <t>106</t>
  </si>
  <si>
    <t>784195212R00</t>
  </si>
  <si>
    <t>725845111RT1</t>
  </si>
  <si>
    <t>65</t>
  </si>
  <si>
    <t>Stěrka hydroizolační, vč. dodávky HI hmoty Aquafin 2K</t>
  </si>
  <si>
    <t>34</t>
  </si>
  <si>
    <t>62</t>
  </si>
  <si>
    <t>Odsekání vnitřních obkladů stěn nad 2 m2</t>
  </si>
  <si>
    <t>Dodávka a montáž armatur závitových,s 1závitem, G 1/2 uzavíratelných</t>
  </si>
  <si>
    <t>Uzavření přívodů radiátoru zamražením</t>
  </si>
  <si>
    <t>Izolace proti vodě</t>
  </si>
  <si>
    <t>Penetrace podkladu pod hydroizolační hmoty, včetně dodávky</t>
  </si>
  <si>
    <t>Demontáž umyvadel vč. výtokových armatur a baterií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</si>
</sst>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_);\-#,##0.00\ &quot;Kč&quot;"/>
    <numFmt numFmtId="167" formatCode="#,##0\ &quot;Kč&quot;_);\-#,##0\ &quot;Kč&quot;"/>
    <numFmt numFmtId="168" formatCode="#,##0\ &quot;Kč&quot;_);[Red]\-#,##0\ &quot;Kč&quot;"/>
    <numFmt numFmtId="169" formatCode="#,##0.00\ &quot;Kč&quot;_);[Red]\-#,##0.00\ &quot;Kč&quot;"/>
    <numFmt numFmtId="170" formatCode="_(* #,##0\ _);_(\-* #,##0\ ;_(* &quot;-&quot;\ _);_(@_)"/>
    <numFmt numFmtId="171" formatCode="_(* #,##0\ &quot;Kč&quot;_);_(\-* #,##0\ &quot;Kč&quot;;_(* &quot;-&quot;\ &quot;Kč&quot;_);_(@_)"/>
    <numFmt numFmtId="172" formatCode="_(* #,##0.00\ &quot;Kč&quot;_);_(\-* #,##0.00\ &quot;Kč&quot;;_(* &quot;-&quot;??\ &quot;Kč&quot;_);_(@_)"/>
    <numFmt numFmtId="173" formatCode="_(* #,##0.00\ _);_(\-* #,##0.00\ ;_(* &quot;-&quot;??\ _);_(@_)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b/>
      <sz val="20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8">
    <xf numFmtId="0" fontId="1" fillId="0" borderId="0" xfId="0" applyNumberFormat="1" applyFont="1" applyFill="1" applyBorder="1" applyAlignment="1" applyProtection="1">
      <alignment/>
      <protection/>
    </xf>
    <xf numFmtId="0" fontId="45" fillId="33" borderId="10" xfId="0" applyNumberFormat="1" applyFont="1" applyFill="1" applyBorder="1" applyAlignment="1" applyProtection="1">
      <alignment horizontal="left" vertical="center"/>
      <protection/>
    </xf>
    <xf numFmtId="4" fontId="45" fillId="0" borderId="11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4" fontId="47" fillId="0" borderId="13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8" fillId="33" borderId="14" xfId="0" applyNumberFormat="1" applyFont="1" applyFill="1" applyBorder="1" applyAlignment="1" applyProtection="1">
      <alignment horizontal="center" vertical="center"/>
      <protection/>
    </xf>
    <xf numFmtId="4" fontId="49" fillId="33" borderId="13" xfId="0" applyNumberFormat="1" applyFont="1" applyFill="1" applyBorder="1" applyAlignment="1" applyProtection="1">
      <alignment horizontal="righ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7" fillId="0" borderId="11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11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9" xfId="0" applyNumberFormat="1" applyFont="1" applyFill="1" applyBorder="1" applyAlignment="1" applyProtection="1">
      <alignment horizontal="righ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19" xfId="0" applyNumberFormat="1" applyFont="1" applyFill="1" applyBorder="1" applyAlignment="1" applyProtection="1">
      <alignment horizontal="left" vertical="center"/>
      <protection/>
    </xf>
    <xf numFmtId="4" fontId="49" fillId="33" borderId="21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1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11" xfId="0" applyNumberFormat="1" applyFont="1" applyFill="1" applyBorder="1" applyAlignment="1" applyProtection="1">
      <alignment horizontal="right" vertical="center"/>
      <protection/>
    </xf>
    <xf numFmtId="0" fontId="46" fillId="0" borderId="22" xfId="0" applyNumberFormat="1" applyFont="1" applyFill="1" applyBorder="1" applyAlignment="1" applyProtection="1">
      <alignment horizontal="center" vertical="center"/>
      <protection/>
    </xf>
    <xf numFmtId="4" fontId="47" fillId="0" borderId="21" xfId="0" applyNumberFormat="1" applyFont="1" applyFill="1" applyBorder="1" applyAlignment="1" applyProtection="1">
      <alignment horizontal="right" vertical="center"/>
      <protection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horizontal="right" vertical="center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8" fillId="33" borderId="21" xfId="0" applyNumberFormat="1" applyFont="1" applyFill="1" applyBorder="1" applyAlignment="1" applyProtection="1">
      <alignment horizontal="center" vertical="center"/>
      <protection/>
    </xf>
    <xf numFmtId="4" fontId="45" fillId="0" borderId="13" xfId="0" applyNumberFormat="1" applyFont="1" applyFill="1" applyBorder="1" applyAlignment="1" applyProtection="1">
      <alignment horizontal="right" vertical="center"/>
      <protection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0" fontId="47" fillId="0" borderId="11" xfId="0" applyNumberFormat="1" applyFont="1" applyFill="1" applyBorder="1" applyAlignment="1" applyProtection="1">
      <alignment horizontal="right" vertical="center"/>
      <protection/>
    </xf>
    <xf numFmtId="4" fontId="47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27" xfId="0" applyNumberFormat="1" applyFont="1" applyFill="1" applyBorder="1" applyAlignment="1" applyProtection="1">
      <alignment horizontal="left" vertical="center" wrapText="1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19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1" fontId="45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0" xfId="0" applyNumberFormat="1" applyFont="1" applyFill="1" applyBorder="1" applyAlignment="1" applyProtection="1">
      <alignment horizontal="left" vertical="center"/>
      <protection/>
    </xf>
    <xf numFmtId="0" fontId="53" fillId="0" borderId="21" xfId="0" applyNumberFormat="1" applyFont="1" applyFill="1" applyBorder="1" applyAlignment="1" applyProtection="1">
      <alignment horizontal="left" vertical="center"/>
      <protection/>
    </xf>
    <xf numFmtId="0" fontId="49" fillId="0" borderId="24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31" xfId="0" applyNumberFormat="1" applyFont="1" applyFill="1" applyBorder="1" applyAlignment="1" applyProtection="1">
      <alignment horizontal="lef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30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9" fillId="33" borderId="31" xfId="0" applyNumberFormat="1" applyFont="1" applyFill="1" applyBorder="1" applyAlignment="1" applyProtection="1">
      <alignment horizontal="left" vertical="center"/>
      <protection/>
    </xf>
    <xf numFmtId="0" fontId="49" fillId="33" borderId="30" xfId="0" applyNumberFormat="1" applyFont="1" applyFill="1" applyBorder="1" applyAlignment="1" applyProtection="1">
      <alignment horizontal="left" vertical="center"/>
      <protection/>
    </xf>
    <xf numFmtId="0" fontId="49" fillId="33" borderId="24" xfId="0" applyNumberFormat="1" applyFont="1" applyFill="1" applyBorder="1" applyAlignment="1" applyProtection="1">
      <alignment horizontal="left" vertical="center"/>
      <protection/>
    </xf>
    <xf numFmtId="0" fontId="49" fillId="33" borderId="19" xfId="0" applyNumberFormat="1" applyFont="1" applyFill="1" applyBorder="1" applyAlignment="1" applyProtection="1">
      <alignment horizontal="left" vertical="center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35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37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7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47" t="s">
        <v>103</v>
      </c>
      <c r="B1" s="48"/>
      <c r="C1" s="48"/>
      <c r="D1" s="48"/>
      <c r="E1" s="48"/>
      <c r="F1" s="48"/>
      <c r="G1" s="48"/>
      <c r="H1" s="48"/>
      <c r="I1" s="48"/>
    </row>
    <row r="2" spans="1:9" ht="15" customHeight="1">
      <c r="A2" s="49" t="s">
        <v>35</v>
      </c>
      <c r="B2" s="50"/>
      <c r="C2" s="58" t="str">
        <f>'Stavební rozpočet'!C2</f>
        <v>Stavební úpravy školní kuchyně ZŠ Dukelská</v>
      </c>
      <c r="D2" s="59"/>
      <c r="E2" s="56" t="s">
        <v>398</v>
      </c>
      <c r="F2" s="56" t="str">
        <f>'Stavební rozpočet'!I2</f>
        <v>Město Benešov Masarykovo náměstí 100,</v>
      </c>
      <c r="G2" s="50"/>
      <c r="H2" s="56" t="s">
        <v>303</v>
      </c>
      <c r="I2" s="61" t="s">
        <v>74</v>
      </c>
    </row>
    <row r="3" spans="1:9" ht="15" customHeight="1">
      <c r="A3" s="51"/>
      <c r="B3" s="52"/>
      <c r="C3" s="60"/>
      <c r="D3" s="60"/>
      <c r="E3" s="52"/>
      <c r="F3" s="52"/>
      <c r="G3" s="52"/>
      <c r="H3" s="52"/>
      <c r="I3" s="62"/>
    </row>
    <row r="4" spans="1:9" ht="15" customHeight="1">
      <c r="A4" s="53" t="s">
        <v>260</v>
      </c>
      <c r="B4" s="52"/>
      <c r="C4" s="57" t="str">
        <f>'Stavební rozpočet'!C4</f>
        <v>opravy</v>
      </c>
      <c r="D4" s="52"/>
      <c r="E4" s="57" t="s">
        <v>316</v>
      </c>
      <c r="F4" s="57" t="str">
        <f>'Stavební rozpočet'!I4</f>
        <v> </v>
      </c>
      <c r="G4" s="52"/>
      <c r="H4" s="57" t="s">
        <v>303</v>
      </c>
      <c r="I4" s="62" t="s">
        <v>318</v>
      </c>
    </row>
    <row r="5" spans="1:9" ht="15" customHeight="1">
      <c r="A5" s="51"/>
      <c r="B5" s="52"/>
      <c r="C5" s="52"/>
      <c r="D5" s="52"/>
      <c r="E5" s="52"/>
      <c r="F5" s="52"/>
      <c r="G5" s="52"/>
      <c r="H5" s="52"/>
      <c r="I5" s="62"/>
    </row>
    <row r="6" spans="1:9" ht="15" customHeight="1">
      <c r="A6" s="53" t="s">
        <v>44</v>
      </c>
      <c r="B6" s="52"/>
      <c r="C6" s="57" t="str">
        <f>'Stavební rozpočet'!C6</f>
        <v>Dukelská 25601 Benešov</v>
      </c>
      <c r="D6" s="52"/>
      <c r="E6" s="57" t="s">
        <v>411</v>
      </c>
      <c r="F6" s="57" t="str">
        <f>'Stavební rozpočet'!I6</f>
        <v> </v>
      </c>
      <c r="G6" s="52"/>
      <c r="H6" s="57" t="s">
        <v>303</v>
      </c>
      <c r="I6" s="62" t="s">
        <v>318</v>
      </c>
    </row>
    <row r="7" spans="1:9" ht="15" customHeight="1">
      <c r="A7" s="51"/>
      <c r="B7" s="52"/>
      <c r="C7" s="52"/>
      <c r="D7" s="52"/>
      <c r="E7" s="52"/>
      <c r="F7" s="52"/>
      <c r="G7" s="52"/>
      <c r="H7" s="52"/>
      <c r="I7" s="62"/>
    </row>
    <row r="8" spans="1:9" ht="15" customHeight="1">
      <c r="A8" s="53" t="s">
        <v>418</v>
      </c>
      <c r="B8" s="52"/>
      <c r="C8" s="57" t="str">
        <f>'Stavební rozpočet'!G4</f>
        <v>17.05.2023</v>
      </c>
      <c r="D8" s="52"/>
      <c r="E8" s="57" t="s">
        <v>147</v>
      </c>
      <c r="F8" s="57" t="str">
        <f>'Stavební rozpočet'!G6</f>
        <v> </v>
      </c>
      <c r="G8" s="52"/>
      <c r="H8" s="52" t="s">
        <v>460</v>
      </c>
      <c r="I8" s="63">
        <v>121</v>
      </c>
    </row>
    <row r="9" spans="1:9" ht="15" customHeight="1">
      <c r="A9" s="51"/>
      <c r="B9" s="52"/>
      <c r="C9" s="52"/>
      <c r="D9" s="52"/>
      <c r="E9" s="52"/>
      <c r="F9" s="52"/>
      <c r="G9" s="52"/>
      <c r="H9" s="52"/>
      <c r="I9" s="62"/>
    </row>
    <row r="10" spans="1:9" ht="15" customHeight="1">
      <c r="A10" s="53" t="s">
        <v>234</v>
      </c>
      <c r="B10" s="52"/>
      <c r="C10" s="57" t="str">
        <f>'Stavební rozpočet'!C8</f>
        <v> </v>
      </c>
      <c r="D10" s="52"/>
      <c r="E10" s="57" t="s">
        <v>309</v>
      </c>
      <c r="F10" s="57" t="str">
        <f>'Stavební rozpočet'!I8</f>
        <v> </v>
      </c>
      <c r="G10" s="52"/>
      <c r="H10" s="52" t="s">
        <v>445</v>
      </c>
      <c r="I10" s="64" t="str">
        <f>'Stavební rozpočet'!G8</f>
        <v>17.05.2023</v>
      </c>
    </row>
    <row r="11" spans="1:9" ht="15" customHeight="1">
      <c r="A11" s="54"/>
      <c r="B11" s="55"/>
      <c r="C11" s="55"/>
      <c r="D11" s="55"/>
      <c r="E11" s="55"/>
      <c r="F11" s="55"/>
      <c r="G11" s="55"/>
      <c r="H11" s="55"/>
      <c r="I11" s="65"/>
    </row>
    <row r="12" spans="1:9" ht="22.5" customHeight="1">
      <c r="A12" s="66" t="s">
        <v>78</v>
      </c>
      <c r="B12" s="66"/>
      <c r="C12" s="66"/>
      <c r="D12" s="66"/>
      <c r="E12" s="66"/>
      <c r="F12" s="66"/>
      <c r="G12" s="66"/>
      <c r="H12" s="66"/>
      <c r="I12" s="66"/>
    </row>
    <row r="13" spans="1:9" ht="26.25" customHeight="1">
      <c r="A13" s="7" t="s">
        <v>420</v>
      </c>
      <c r="B13" s="67" t="s">
        <v>64</v>
      </c>
      <c r="C13" s="68"/>
      <c r="D13" s="41" t="s">
        <v>84</v>
      </c>
      <c r="E13" s="67" t="s">
        <v>170</v>
      </c>
      <c r="F13" s="68"/>
      <c r="G13" s="41" t="s">
        <v>296</v>
      </c>
      <c r="H13" s="67" t="s">
        <v>86</v>
      </c>
      <c r="I13" s="68"/>
    </row>
    <row r="14" spans="1:9" ht="15" customHeight="1">
      <c r="A14" s="24" t="s">
        <v>175</v>
      </c>
      <c r="B14" s="22" t="s">
        <v>120</v>
      </c>
      <c r="C14" s="5">
        <f>SUM('Stavební rozpočet'!AB12:AB148)</f>
        <v>0</v>
      </c>
      <c r="D14" s="75" t="s">
        <v>429</v>
      </c>
      <c r="E14" s="76"/>
      <c r="F14" s="5">
        <v>0</v>
      </c>
      <c r="G14" s="75" t="s">
        <v>54</v>
      </c>
      <c r="H14" s="76"/>
      <c r="I14" s="37" t="s">
        <v>251</v>
      </c>
    </row>
    <row r="15" spans="1:9" ht="15" customHeight="1">
      <c r="A15" s="9" t="s">
        <v>318</v>
      </c>
      <c r="B15" s="22" t="s">
        <v>90</v>
      </c>
      <c r="C15" s="5">
        <f>SUM('Stavební rozpočet'!AC12:AC148)</f>
        <v>0</v>
      </c>
      <c r="D15" s="75" t="s">
        <v>50</v>
      </c>
      <c r="E15" s="76"/>
      <c r="F15" s="5">
        <v>0</v>
      </c>
      <c r="G15" s="75" t="s">
        <v>378</v>
      </c>
      <c r="H15" s="76"/>
      <c r="I15" s="37" t="s">
        <v>251</v>
      </c>
    </row>
    <row r="16" spans="1:9" ht="15" customHeight="1">
      <c r="A16" s="24" t="s">
        <v>48</v>
      </c>
      <c r="B16" s="22" t="s">
        <v>120</v>
      </c>
      <c r="C16" s="5">
        <f>SUM('Stavební rozpočet'!AD12:AD148)</f>
        <v>0</v>
      </c>
      <c r="D16" s="75" t="s">
        <v>347</v>
      </c>
      <c r="E16" s="76"/>
      <c r="F16" s="5">
        <v>0</v>
      </c>
      <c r="G16" s="75" t="s">
        <v>442</v>
      </c>
      <c r="H16" s="76"/>
      <c r="I16" s="37" t="s">
        <v>251</v>
      </c>
    </row>
    <row r="17" spans="1:9" ht="15" customHeight="1">
      <c r="A17" s="9" t="s">
        <v>318</v>
      </c>
      <c r="B17" s="22" t="s">
        <v>90</v>
      </c>
      <c r="C17" s="5">
        <f>SUM('Stavební rozpočet'!AE12:AE148)</f>
        <v>0</v>
      </c>
      <c r="D17" s="75" t="s">
        <v>318</v>
      </c>
      <c r="E17" s="76"/>
      <c r="F17" s="37" t="s">
        <v>318</v>
      </c>
      <c r="G17" s="75" t="s">
        <v>253</v>
      </c>
      <c r="H17" s="76"/>
      <c r="I17" s="37" t="s">
        <v>251</v>
      </c>
    </row>
    <row r="18" spans="1:9" ht="15" customHeight="1">
      <c r="A18" s="24" t="s">
        <v>142</v>
      </c>
      <c r="B18" s="22" t="s">
        <v>120</v>
      </c>
      <c r="C18" s="5">
        <f>SUM('Stavební rozpočet'!AF12:AF148)</f>
        <v>0</v>
      </c>
      <c r="D18" s="75" t="s">
        <v>318</v>
      </c>
      <c r="E18" s="76"/>
      <c r="F18" s="37" t="s">
        <v>318</v>
      </c>
      <c r="G18" s="75" t="s">
        <v>305</v>
      </c>
      <c r="H18" s="76"/>
      <c r="I18" s="37" t="s">
        <v>251</v>
      </c>
    </row>
    <row r="19" spans="1:9" ht="15" customHeight="1">
      <c r="A19" s="9" t="s">
        <v>318</v>
      </c>
      <c r="B19" s="22" t="s">
        <v>90</v>
      </c>
      <c r="C19" s="5">
        <f>SUM('Stavební rozpočet'!AG12:AG148)</f>
        <v>0</v>
      </c>
      <c r="D19" s="75" t="s">
        <v>318</v>
      </c>
      <c r="E19" s="76"/>
      <c r="F19" s="37" t="s">
        <v>318</v>
      </c>
      <c r="G19" s="75" t="s">
        <v>454</v>
      </c>
      <c r="H19" s="76"/>
      <c r="I19" s="37" t="s">
        <v>251</v>
      </c>
    </row>
    <row r="20" spans="1:9" ht="15" customHeight="1">
      <c r="A20" s="69" t="s">
        <v>36</v>
      </c>
      <c r="B20" s="70"/>
      <c r="C20" s="5">
        <f>SUM('Stavební rozpočet'!AH12:AH148)</f>
        <v>0</v>
      </c>
      <c r="D20" s="75" t="s">
        <v>318</v>
      </c>
      <c r="E20" s="76"/>
      <c r="F20" s="37" t="s">
        <v>318</v>
      </c>
      <c r="G20" s="75" t="s">
        <v>318</v>
      </c>
      <c r="H20" s="76"/>
      <c r="I20" s="37" t="s">
        <v>318</v>
      </c>
    </row>
    <row r="21" spans="1:9" ht="15" customHeight="1">
      <c r="A21" s="71" t="s">
        <v>453</v>
      </c>
      <c r="B21" s="72"/>
      <c r="C21" s="11">
        <f>SUM('Stavební rozpočet'!Z12:Z148)</f>
        <v>0</v>
      </c>
      <c r="D21" s="77" t="s">
        <v>318</v>
      </c>
      <c r="E21" s="78"/>
      <c r="F21" s="44" t="s">
        <v>318</v>
      </c>
      <c r="G21" s="77" t="s">
        <v>318</v>
      </c>
      <c r="H21" s="78"/>
      <c r="I21" s="44" t="s">
        <v>318</v>
      </c>
    </row>
    <row r="22" spans="1:9" ht="16.5" customHeight="1">
      <c r="A22" s="73" t="s">
        <v>92</v>
      </c>
      <c r="B22" s="74"/>
      <c r="C22" s="35">
        <f>ROUND(SUM(C14:C21),0)</f>
        <v>0</v>
      </c>
      <c r="D22" s="79" t="s">
        <v>245</v>
      </c>
      <c r="E22" s="74"/>
      <c r="F22" s="35">
        <f>SUM(F14:F21)</f>
        <v>0</v>
      </c>
      <c r="G22" s="79" t="s">
        <v>462</v>
      </c>
      <c r="H22" s="74"/>
      <c r="I22" s="35">
        <f>SUM(I14:I21)</f>
        <v>0</v>
      </c>
    </row>
    <row r="23" spans="4:9" ht="15" customHeight="1">
      <c r="D23" s="69" t="s">
        <v>381</v>
      </c>
      <c r="E23" s="70"/>
      <c r="F23" s="45">
        <v>0</v>
      </c>
      <c r="G23" s="80" t="s">
        <v>27</v>
      </c>
      <c r="H23" s="70"/>
      <c r="I23" s="5">
        <v>0</v>
      </c>
    </row>
    <row r="24" spans="7:8" ht="15" customHeight="1">
      <c r="G24" s="69" t="s">
        <v>317</v>
      </c>
      <c r="H24" s="70"/>
    </row>
    <row r="25" spans="7:9" ht="15" customHeight="1">
      <c r="G25" s="69" t="s">
        <v>362</v>
      </c>
      <c r="H25" s="70"/>
      <c r="I25" s="35">
        <v>0</v>
      </c>
    </row>
    <row r="27" spans="1:3" ht="15" customHeight="1">
      <c r="A27" s="81" t="s">
        <v>192</v>
      </c>
      <c r="B27" s="82"/>
      <c r="C27" s="27">
        <f>ROUND(SUM('Stavební rozpočet'!AJ12:AJ148),0)</f>
        <v>0</v>
      </c>
    </row>
    <row r="28" spans="1:9" ht="15" customHeight="1">
      <c r="A28" s="83" t="s">
        <v>12</v>
      </c>
      <c r="B28" s="84"/>
      <c r="C28" s="8">
        <f>ROUND(SUM('Stavební rozpočet'!AK12:AK148),0)</f>
        <v>0</v>
      </c>
      <c r="D28" s="82" t="s">
        <v>101</v>
      </c>
      <c r="E28" s="82"/>
      <c r="F28" s="27">
        <f>ROUND(C28*(15/100),2)</f>
        <v>0</v>
      </c>
      <c r="G28" s="82" t="s">
        <v>72</v>
      </c>
      <c r="H28" s="82"/>
      <c r="I28" s="27">
        <f>ROUND(SUM(C27:C29),0)</f>
        <v>0</v>
      </c>
    </row>
    <row r="29" spans="1:9" ht="15" customHeight="1">
      <c r="A29" s="83" t="s">
        <v>23</v>
      </c>
      <c r="B29" s="84"/>
      <c r="C29" s="8">
        <f>ROUND(SUM('Stavební rozpočet'!AL12:AL148)+(F22+I22+F23+I23+I24+I25),0)</f>
        <v>0</v>
      </c>
      <c r="D29" s="84" t="s">
        <v>354</v>
      </c>
      <c r="E29" s="84"/>
      <c r="F29" s="8">
        <f>ROUND(C29*(21/100),2)</f>
        <v>0</v>
      </c>
      <c r="G29" s="84" t="s">
        <v>191</v>
      </c>
      <c r="H29" s="84"/>
      <c r="I29" s="8">
        <f>ROUND(SUM(F28:F29)+I28,0)</f>
        <v>0</v>
      </c>
    </row>
    <row r="31" spans="1:9" ht="15" customHeight="1">
      <c r="A31" s="91" t="s">
        <v>7</v>
      </c>
      <c r="B31" s="88"/>
      <c r="C31" s="89"/>
      <c r="D31" s="88" t="s">
        <v>436</v>
      </c>
      <c r="E31" s="88"/>
      <c r="F31" s="89"/>
      <c r="G31" s="88" t="s">
        <v>312</v>
      </c>
      <c r="H31" s="88"/>
      <c r="I31" s="89"/>
    </row>
    <row r="32" spans="1:9" ht="15" customHeight="1">
      <c r="A32" s="92" t="s">
        <v>318</v>
      </c>
      <c r="B32" s="77"/>
      <c r="C32" s="90"/>
      <c r="D32" s="77" t="s">
        <v>318</v>
      </c>
      <c r="E32" s="77"/>
      <c r="F32" s="90"/>
      <c r="G32" s="77" t="s">
        <v>318</v>
      </c>
      <c r="H32" s="77"/>
      <c r="I32" s="90"/>
    </row>
    <row r="33" spans="1:9" ht="15" customHeight="1">
      <c r="A33" s="92" t="s">
        <v>318</v>
      </c>
      <c r="B33" s="77"/>
      <c r="C33" s="90"/>
      <c r="D33" s="77" t="s">
        <v>318</v>
      </c>
      <c r="E33" s="77"/>
      <c r="F33" s="90"/>
      <c r="G33" s="77" t="s">
        <v>318</v>
      </c>
      <c r="H33" s="77"/>
      <c r="I33" s="90"/>
    </row>
    <row r="34" spans="1:9" ht="15" customHeight="1">
      <c r="A34" s="92" t="s">
        <v>318</v>
      </c>
      <c r="B34" s="77"/>
      <c r="C34" s="90"/>
      <c r="D34" s="77" t="s">
        <v>318</v>
      </c>
      <c r="E34" s="77"/>
      <c r="F34" s="90"/>
      <c r="G34" s="77" t="s">
        <v>318</v>
      </c>
      <c r="H34" s="77"/>
      <c r="I34" s="90"/>
    </row>
    <row r="35" spans="1:9" ht="15" customHeight="1">
      <c r="A35" s="85" t="s">
        <v>91</v>
      </c>
      <c r="B35" s="86"/>
      <c r="C35" s="87"/>
      <c r="D35" s="86" t="s">
        <v>91</v>
      </c>
      <c r="E35" s="86"/>
      <c r="F35" s="87"/>
      <c r="G35" s="86" t="s">
        <v>91</v>
      </c>
      <c r="H35" s="86"/>
      <c r="I35" s="87"/>
    </row>
    <row r="36" ht="15" customHeight="1">
      <c r="A36" s="16" t="s">
        <v>43</v>
      </c>
    </row>
    <row r="37" spans="1:9" ht="12.75" customHeight="1">
      <c r="A37" s="57" t="s">
        <v>318</v>
      </c>
      <c r="B37" s="52"/>
      <c r="C37" s="52"/>
      <c r="D37" s="52"/>
      <c r="E37" s="52"/>
      <c r="F37" s="52"/>
      <c r="G37" s="52"/>
      <c r="H37" s="52"/>
      <c r="I37" s="52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1"/>
  <sheetViews>
    <sheetView tabSelected="1" showOutlineSymbols="0" zoomScalePageLayoutView="0" workbookViewId="0" topLeftCell="A1">
      <pane ySplit="11" topLeftCell="A40" activePane="bottomLeft" state="frozen"/>
      <selection pane="topLeft" activeCell="A151" sqref="A151:M151"/>
      <selection pane="bottomLeft" activeCell="C2" sqref="C2:D3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118.33203125" style="0" customWidth="1"/>
    <col min="5" max="8" width="14.16015625" style="0" customWidth="1"/>
    <col min="9" max="9" width="8.66015625" style="0" customWidth="1"/>
    <col min="10" max="10" width="15" style="0" customWidth="1"/>
    <col min="11" max="11" width="14" style="0" customWidth="1"/>
    <col min="12" max="12" width="18.33203125" style="0" customWidth="1"/>
    <col min="13" max="13" width="13.66015625" style="0" customWidth="1"/>
    <col min="14" max="24" width="14.16015625" style="0" customWidth="1"/>
    <col min="25" max="74" width="14.16015625" style="0" hidden="1" customWidth="1"/>
  </cols>
  <sheetData>
    <row r="1" spans="1:47" ht="54.75" customHeight="1">
      <c r="A1" s="48" t="s">
        <v>424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AS1" s="10">
        <f>SUM(AJ1:AJ2)</f>
        <v>0</v>
      </c>
      <c r="AT1" s="10">
        <f>SUM(AK1:AK2)</f>
        <v>0</v>
      </c>
      <c r="AU1" s="10">
        <f>SUM(AL1:AL2)</f>
        <v>0</v>
      </c>
    </row>
    <row r="2" spans="1:13" ht="15" customHeight="1">
      <c r="A2" s="49" t="s">
        <v>35</v>
      </c>
      <c r="B2" s="50"/>
      <c r="C2" s="58" t="s">
        <v>356</v>
      </c>
      <c r="D2" s="59"/>
      <c r="E2" s="50" t="s">
        <v>3</v>
      </c>
      <c r="F2" s="50"/>
      <c r="G2" s="50" t="s">
        <v>434</v>
      </c>
      <c r="H2" s="56" t="s">
        <v>398</v>
      </c>
      <c r="I2" s="56" t="s">
        <v>404</v>
      </c>
      <c r="J2" s="50"/>
      <c r="K2" s="50"/>
      <c r="L2" s="50"/>
      <c r="M2" s="61"/>
    </row>
    <row r="3" spans="1:13" ht="15" customHeight="1">
      <c r="A3" s="51"/>
      <c r="B3" s="52"/>
      <c r="C3" s="60"/>
      <c r="D3" s="60"/>
      <c r="E3" s="52"/>
      <c r="F3" s="52"/>
      <c r="G3" s="52"/>
      <c r="H3" s="52"/>
      <c r="I3" s="52"/>
      <c r="J3" s="52"/>
      <c r="K3" s="52"/>
      <c r="L3" s="52"/>
      <c r="M3" s="62"/>
    </row>
    <row r="4" spans="1:13" ht="15" customHeight="1">
      <c r="A4" s="53" t="s">
        <v>260</v>
      </c>
      <c r="B4" s="52"/>
      <c r="C4" s="57" t="s">
        <v>399</v>
      </c>
      <c r="D4" s="52"/>
      <c r="E4" s="52" t="s">
        <v>418</v>
      </c>
      <c r="F4" s="52"/>
      <c r="G4" s="52" t="s">
        <v>422</v>
      </c>
      <c r="H4" s="57" t="s">
        <v>316</v>
      </c>
      <c r="I4" s="52" t="s">
        <v>226</v>
      </c>
      <c r="J4" s="52"/>
      <c r="K4" s="52"/>
      <c r="L4" s="52"/>
      <c r="M4" s="62"/>
    </row>
    <row r="5" spans="1:13" ht="1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62"/>
    </row>
    <row r="6" spans="1:13" ht="15" customHeight="1">
      <c r="A6" s="53" t="s">
        <v>44</v>
      </c>
      <c r="B6" s="52"/>
      <c r="C6" s="57" t="s">
        <v>314</v>
      </c>
      <c r="D6" s="52"/>
      <c r="E6" s="52" t="s">
        <v>147</v>
      </c>
      <c r="F6" s="52"/>
      <c r="G6" s="52" t="s">
        <v>434</v>
      </c>
      <c r="H6" s="57" t="s">
        <v>411</v>
      </c>
      <c r="I6" s="52" t="s">
        <v>226</v>
      </c>
      <c r="J6" s="52"/>
      <c r="K6" s="52"/>
      <c r="L6" s="52"/>
      <c r="M6" s="62"/>
    </row>
    <row r="7" spans="1:13" ht="1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62"/>
    </row>
    <row r="8" spans="1:13" ht="15" customHeight="1">
      <c r="A8" s="53" t="s">
        <v>234</v>
      </c>
      <c r="B8" s="52"/>
      <c r="C8" s="57" t="s">
        <v>434</v>
      </c>
      <c r="D8" s="52"/>
      <c r="E8" s="52" t="s">
        <v>264</v>
      </c>
      <c r="F8" s="52"/>
      <c r="G8" s="52" t="s">
        <v>422</v>
      </c>
      <c r="H8" s="57" t="s">
        <v>309</v>
      </c>
      <c r="I8" s="52" t="s">
        <v>226</v>
      </c>
      <c r="J8" s="52"/>
      <c r="K8" s="52"/>
      <c r="L8" s="52"/>
      <c r="M8" s="62"/>
    </row>
    <row r="9" spans="1:13" ht="1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2"/>
    </row>
    <row r="10" spans="1:64" ht="15" customHeight="1">
      <c r="A10" s="40" t="s">
        <v>41</v>
      </c>
      <c r="B10" s="46" t="s">
        <v>150</v>
      </c>
      <c r="C10" s="93" t="s">
        <v>494</v>
      </c>
      <c r="D10" s="93"/>
      <c r="E10" s="93"/>
      <c r="F10" s="93"/>
      <c r="G10" s="93"/>
      <c r="H10" s="94"/>
      <c r="I10" s="46" t="s">
        <v>161</v>
      </c>
      <c r="J10" s="15" t="s">
        <v>281</v>
      </c>
      <c r="K10" s="36" t="s">
        <v>146</v>
      </c>
      <c r="L10" s="4" t="s">
        <v>297</v>
      </c>
      <c r="M10" s="15" t="s">
        <v>76</v>
      </c>
      <c r="BK10" s="20" t="s">
        <v>189</v>
      </c>
      <c r="BL10" s="30" t="s">
        <v>249</v>
      </c>
    </row>
    <row r="11" spans="1:62" ht="15" customHeight="1">
      <c r="A11" s="14" t="s">
        <v>434</v>
      </c>
      <c r="B11" s="39" t="s">
        <v>434</v>
      </c>
      <c r="C11" s="95" t="s">
        <v>457</v>
      </c>
      <c r="D11" s="95"/>
      <c r="E11" s="95"/>
      <c r="F11" s="95"/>
      <c r="G11" s="95"/>
      <c r="H11" s="96"/>
      <c r="I11" s="39" t="s">
        <v>434</v>
      </c>
      <c r="J11" s="39" t="s">
        <v>434</v>
      </c>
      <c r="K11" s="13" t="s">
        <v>438</v>
      </c>
      <c r="L11" s="43" t="s">
        <v>52</v>
      </c>
      <c r="M11" s="34" t="s">
        <v>152</v>
      </c>
      <c r="Z11" s="20" t="s">
        <v>367</v>
      </c>
      <c r="AA11" s="20" t="s">
        <v>289</v>
      </c>
      <c r="AB11" s="20" t="s">
        <v>475</v>
      </c>
      <c r="AC11" s="20" t="s">
        <v>134</v>
      </c>
      <c r="AD11" s="20" t="s">
        <v>403</v>
      </c>
      <c r="AE11" s="20" t="s">
        <v>174</v>
      </c>
      <c r="AF11" s="20" t="s">
        <v>423</v>
      </c>
      <c r="AG11" s="20" t="s">
        <v>201</v>
      </c>
      <c r="AH11" s="20" t="s">
        <v>124</v>
      </c>
      <c r="BH11" s="20" t="s">
        <v>369</v>
      </c>
      <c r="BI11" s="20" t="s">
        <v>463</v>
      </c>
      <c r="BJ11" s="20" t="s">
        <v>501</v>
      </c>
    </row>
    <row r="12" spans="1:47" ht="15" customHeight="1">
      <c r="A12" s="1" t="s">
        <v>318</v>
      </c>
      <c r="B12" s="32" t="s">
        <v>508</v>
      </c>
      <c r="C12" s="97" t="s">
        <v>111</v>
      </c>
      <c r="D12" s="97"/>
      <c r="E12" s="97"/>
      <c r="F12" s="97"/>
      <c r="G12" s="97"/>
      <c r="H12" s="97"/>
      <c r="I12" s="18" t="s">
        <v>434</v>
      </c>
      <c r="J12" s="18" t="s">
        <v>434</v>
      </c>
      <c r="K12" s="18" t="s">
        <v>434</v>
      </c>
      <c r="L12" s="23">
        <f>SUM(L13:L13)</f>
        <v>0</v>
      </c>
      <c r="M12" s="33" t="s">
        <v>318</v>
      </c>
      <c r="AI12" s="20" t="s">
        <v>318</v>
      </c>
      <c r="AS12" s="10">
        <f>SUM(AJ13:AJ13)</f>
        <v>0</v>
      </c>
      <c r="AT12" s="10">
        <f>SUM(AK13:AK13)</f>
        <v>0</v>
      </c>
      <c r="AU12" s="10">
        <f>SUM(AL13:AL13)</f>
        <v>0</v>
      </c>
    </row>
    <row r="13" spans="1:64" ht="15" customHeight="1">
      <c r="A13" s="17" t="s">
        <v>455</v>
      </c>
      <c r="B13" s="28" t="s">
        <v>25</v>
      </c>
      <c r="C13" s="52" t="s">
        <v>178</v>
      </c>
      <c r="D13" s="52"/>
      <c r="E13" s="52"/>
      <c r="F13" s="52"/>
      <c r="G13" s="52"/>
      <c r="H13" s="52"/>
      <c r="I13" s="28" t="s">
        <v>449</v>
      </c>
      <c r="J13" s="6">
        <v>1</v>
      </c>
      <c r="K13" s="6">
        <v>0</v>
      </c>
      <c r="L13" s="6">
        <f>J13*K13</f>
        <v>0</v>
      </c>
      <c r="M13" s="2">
        <v>0.15568</v>
      </c>
      <c r="Z13" s="6">
        <f>IF(AQ13="5",BJ13,0)</f>
        <v>0</v>
      </c>
      <c r="AB13" s="6">
        <f>IF(AQ13="1",BH13,0)</f>
        <v>0</v>
      </c>
      <c r="AC13" s="6">
        <f>IF(AQ13="1",BI13,0)</f>
        <v>0</v>
      </c>
      <c r="AD13" s="6">
        <f>IF(AQ13="7",BH13,0)</f>
        <v>0</v>
      </c>
      <c r="AE13" s="6">
        <f>IF(AQ13="7",BI13,0)</f>
        <v>0</v>
      </c>
      <c r="AF13" s="6">
        <f>IF(AQ13="2",BH13,0)</f>
        <v>0</v>
      </c>
      <c r="AG13" s="6">
        <f>IF(AQ13="2",BI13,0)</f>
        <v>0</v>
      </c>
      <c r="AH13" s="6">
        <f>IF(AQ13="0",BJ13,0)</f>
        <v>0</v>
      </c>
      <c r="AI13" s="20" t="s">
        <v>318</v>
      </c>
      <c r="AJ13" s="6">
        <f>IF(AN13=0,L13,0)</f>
        <v>0</v>
      </c>
      <c r="AK13" s="6">
        <f>IF(AN13=15,L13,0)</f>
        <v>0</v>
      </c>
      <c r="AL13" s="6">
        <f>IF(AN13=21,L13,0)</f>
        <v>0</v>
      </c>
      <c r="AN13" s="6">
        <v>21</v>
      </c>
      <c r="AO13" s="6">
        <f>K13*0.732348571428571</f>
        <v>0</v>
      </c>
      <c r="AP13" s="6">
        <f>K13*(1-0.732348571428571)</f>
        <v>0</v>
      </c>
      <c r="AQ13" s="3" t="s">
        <v>455</v>
      </c>
      <c r="AV13" s="6">
        <f>AW13+AX13</f>
        <v>0</v>
      </c>
      <c r="AW13" s="6">
        <f>J13*AO13</f>
        <v>0</v>
      </c>
      <c r="AX13" s="6">
        <f>J13*AP13</f>
        <v>0</v>
      </c>
      <c r="AY13" s="3" t="s">
        <v>330</v>
      </c>
      <c r="AZ13" s="3" t="s">
        <v>28</v>
      </c>
      <c r="BA13" s="20" t="s">
        <v>360</v>
      </c>
      <c r="BC13" s="6">
        <f>AW13+AX13</f>
        <v>0</v>
      </c>
      <c r="BD13" s="6">
        <f>K13/(100-BE13)*100</f>
        <v>0</v>
      </c>
      <c r="BE13" s="6">
        <v>0</v>
      </c>
      <c r="BF13" s="6">
        <f>13</f>
        <v>13</v>
      </c>
      <c r="BH13" s="6">
        <f>J13*AO13</f>
        <v>0</v>
      </c>
      <c r="BI13" s="6">
        <f>J13*AP13</f>
        <v>0</v>
      </c>
      <c r="BJ13" s="6">
        <f>J13*K13</f>
        <v>0</v>
      </c>
      <c r="BK13" s="6"/>
      <c r="BL13" s="6">
        <v>34</v>
      </c>
    </row>
    <row r="14" spans="1:47" ht="15" customHeight="1">
      <c r="A14" s="31" t="s">
        <v>318</v>
      </c>
      <c r="B14" s="12" t="s">
        <v>338</v>
      </c>
      <c r="C14" s="97" t="s">
        <v>334</v>
      </c>
      <c r="D14" s="97"/>
      <c r="E14" s="97"/>
      <c r="F14" s="97"/>
      <c r="G14" s="97"/>
      <c r="H14" s="97"/>
      <c r="I14" s="29" t="s">
        <v>434</v>
      </c>
      <c r="J14" s="29" t="s">
        <v>434</v>
      </c>
      <c r="K14" s="29" t="s">
        <v>434</v>
      </c>
      <c r="L14" s="10">
        <f>SUM(L15:L18)</f>
        <v>0</v>
      </c>
      <c r="M14" s="19" t="s">
        <v>318</v>
      </c>
      <c r="AI14" s="20" t="s">
        <v>318</v>
      </c>
      <c r="AS14" s="10">
        <f>SUM(AJ15:AJ18)</f>
        <v>0</v>
      </c>
      <c r="AT14" s="10">
        <f>SUM(AK15:AK18)</f>
        <v>0</v>
      </c>
      <c r="AU14" s="10">
        <f>SUM(AL15:AL18)</f>
        <v>0</v>
      </c>
    </row>
    <row r="15" spans="1:64" ht="15" customHeight="1">
      <c r="A15" s="17" t="s">
        <v>315</v>
      </c>
      <c r="B15" s="28" t="s">
        <v>313</v>
      </c>
      <c r="C15" s="52" t="s">
        <v>401</v>
      </c>
      <c r="D15" s="52"/>
      <c r="E15" s="52"/>
      <c r="F15" s="52"/>
      <c r="G15" s="52"/>
      <c r="H15" s="52"/>
      <c r="I15" s="28" t="s">
        <v>449</v>
      </c>
      <c r="J15" s="6">
        <v>4.18</v>
      </c>
      <c r="K15" s="6">
        <v>0</v>
      </c>
      <c r="L15" s="6">
        <f>J15*K15</f>
        <v>0</v>
      </c>
      <c r="M15" s="2">
        <v>4E-05</v>
      </c>
      <c r="Z15" s="6">
        <f>IF(AQ15="5",BJ15,0)</f>
        <v>0</v>
      </c>
      <c r="AB15" s="6">
        <f>IF(AQ15="1",BH15,0)</f>
        <v>0</v>
      </c>
      <c r="AC15" s="6">
        <f>IF(AQ15="1",BI15,0)</f>
        <v>0</v>
      </c>
      <c r="AD15" s="6">
        <f>IF(AQ15="7",BH15,0)</f>
        <v>0</v>
      </c>
      <c r="AE15" s="6">
        <f>IF(AQ15="7",BI15,0)</f>
        <v>0</v>
      </c>
      <c r="AF15" s="6">
        <f>IF(AQ15="2",BH15,0)</f>
        <v>0</v>
      </c>
      <c r="AG15" s="6">
        <f>IF(AQ15="2",BI15,0)</f>
        <v>0</v>
      </c>
      <c r="AH15" s="6">
        <f>IF(AQ15="0",BJ15,0)</f>
        <v>0</v>
      </c>
      <c r="AI15" s="20" t="s">
        <v>318</v>
      </c>
      <c r="AJ15" s="6">
        <f>IF(AN15=0,L15,0)</f>
        <v>0</v>
      </c>
      <c r="AK15" s="6">
        <f>IF(AN15=15,L15,0)</f>
        <v>0</v>
      </c>
      <c r="AL15" s="6">
        <f>IF(AN15=21,L15,0)</f>
        <v>0</v>
      </c>
      <c r="AN15" s="6">
        <v>21</v>
      </c>
      <c r="AO15" s="6">
        <f>K15*0.341674926253687</f>
        <v>0</v>
      </c>
      <c r="AP15" s="6">
        <f>K15*(1-0.341674926253687)</f>
        <v>0</v>
      </c>
      <c r="AQ15" s="3" t="s">
        <v>455</v>
      </c>
      <c r="AV15" s="6">
        <f>AW15+AX15</f>
        <v>0</v>
      </c>
      <c r="AW15" s="6">
        <f>J15*AO15</f>
        <v>0</v>
      </c>
      <c r="AX15" s="6">
        <f>J15*AP15</f>
        <v>0</v>
      </c>
      <c r="AY15" s="3" t="s">
        <v>292</v>
      </c>
      <c r="AZ15" s="3" t="s">
        <v>69</v>
      </c>
      <c r="BA15" s="20" t="s">
        <v>360</v>
      </c>
      <c r="BC15" s="6">
        <f>AW15+AX15</f>
        <v>0</v>
      </c>
      <c r="BD15" s="6">
        <f>K15/(100-BE15)*100</f>
        <v>0</v>
      </c>
      <c r="BE15" s="6">
        <v>0</v>
      </c>
      <c r="BF15" s="6">
        <f>15</f>
        <v>15</v>
      </c>
      <c r="BH15" s="6">
        <f>J15*AO15</f>
        <v>0</v>
      </c>
      <c r="BI15" s="6">
        <f>J15*AP15</f>
        <v>0</v>
      </c>
      <c r="BJ15" s="6">
        <f>J15*K15</f>
        <v>0</v>
      </c>
      <c r="BK15" s="6"/>
      <c r="BL15" s="6">
        <v>61</v>
      </c>
    </row>
    <row r="16" spans="1:64" ht="15" customHeight="1">
      <c r="A16" s="17" t="s">
        <v>406</v>
      </c>
      <c r="B16" s="28" t="s">
        <v>133</v>
      </c>
      <c r="C16" s="52" t="s">
        <v>217</v>
      </c>
      <c r="D16" s="52"/>
      <c r="E16" s="52"/>
      <c r="F16" s="52"/>
      <c r="G16" s="52"/>
      <c r="H16" s="52"/>
      <c r="I16" s="28" t="s">
        <v>449</v>
      </c>
      <c r="J16" s="6">
        <v>71.57</v>
      </c>
      <c r="K16" s="6">
        <v>0</v>
      </c>
      <c r="L16" s="6">
        <f>J16*K16</f>
        <v>0</v>
      </c>
      <c r="M16" s="2">
        <v>0.03921</v>
      </c>
      <c r="Z16" s="6">
        <f>IF(AQ16="5",BJ16,0)</f>
        <v>0</v>
      </c>
      <c r="AB16" s="6">
        <f>IF(AQ16="1",BH16,0)</f>
        <v>0</v>
      </c>
      <c r="AC16" s="6">
        <f>IF(AQ16="1",BI16,0)</f>
        <v>0</v>
      </c>
      <c r="AD16" s="6">
        <f>IF(AQ16="7",BH16,0)</f>
        <v>0</v>
      </c>
      <c r="AE16" s="6">
        <f>IF(AQ16="7",BI16,0)</f>
        <v>0</v>
      </c>
      <c r="AF16" s="6">
        <f>IF(AQ16="2",BH16,0)</f>
        <v>0</v>
      </c>
      <c r="AG16" s="6">
        <f>IF(AQ16="2",BI16,0)</f>
        <v>0</v>
      </c>
      <c r="AH16" s="6">
        <f>IF(AQ16="0",BJ16,0)</f>
        <v>0</v>
      </c>
      <c r="AI16" s="20" t="s">
        <v>318</v>
      </c>
      <c r="AJ16" s="6">
        <f>IF(AN16=0,L16,0)</f>
        <v>0</v>
      </c>
      <c r="AK16" s="6">
        <f>IF(AN16=15,L16,0)</f>
        <v>0</v>
      </c>
      <c r="AL16" s="6">
        <f>IF(AN16=21,L16,0)</f>
        <v>0</v>
      </c>
      <c r="AN16" s="6">
        <v>21</v>
      </c>
      <c r="AO16" s="6">
        <f>K16*0.171664438502674</f>
        <v>0</v>
      </c>
      <c r="AP16" s="6">
        <f>K16*(1-0.171664438502674)</f>
        <v>0</v>
      </c>
      <c r="AQ16" s="3" t="s">
        <v>455</v>
      </c>
      <c r="AV16" s="6">
        <f>AW16+AX16</f>
        <v>0</v>
      </c>
      <c r="AW16" s="6">
        <f>J16*AO16</f>
        <v>0</v>
      </c>
      <c r="AX16" s="6">
        <f>J16*AP16</f>
        <v>0</v>
      </c>
      <c r="AY16" s="3" t="s">
        <v>292</v>
      </c>
      <c r="AZ16" s="3" t="s">
        <v>69</v>
      </c>
      <c r="BA16" s="20" t="s">
        <v>360</v>
      </c>
      <c r="BC16" s="6">
        <f>AW16+AX16</f>
        <v>0</v>
      </c>
      <c r="BD16" s="6">
        <f>K16/(100-BE16)*100</f>
        <v>0</v>
      </c>
      <c r="BE16" s="6">
        <v>0</v>
      </c>
      <c r="BF16" s="6">
        <f>16</f>
        <v>16</v>
      </c>
      <c r="BH16" s="6">
        <f>J16*AO16</f>
        <v>0</v>
      </c>
      <c r="BI16" s="6">
        <f>J16*AP16</f>
        <v>0</v>
      </c>
      <c r="BJ16" s="6">
        <f>J16*K16</f>
        <v>0</v>
      </c>
      <c r="BK16" s="6"/>
      <c r="BL16" s="6">
        <v>61</v>
      </c>
    </row>
    <row r="17" spans="1:64" ht="15" customHeight="1">
      <c r="A17" s="17" t="s">
        <v>58</v>
      </c>
      <c r="B17" s="28" t="s">
        <v>291</v>
      </c>
      <c r="C17" s="52" t="s">
        <v>295</v>
      </c>
      <c r="D17" s="52"/>
      <c r="E17" s="52"/>
      <c r="F17" s="52"/>
      <c r="G17" s="52"/>
      <c r="H17" s="52"/>
      <c r="I17" s="28" t="s">
        <v>394</v>
      </c>
      <c r="J17" s="6">
        <v>25</v>
      </c>
      <c r="K17" s="6">
        <v>0</v>
      </c>
      <c r="L17" s="6">
        <f>J17*K17</f>
        <v>0</v>
      </c>
      <c r="M17" s="2">
        <v>0.01733</v>
      </c>
      <c r="Z17" s="6">
        <f>IF(AQ17="5",BJ17,0)</f>
        <v>0</v>
      </c>
      <c r="AB17" s="6">
        <f>IF(AQ17="1",BH17,0)</f>
        <v>0</v>
      </c>
      <c r="AC17" s="6">
        <f>IF(AQ17="1",BI17,0)</f>
        <v>0</v>
      </c>
      <c r="AD17" s="6">
        <f>IF(AQ17="7",BH17,0)</f>
        <v>0</v>
      </c>
      <c r="AE17" s="6">
        <f>IF(AQ17="7",BI17,0)</f>
        <v>0</v>
      </c>
      <c r="AF17" s="6">
        <f>IF(AQ17="2",BH17,0)</f>
        <v>0</v>
      </c>
      <c r="AG17" s="6">
        <f>IF(AQ17="2",BI17,0)</f>
        <v>0</v>
      </c>
      <c r="AH17" s="6">
        <f>IF(AQ17="0",BJ17,0)</f>
        <v>0</v>
      </c>
      <c r="AI17" s="20" t="s">
        <v>318</v>
      </c>
      <c r="AJ17" s="6">
        <f>IF(AN17=0,L17,0)</f>
        <v>0</v>
      </c>
      <c r="AK17" s="6">
        <f>IF(AN17=15,L17,0)</f>
        <v>0</v>
      </c>
      <c r="AL17" s="6">
        <f>IF(AN17=21,L17,0)</f>
        <v>0</v>
      </c>
      <c r="AN17" s="6">
        <v>21</v>
      </c>
      <c r="AO17" s="6">
        <f>K17*0.454389140271493</f>
        <v>0</v>
      </c>
      <c r="AP17" s="6">
        <f>K17*(1-0.454389140271493)</f>
        <v>0</v>
      </c>
      <c r="AQ17" s="3" t="s">
        <v>455</v>
      </c>
      <c r="AV17" s="6">
        <f>AW17+AX17</f>
        <v>0</v>
      </c>
      <c r="AW17" s="6">
        <f>J17*AO17</f>
        <v>0</v>
      </c>
      <c r="AX17" s="6">
        <f>J17*AP17</f>
        <v>0</v>
      </c>
      <c r="AY17" s="3" t="s">
        <v>292</v>
      </c>
      <c r="AZ17" s="3" t="s">
        <v>69</v>
      </c>
      <c r="BA17" s="20" t="s">
        <v>360</v>
      </c>
      <c r="BC17" s="6">
        <f>AW17+AX17</f>
        <v>0</v>
      </c>
      <c r="BD17" s="6">
        <f>K17/(100-BE17)*100</f>
        <v>0</v>
      </c>
      <c r="BE17" s="6">
        <v>0</v>
      </c>
      <c r="BF17" s="6">
        <f>17</f>
        <v>17</v>
      </c>
      <c r="BH17" s="6">
        <f>J17*AO17</f>
        <v>0</v>
      </c>
      <c r="BI17" s="6">
        <f>J17*AP17</f>
        <v>0</v>
      </c>
      <c r="BJ17" s="6">
        <f>J17*K17</f>
        <v>0</v>
      </c>
      <c r="BK17" s="6"/>
      <c r="BL17" s="6">
        <v>61</v>
      </c>
    </row>
    <row r="18" spans="1:64" ht="15" customHeight="1">
      <c r="A18" s="17" t="s">
        <v>254</v>
      </c>
      <c r="B18" s="28" t="s">
        <v>225</v>
      </c>
      <c r="C18" s="52" t="s">
        <v>157</v>
      </c>
      <c r="D18" s="52"/>
      <c r="E18" s="52"/>
      <c r="F18" s="52"/>
      <c r="G18" s="52"/>
      <c r="H18" s="52"/>
      <c r="I18" s="28" t="s">
        <v>361</v>
      </c>
      <c r="J18" s="6">
        <v>1</v>
      </c>
      <c r="K18" s="6">
        <v>0</v>
      </c>
      <c r="L18" s="6">
        <f>J18*K18</f>
        <v>0</v>
      </c>
      <c r="M18" s="2">
        <v>0.00238</v>
      </c>
      <c r="Z18" s="6">
        <f>IF(AQ18="5",BJ18,0)</f>
        <v>0</v>
      </c>
      <c r="AB18" s="6">
        <f>IF(AQ18="1",BH18,0)</f>
        <v>0</v>
      </c>
      <c r="AC18" s="6">
        <f>IF(AQ18="1",BI18,0)</f>
        <v>0</v>
      </c>
      <c r="AD18" s="6">
        <f>IF(AQ18="7",BH18,0)</f>
        <v>0</v>
      </c>
      <c r="AE18" s="6">
        <f>IF(AQ18="7",BI18,0)</f>
        <v>0</v>
      </c>
      <c r="AF18" s="6">
        <f>IF(AQ18="2",BH18,0)</f>
        <v>0</v>
      </c>
      <c r="AG18" s="6">
        <f>IF(AQ18="2",BI18,0)</f>
        <v>0</v>
      </c>
      <c r="AH18" s="6">
        <f>IF(AQ18="0",BJ18,0)</f>
        <v>0</v>
      </c>
      <c r="AI18" s="20" t="s">
        <v>318</v>
      </c>
      <c r="AJ18" s="6">
        <f>IF(AN18=0,L18,0)</f>
        <v>0</v>
      </c>
      <c r="AK18" s="6">
        <f>IF(AN18=15,L18,0)</f>
        <v>0</v>
      </c>
      <c r="AL18" s="6">
        <f>IF(AN18=21,L18,0)</f>
        <v>0</v>
      </c>
      <c r="AN18" s="6">
        <v>21</v>
      </c>
      <c r="AO18" s="6">
        <f>K18*0.20893125</f>
        <v>0</v>
      </c>
      <c r="AP18" s="6">
        <f>K18*(1-0.20893125)</f>
        <v>0</v>
      </c>
      <c r="AQ18" s="3" t="s">
        <v>455</v>
      </c>
      <c r="AV18" s="6">
        <f>AW18+AX18</f>
        <v>0</v>
      </c>
      <c r="AW18" s="6">
        <f>J18*AO18</f>
        <v>0</v>
      </c>
      <c r="AX18" s="6">
        <f>J18*AP18</f>
        <v>0</v>
      </c>
      <c r="AY18" s="3" t="s">
        <v>292</v>
      </c>
      <c r="AZ18" s="3" t="s">
        <v>69</v>
      </c>
      <c r="BA18" s="20" t="s">
        <v>360</v>
      </c>
      <c r="BC18" s="6">
        <f>AW18+AX18</f>
        <v>0</v>
      </c>
      <c r="BD18" s="6">
        <f>K18/(100-BE18)*100</f>
        <v>0</v>
      </c>
      <c r="BE18" s="6">
        <v>0</v>
      </c>
      <c r="BF18" s="6">
        <f>18</f>
        <v>18</v>
      </c>
      <c r="BH18" s="6">
        <f>J18*AO18</f>
        <v>0</v>
      </c>
      <c r="BI18" s="6">
        <f>J18*AP18</f>
        <v>0</v>
      </c>
      <c r="BJ18" s="6">
        <f>J18*K18</f>
        <v>0</v>
      </c>
      <c r="BK18" s="6"/>
      <c r="BL18" s="6">
        <v>61</v>
      </c>
    </row>
    <row r="19" spans="1:47" ht="15" customHeight="1">
      <c r="A19" s="31" t="s">
        <v>318</v>
      </c>
      <c r="B19" s="12" t="s">
        <v>31</v>
      </c>
      <c r="C19" s="97" t="s">
        <v>513</v>
      </c>
      <c r="D19" s="97"/>
      <c r="E19" s="97"/>
      <c r="F19" s="97"/>
      <c r="G19" s="97"/>
      <c r="H19" s="97"/>
      <c r="I19" s="29" t="s">
        <v>434</v>
      </c>
      <c r="J19" s="29" t="s">
        <v>434</v>
      </c>
      <c r="K19" s="29" t="s">
        <v>434</v>
      </c>
      <c r="L19" s="10">
        <f>SUM(L20:L23)</f>
        <v>0</v>
      </c>
      <c r="M19" s="19" t="s">
        <v>318</v>
      </c>
      <c r="AI19" s="20" t="s">
        <v>318</v>
      </c>
      <c r="AS19" s="10">
        <f>SUM(AJ20:AJ23)</f>
        <v>0</v>
      </c>
      <c r="AT19" s="10">
        <f>SUM(AK20:AK23)</f>
        <v>0</v>
      </c>
      <c r="AU19" s="10">
        <f>SUM(AL20:AL23)</f>
        <v>0</v>
      </c>
    </row>
    <row r="20" spans="1:64" ht="15" customHeight="1">
      <c r="A20" s="17" t="s">
        <v>77</v>
      </c>
      <c r="B20" s="28" t="s">
        <v>489</v>
      </c>
      <c r="C20" s="52" t="s">
        <v>514</v>
      </c>
      <c r="D20" s="52"/>
      <c r="E20" s="52"/>
      <c r="F20" s="52"/>
      <c r="G20" s="52"/>
      <c r="H20" s="52"/>
      <c r="I20" s="28" t="s">
        <v>449</v>
      </c>
      <c r="J20" s="6">
        <v>63.48</v>
      </c>
      <c r="K20" s="6">
        <v>0</v>
      </c>
      <c r="L20" s="6">
        <f>J20*K20</f>
        <v>0</v>
      </c>
      <c r="M20" s="2">
        <v>0.00021</v>
      </c>
      <c r="Z20" s="6">
        <f>IF(AQ20="5",BJ20,0)</f>
        <v>0</v>
      </c>
      <c r="AB20" s="6">
        <f>IF(AQ20="1",BH20,0)</f>
        <v>0</v>
      </c>
      <c r="AC20" s="6">
        <f>IF(AQ20="1",BI20,0)</f>
        <v>0</v>
      </c>
      <c r="AD20" s="6">
        <f>IF(AQ20="7",BH20,0)</f>
        <v>0</v>
      </c>
      <c r="AE20" s="6">
        <f>IF(AQ20="7",BI20,0)</f>
        <v>0</v>
      </c>
      <c r="AF20" s="6">
        <f>IF(AQ20="2",BH20,0)</f>
        <v>0</v>
      </c>
      <c r="AG20" s="6">
        <f>IF(AQ20="2",BI20,0)</f>
        <v>0</v>
      </c>
      <c r="AH20" s="6">
        <f>IF(AQ20="0",BJ20,0)</f>
        <v>0</v>
      </c>
      <c r="AI20" s="20" t="s">
        <v>318</v>
      </c>
      <c r="AJ20" s="6">
        <f>IF(AN20=0,L20,0)</f>
        <v>0</v>
      </c>
      <c r="AK20" s="6">
        <f>IF(AN20=15,L20,0)</f>
        <v>0</v>
      </c>
      <c r="AL20" s="6">
        <f>IF(AN20=21,L20,0)</f>
        <v>0</v>
      </c>
      <c r="AN20" s="6">
        <v>21</v>
      </c>
      <c r="AO20" s="6">
        <f>K20*0.345841353872857</f>
        <v>0</v>
      </c>
      <c r="AP20" s="6">
        <f>K20*(1-0.345841353872857)</f>
        <v>0</v>
      </c>
      <c r="AQ20" s="3" t="s">
        <v>456</v>
      </c>
      <c r="AV20" s="6">
        <f>AW20+AX20</f>
        <v>0</v>
      </c>
      <c r="AW20" s="6">
        <f>J20*AO20</f>
        <v>0</v>
      </c>
      <c r="AX20" s="6">
        <f>J20*AP20</f>
        <v>0</v>
      </c>
      <c r="AY20" s="3" t="s">
        <v>407</v>
      </c>
      <c r="AZ20" s="3" t="s">
        <v>387</v>
      </c>
      <c r="BA20" s="20" t="s">
        <v>360</v>
      </c>
      <c r="BC20" s="6">
        <f>AW20+AX20</f>
        <v>0</v>
      </c>
      <c r="BD20" s="6">
        <f>K20/(100-BE20)*100</f>
        <v>0</v>
      </c>
      <c r="BE20" s="6">
        <v>0</v>
      </c>
      <c r="BF20" s="6">
        <f>20</f>
        <v>20</v>
      </c>
      <c r="BH20" s="6">
        <f>J20*AO20</f>
        <v>0</v>
      </c>
      <c r="BI20" s="6">
        <f>J20*AP20</f>
        <v>0</v>
      </c>
      <c r="BJ20" s="6">
        <f>J20*K20</f>
        <v>0</v>
      </c>
      <c r="BK20" s="6"/>
      <c r="BL20" s="6">
        <v>711</v>
      </c>
    </row>
    <row r="21" spans="1:64" ht="15" customHeight="1">
      <c r="A21" s="17" t="s">
        <v>456</v>
      </c>
      <c r="B21" s="28" t="s">
        <v>346</v>
      </c>
      <c r="C21" s="52" t="s">
        <v>507</v>
      </c>
      <c r="D21" s="52"/>
      <c r="E21" s="52"/>
      <c r="F21" s="52"/>
      <c r="G21" s="52"/>
      <c r="H21" s="52"/>
      <c r="I21" s="28" t="s">
        <v>449</v>
      </c>
      <c r="J21" s="6">
        <v>63.48</v>
      </c>
      <c r="K21" s="6">
        <v>0</v>
      </c>
      <c r="L21" s="6">
        <f>J21*K21</f>
        <v>0</v>
      </c>
      <c r="M21" s="2">
        <v>0.00473</v>
      </c>
      <c r="Z21" s="6">
        <f>IF(AQ21="5",BJ21,0)</f>
        <v>0</v>
      </c>
      <c r="AB21" s="6">
        <f>IF(AQ21="1",BH21,0)</f>
        <v>0</v>
      </c>
      <c r="AC21" s="6">
        <f>IF(AQ21="1",BI21,0)</f>
        <v>0</v>
      </c>
      <c r="AD21" s="6">
        <f>IF(AQ21="7",BH21,0)</f>
        <v>0</v>
      </c>
      <c r="AE21" s="6">
        <f>IF(AQ21="7",BI21,0)</f>
        <v>0</v>
      </c>
      <c r="AF21" s="6">
        <f>IF(AQ21="2",BH21,0)</f>
        <v>0</v>
      </c>
      <c r="AG21" s="6">
        <f>IF(AQ21="2",BI21,0)</f>
        <v>0</v>
      </c>
      <c r="AH21" s="6">
        <f>IF(AQ21="0",BJ21,0)</f>
        <v>0</v>
      </c>
      <c r="AI21" s="20" t="s">
        <v>318</v>
      </c>
      <c r="AJ21" s="6">
        <f>IF(AN21=0,L21,0)</f>
        <v>0</v>
      </c>
      <c r="AK21" s="6">
        <f>IF(AN21=15,L21,0)</f>
        <v>0</v>
      </c>
      <c r="AL21" s="6">
        <f>IF(AN21=21,L21,0)</f>
        <v>0</v>
      </c>
      <c r="AN21" s="6">
        <v>21</v>
      </c>
      <c r="AO21" s="6">
        <f>K21*0.683409994288978</f>
        <v>0</v>
      </c>
      <c r="AP21" s="6">
        <f>K21*(1-0.683409994288978)</f>
        <v>0</v>
      </c>
      <c r="AQ21" s="3" t="s">
        <v>456</v>
      </c>
      <c r="AV21" s="6">
        <f>AW21+AX21</f>
        <v>0</v>
      </c>
      <c r="AW21" s="6">
        <f>J21*AO21</f>
        <v>0</v>
      </c>
      <c r="AX21" s="6">
        <f>J21*AP21</f>
        <v>0</v>
      </c>
      <c r="AY21" s="3" t="s">
        <v>407</v>
      </c>
      <c r="AZ21" s="3" t="s">
        <v>387</v>
      </c>
      <c r="BA21" s="20" t="s">
        <v>360</v>
      </c>
      <c r="BC21" s="6">
        <f>AW21+AX21</f>
        <v>0</v>
      </c>
      <c r="BD21" s="6">
        <f>K21/(100-BE21)*100</f>
        <v>0</v>
      </c>
      <c r="BE21" s="6">
        <v>0</v>
      </c>
      <c r="BF21" s="6">
        <f>21</f>
        <v>21</v>
      </c>
      <c r="BH21" s="6">
        <f>J21*AO21</f>
        <v>0</v>
      </c>
      <c r="BI21" s="6">
        <f>J21*AP21</f>
        <v>0</v>
      </c>
      <c r="BJ21" s="6">
        <f>J21*K21</f>
        <v>0</v>
      </c>
      <c r="BK21" s="6"/>
      <c r="BL21" s="6">
        <v>711</v>
      </c>
    </row>
    <row r="22" spans="1:64" ht="15" customHeight="1">
      <c r="A22" s="17" t="s">
        <v>376</v>
      </c>
      <c r="B22" s="28" t="s">
        <v>202</v>
      </c>
      <c r="C22" s="52" t="s">
        <v>274</v>
      </c>
      <c r="D22" s="52"/>
      <c r="E22" s="52"/>
      <c r="F22" s="52"/>
      <c r="G22" s="52"/>
      <c r="H22" s="52"/>
      <c r="I22" s="28" t="s">
        <v>394</v>
      </c>
      <c r="J22" s="6">
        <v>50.98</v>
      </c>
      <c r="K22" s="6">
        <v>0</v>
      </c>
      <c r="L22" s="6">
        <f>J22*K22</f>
        <v>0</v>
      </c>
      <c r="M22" s="2">
        <v>0.00032</v>
      </c>
      <c r="Z22" s="6">
        <f>IF(AQ22="5",BJ22,0)</f>
        <v>0</v>
      </c>
      <c r="AB22" s="6">
        <f>IF(AQ22="1",BH22,0)</f>
        <v>0</v>
      </c>
      <c r="AC22" s="6">
        <f>IF(AQ22="1",BI22,0)</f>
        <v>0</v>
      </c>
      <c r="AD22" s="6">
        <f>IF(AQ22="7",BH22,0)</f>
        <v>0</v>
      </c>
      <c r="AE22" s="6">
        <f>IF(AQ22="7",BI22,0)</f>
        <v>0</v>
      </c>
      <c r="AF22" s="6">
        <f>IF(AQ22="2",BH22,0)</f>
        <v>0</v>
      </c>
      <c r="AG22" s="6">
        <f>IF(AQ22="2",BI22,0)</f>
        <v>0</v>
      </c>
      <c r="AH22" s="6">
        <f>IF(AQ22="0",BJ22,0)</f>
        <v>0</v>
      </c>
      <c r="AI22" s="20" t="s">
        <v>318</v>
      </c>
      <c r="AJ22" s="6">
        <f>IF(AN22=0,L22,0)</f>
        <v>0</v>
      </c>
      <c r="AK22" s="6">
        <f>IF(AN22=15,L22,0)</f>
        <v>0</v>
      </c>
      <c r="AL22" s="6">
        <f>IF(AN22=21,L22,0)</f>
        <v>0</v>
      </c>
      <c r="AN22" s="6">
        <v>21</v>
      </c>
      <c r="AO22" s="6">
        <f>K22*0.619929967713531</f>
        <v>0</v>
      </c>
      <c r="AP22" s="6">
        <f>K22*(1-0.619929967713531)</f>
        <v>0</v>
      </c>
      <c r="AQ22" s="3" t="s">
        <v>456</v>
      </c>
      <c r="AV22" s="6">
        <f>AW22+AX22</f>
        <v>0</v>
      </c>
      <c r="AW22" s="6">
        <f>J22*AO22</f>
        <v>0</v>
      </c>
      <c r="AX22" s="6">
        <f>J22*AP22</f>
        <v>0</v>
      </c>
      <c r="AY22" s="3" t="s">
        <v>407</v>
      </c>
      <c r="AZ22" s="3" t="s">
        <v>387</v>
      </c>
      <c r="BA22" s="20" t="s">
        <v>360</v>
      </c>
      <c r="BC22" s="6">
        <f>AW22+AX22</f>
        <v>0</v>
      </c>
      <c r="BD22" s="6">
        <f>K22/(100-BE22)*100</f>
        <v>0</v>
      </c>
      <c r="BE22" s="6">
        <v>0</v>
      </c>
      <c r="BF22" s="6">
        <f>22</f>
        <v>22</v>
      </c>
      <c r="BH22" s="6">
        <f>J22*AO22</f>
        <v>0</v>
      </c>
      <c r="BI22" s="6">
        <f>J22*AP22</f>
        <v>0</v>
      </c>
      <c r="BJ22" s="6">
        <f>J22*K22</f>
        <v>0</v>
      </c>
      <c r="BK22" s="6"/>
      <c r="BL22" s="6">
        <v>711</v>
      </c>
    </row>
    <row r="23" spans="1:64" ht="15" customHeight="1">
      <c r="A23" s="17" t="s">
        <v>179</v>
      </c>
      <c r="B23" s="28" t="s">
        <v>332</v>
      </c>
      <c r="C23" s="52" t="s">
        <v>370</v>
      </c>
      <c r="D23" s="52"/>
      <c r="E23" s="52"/>
      <c r="F23" s="52"/>
      <c r="G23" s="52"/>
      <c r="H23" s="52"/>
      <c r="I23" s="28" t="s">
        <v>412</v>
      </c>
      <c r="J23" s="6">
        <v>568.5</v>
      </c>
      <c r="K23" s="6">
        <v>0</v>
      </c>
      <c r="L23" s="6">
        <f>J23*K23</f>
        <v>0</v>
      </c>
      <c r="M23" s="2">
        <v>0</v>
      </c>
      <c r="Z23" s="6">
        <f>IF(AQ23="5",BJ23,0)</f>
        <v>0</v>
      </c>
      <c r="AB23" s="6">
        <f>IF(AQ23="1",BH23,0)</f>
        <v>0</v>
      </c>
      <c r="AC23" s="6">
        <f>IF(AQ23="1",BI23,0)</f>
        <v>0</v>
      </c>
      <c r="AD23" s="6">
        <f>IF(AQ23="7",BH23,0)</f>
        <v>0</v>
      </c>
      <c r="AE23" s="6">
        <f>IF(AQ23="7",BI23,0)</f>
        <v>0</v>
      </c>
      <c r="AF23" s="6">
        <f>IF(AQ23="2",BH23,0)</f>
        <v>0</v>
      </c>
      <c r="AG23" s="6">
        <f>IF(AQ23="2",BI23,0)</f>
        <v>0</v>
      </c>
      <c r="AH23" s="6">
        <f>IF(AQ23="0",BJ23,0)</f>
        <v>0</v>
      </c>
      <c r="AI23" s="20" t="s">
        <v>318</v>
      </c>
      <c r="AJ23" s="6">
        <f>IF(AN23=0,L23,0)</f>
        <v>0</v>
      </c>
      <c r="AK23" s="6">
        <f>IF(AN23=15,L23,0)</f>
        <v>0</v>
      </c>
      <c r="AL23" s="6">
        <f>IF(AN23=21,L23,0)</f>
        <v>0</v>
      </c>
      <c r="AN23" s="6">
        <v>21</v>
      </c>
      <c r="AO23" s="6">
        <f>K23*0</f>
        <v>0</v>
      </c>
      <c r="AP23" s="6">
        <f>K23*(1-0)</f>
        <v>0</v>
      </c>
      <c r="AQ23" s="3" t="s">
        <v>254</v>
      </c>
      <c r="AV23" s="6">
        <f>AW23+AX23</f>
        <v>0</v>
      </c>
      <c r="AW23" s="6">
        <f>J23*AO23</f>
        <v>0</v>
      </c>
      <c r="AX23" s="6">
        <f>J23*AP23</f>
        <v>0</v>
      </c>
      <c r="AY23" s="3" t="s">
        <v>407</v>
      </c>
      <c r="AZ23" s="3" t="s">
        <v>387</v>
      </c>
      <c r="BA23" s="20" t="s">
        <v>360</v>
      </c>
      <c r="BC23" s="6">
        <f>AW23+AX23</f>
        <v>0</v>
      </c>
      <c r="BD23" s="6">
        <f>K23/(100-BE23)*100</f>
        <v>0</v>
      </c>
      <c r="BE23" s="6">
        <v>0</v>
      </c>
      <c r="BF23" s="6">
        <f>23</f>
        <v>23</v>
      </c>
      <c r="BH23" s="6">
        <f>J23*AO23</f>
        <v>0</v>
      </c>
      <c r="BI23" s="6">
        <f>J23*AP23</f>
        <v>0</v>
      </c>
      <c r="BJ23" s="6">
        <f>J23*K23</f>
        <v>0</v>
      </c>
      <c r="BK23" s="6"/>
      <c r="BL23" s="6">
        <v>711</v>
      </c>
    </row>
    <row r="24" spans="1:47" ht="15" customHeight="1">
      <c r="A24" s="31" t="s">
        <v>318</v>
      </c>
      <c r="B24" s="12" t="s">
        <v>366</v>
      </c>
      <c r="C24" s="97" t="s">
        <v>400</v>
      </c>
      <c r="D24" s="97"/>
      <c r="E24" s="97"/>
      <c r="F24" s="97"/>
      <c r="G24" s="97"/>
      <c r="H24" s="97"/>
      <c r="I24" s="29" t="s">
        <v>434</v>
      </c>
      <c r="J24" s="29" t="s">
        <v>434</v>
      </c>
      <c r="K24" s="29" t="s">
        <v>434</v>
      </c>
      <c r="L24" s="10">
        <f>SUM(L25:L56)</f>
        <v>0</v>
      </c>
      <c r="M24" s="19" t="s">
        <v>318</v>
      </c>
      <c r="AI24" s="20" t="s">
        <v>318</v>
      </c>
      <c r="AS24" s="10">
        <f>SUM(AJ25:AJ56)</f>
        <v>0</v>
      </c>
      <c r="AT24" s="10">
        <f>SUM(AK25:AK56)</f>
        <v>0</v>
      </c>
      <c r="AU24" s="10">
        <f>SUM(AL25:AL56)</f>
        <v>0</v>
      </c>
    </row>
    <row r="25" spans="1:64" ht="15" customHeight="1">
      <c r="A25" s="17" t="s">
        <v>270</v>
      </c>
      <c r="B25" s="28" t="s">
        <v>32</v>
      </c>
      <c r="C25" s="52" t="s">
        <v>433</v>
      </c>
      <c r="D25" s="52"/>
      <c r="E25" s="52"/>
      <c r="F25" s="52"/>
      <c r="G25" s="52"/>
      <c r="H25" s="52"/>
      <c r="I25" s="28" t="s">
        <v>117</v>
      </c>
      <c r="J25" s="6">
        <v>1</v>
      </c>
      <c r="K25" s="6">
        <v>0</v>
      </c>
      <c r="L25" s="6">
        <f aca="true" t="shared" si="0" ref="L25:L56">J25*K25</f>
        <v>0</v>
      </c>
      <c r="M25" s="2">
        <v>0</v>
      </c>
      <c r="Z25" s="6">
        <f aca="true" t="shared" si="1" ref="Z25:Z56">IF(AQ25="5",BJ25,0)</f>
        <v>0</v>
      </c>
      <c r="AB25" s="6">
        <f aca="true" t="shared" si="2" ref="AB25:AB56">IF(AQ25="1",BH25,0)</f>
        <v>0</v>
      </c>
      <c r="AC25" s="6">
        <f aca="true" t="shared" si="3" ref="AC25:AC56">IF(AQ25="1",BI25,0)</f>
        <v>0</v>
      </c>
      <c r="AD25" s="6">
        <f aca="true" t="shared" si="4" ref="AD25:AD56">IF(AQ25="7",BH25,0)</f>
        <v>0</v>
      </c>
      <c r="AE25" s="6">
        <f aca="true" t="shared" si="5" ref="AE25:AE56">IF(AQ25="7",BI25,0)</f>
        <v>0</v>
      </c>
      <c r="AF25" s="6">
        <f aca="true" t="shared" si="6" ref="AF25:AF56">IF(AQ25="2",BH25,0)</f>
        <v>0</v>
      </c>
      <c r="AG25" s="6">
        <f aca="true" t="shared" si="7" ref="AG25:AG56">IF(AQ25="2",BI25,0)</f>
        <v>0</v>
      </c>
      <c r="AH25" s="6">
        <f aca="true" t="shared" si="8" ref="AH25:AH56">IF(AQ25="0",BJ25,0)</f>
        <v>0</v>
      </c>
      <c r="AI25" s="20" t="s">
        <v>318</v>
      </c>
      <c r="AJ25" s="6">
        <f aca="true" t="shared" si="9" ref="AJ25:AJ56">IF(AN25=0,L25,0)</f>
        <v>0</v>
      </c>
      <c r="AK25" s="6">
        <f aca="true" t="shared" si="10" ref="AK25:AK56">IF(AN25=15,L25,0)</f>
        <v>0</v>
      </c>
      <c r="AL25" s="6">
        <f aca="true" t="shared" si="11" ref="AL25:AL56">IF(AN25=21,L25,0)</f>
        <v>0</v>
      </c>
      <c r="AN25" s="6">
        <v>21</v>
      </c>
      <c r="AO25" s="6">
        <f>K25*0</f>
        <v>0</v>
      </c>
      <c r="AP25" s="6">
        <f>K25*(1-0)</f>
        <v>0</v>
      </c>
      <c r="AQ25" s="3" t="s">
        <v>456</v>
      </c>
      <c r="AV25" s="6">
        <f aca="true" t="shared" si="12" ref="AV25:AV56">AW25+AX25</f>
        <v>0</v>
      </c>
      <c r="AW25" s="6">
        <f aca="true" t="shared" si="13" ref="AW25:AW56">J25*AO25</f>
        <v>0</v>
      </c>
      <c r="AX25" s="6">
        <f aca="true" t="shared" si="14" ref="AX25:AX56">J25*AP25</f>
        <v>0</v>
      </c>
      <c r="AY25" s="3" t="s">
        <v>33</v>
      </c>
      <c r="AZ25" s="3" t="s">
        <v>33</v>
      </c>
      <c r="BA25" s="20" t="s">
        <v>360</v>
      </c>
      <c r="BC25" s="6">
        <f aca="true" t="shared" si="15" ref="BC25:BC56">AW25+AX25</f>
        <v>0</v>
      </c>
      <c r="BD25" s="6">
        <f aca="true" t="shared" si="16" ref="BD25:BD56">K25/(100-BE25)*100</f>
        <v>0</v>
      </c>
      <c r="BE25" s="6">
        <v>0</v>
      </c>
      <c r="BF25" s="6">
        <f>25</f>
        <v>25</v>
      </c>
      <c r="BH25" s="6">
        <f aca="true" t="shared" si="17" ref="BH25:BH56">J25*AO25</f>
        <v>0</v>
      </c>
      <c r="BI25" s="6">
        <f aca="true" t="shared" si="18" ref="BI25:BI56">J25*AP25</f>
        <v>0</v>
      </c>
      <c r="BJ25" s="6">
        <f aca="true" t="shared" si="19" ref="BJ25:BJ56">J25*K25</f>
        <v>0</v>
      </c>
      <c r="BK25" s="6"/>
      <c r="BL25" s="6">
        <v>72</v>
      </c>
    </row>
    <row r="26" spans="1:64" ht="15" customHeight="1">
      <c r="A26" s="17" t="s">
        <v>395</v>
      </c>
      <c r="B26" s="28" t="s">
        <v>129</v>
      </c>
      <c r="C26" s="52" t="s">
        <v>159</v>
      </c>
      <c r="D26" s="52"/>
      <c r="E26" s="52"/>
      <c r="F26" s="52"/>
      <c r="G26" s="52"/>
      <c r="H26" s="52"/>
      <c r="I26" s="28" t="s">
        <v>117</v>
      </c>
      <c r="J26" s="6">
        <v>1</v>
      </c>
      <c r="K26" s="6">
        <v>0</v>
      </c>
      <c r="L26" s="6">
        <f t="shared" si="0"/>
        <v>0</v>
      </c>
      <c r="M26" s="2">
        <v>0.00033</v>
      </c>
      <c r="Z26" s="6">
        <f t="shared" si="1"/>
        <v>0</v>
      </c>
      <c r="AB26" s="6">
        <f t="shared" si="2"/>
        <v>0</v>
      </c>
      <c r="AC26" s="6">
        <f t="shared" si="3"/>
        <v>0</v>
      </c>
      <c r="AD26" s="6">
        <f t="shared" si="4"/>
        <v>0</v>
      </c>
      <c r="AE26" s="6">
        <f t="shared" si="5"/>
        <v>0</v>
      </c>
      <c r="AF26" s="6">
        <f t="shared" si="6"/>
        <v>0</v>
      </c>
      <c r="AG26" s="6">
        <f t="shared" si="7"/>
        <v>0</v>
      </c>
      <c r="AH26" s="6">
        <f t="shared" si="8"/>
        <v>0</v>
      </c>
      <c r="AI26" s="20" t="s">
        <v>318</v>
      </c>
      <c r="AJ26" s="6">
        <f t="shared" si="9"/>
        <v>0</v>
      </c>
      <c r="AK26" s="6">
        <f t="shared" si="10"/>
        <v>0</v>
      </c>
      <c r="AL26" s="6">
        <f t="shared" si="11"/>
        <v>0</v>
      </c>
      <c r="AN26" s="6">
        <v>21</v>
      </c>
      <c r="AO26" s="6">
        <f>K26*0.804027586206897</f>
        <v>0</v>
      </c>
      <c r="AP26" s="6">
        <f>K26*(1-0.804027586206897)</f>
        <v>0</v>
      </c>
      <c r="AQ26" s="3" t="s">
        <v>456</v>
      </c>
      <c r="AV26" s="6">
        <f t="shared" si="12"/>
        <v>0</v>
      </c>
      <c r="AW26" s="6">
        <f t="shared" si="13"/>
        <v>0</v>
      </c>
      <c r="AX26" s="6">
        <f t="shared" si="14"/>
        <v>0</v>
      </c>
      <c r="AY26" s="3" t="s">
        <v>33</v>
      </c>
      <c r="AZ26" s="3" t="s">
        <v>33</v>
      </c>
      <c r="BA26" s="20" t="s">
        <v>360</v>
      </c>
      <c r="BC26" s="6">
        <f t="shared" si="15"/>
        <v>0</v>
      </c>
      <c r="BD26" s="6">
        <f t="shared" si="16"/>
        <v>0</v>
      </c>
      <c r="BE26" s="6">
        <v>0</v>
      </c>
      <c r="BF26" s="6">
        <f>26</f>
        <v>26</v>
      </c>
      <c r="BH26" s="6">
        <f t="shared" si="17"/>
        <v>0</v>
      </c>
      <c r="BI26" s="6">
        <f t="shared" si="18"/>
        <v>0</v>
      </c>
      <c r="BJ26" s="6">
        <f t="shared" si="19"/>
        <v>0</v>
      </c>
      <c r="BK26" s="6"/>
      <c r="BL26" s="6">
        <v>72</v>
      </c>
    </row>
    <row r="27" spans="1:64" ht="15" customHeight="1">
      <c r="A27" s="17" t="s">
        <v>342</v>
      </c>
      <c r="B27" s="28" t="s">
        <v>194</v>
      </c>
      <c r="C27" s="52" t="s">
        <v>439</v>
      </c>
      <c r="D27" s="52"/>
      <c r="E27" s="52"/>
      <c r="F27" s="52"/>
      <c r="G27" s="52"/>
      <c r="H27" s="52"/>
      <c r="I27" s="28" t="s">
        <v>361</v>
      </c>
      <c r="J27" s="6">
        <v>1</v>
      </c>
      <c r="K27" s="6">
        <v>0</v>
      </c>
      <c r="L27" s="6">
        <f t="shared" si="0"/>
        <v>0</v>
      </c>
      <c r="M27" s="2">
        <v>0.00047</v>
      </c>
      <c r="Z27" s="6">
        <f t="shared" si="1"/>
        <v>0</v>
      </c>
      <c r="AB27" s="6">
        <f t="shared" si="2"/>
        <v>0</v>
      </c>
      <c r="AC27" s="6">
        <f t="shared" si="3"/>
        <v>0</v>
      </c>
      <c r="AD27" s="6">
        <f t="shared" si="4"/>
        <v>0</v>
      </c>
      <c r="AE27" s="6">
        <f t="shared" si="5"/>
        <v>0</v>
      </c>
      <c r="AF27" s="6">
        <f t="shared" si="6"/>
        <v>0</v>
      </c>
      <c r="AG27" s="6">
        <f t="shared" si="7"/>
        <v>0</v>
      </c>
      <c r="AH27" s="6">
        <f t="shared" si="8"/>
        <v>0</v>
      </c>
      <c r="AI27" s="20" t="s">
        <v>318</v>
      </c>
      <c r="AJ27" s="6">
        <f t="shared" si="9"/>
        <v>0</v>
      </c>
      <c r="AK27" s="6">
        <f t="shared" si="10"/>
        <v>0</v>
      </c>
      <c r="AL27" s="6">
        <f t="shared" si="11"/>
        <v>0</v>
      </c>
      <c r="AN27" s="6">
        <v>21</v>
      </c>
      <c r="AO27" s="6">
        <f>K27*0.39875</f>
        <v>0</v>
      </c>
      <c r="AP27" s="6">
        <f>K27*(1-0.39875)</f>
        <v>0</v>
      </c>
      <c r="AQ27" s="3" t="s">
        <v>456</v>
      </c>
      <c r="AV27" s="6">
        <f t="shared" si="12"/>
        <v>0</v>
      </c>
      <c r="AW27" s="6">
        <f t="shared" si="13"/>
        <v>0</v>
      </c>
      <c r="AX27" s="6">
        <f t="shared" si="14"/>
        <v>0</v>
      </c>
      <c r="AY27" s="3" t="s">
        <v>33</v>
      </c>
      <c r="AZ27" s="3" t="s">
        <v>33</v>
      </c>
      <c r="BA27" s="20" t="s">
        <v>360</v>
      </c>
      <c r="BC27" s="6">
        <f t="shared" si="15"/>
        <v>0</v>
      </c>
      <c r="BD27" s="6">
        <f t="shared" si="16"/>
        <v>0</v>
      </c>
      <c r="BE27" s="6">
        <v>0</v>
      </c>
      <c r="BF27" s="6">
        <f>27</f>
        <v>27</v>
      </c>
      <c r="BH27" s="6">
        <f t="shared" si="17"/>
        <v>0</v>
      </c>
      <c r="BI27" s="6">
        <f t="shared" si="18"/>
        <v>0</v>
      </c>
      <c r="BJ27" s="6">
        <f t="shared" si="19"/>
        <v>0</v>
      </c>
      <c r="BK27" s="6"/>
      <c r="BL27" s="6">
        <v>72</v>
      </c>
    </row>
    <row r="28" spans="1:64" ht="15" customHeight="1">
      <c r="A28" s="17" t="s">
        <v>138</v>
      </c>
      <c r="B28" s="28" t="s">
        <v>212</v>
      </c>
      <c r="C28" s="52" t="s">
        <v>6</v>
      </c>
      <c r="D28" s="52"/>
      <c r="E28" s="52"/>
      <c r="F28" s="52"/>
      <c r="G28" s="52"/>
      <c r="H28" s="52"/>
      <c r="I28" s="28" t="s">
        <v>394</v>
      </c>
      <c r="J28" s="6">
        <v>1</v>
      </c>
      <c r="K28" s="6">
        <v>0</v>
      </c>
      <c r="L28" s="6">
        <f t="shared" si="0"/>
        <v>0</v>
      </c>
      <c r="M28" s="2">
        <v>0.00185</v>
      </c>
      <c r="Z28" s="6">
        <f t="shared" si="1"/>
        <v>0</v>
      </c>
      <c r="AB28" s="6">
        <f t="shared" si="2"/>
        <v>0</v>
      </c>
      <c r="AC28" s="6">
        <f t="shared" si="3"/>
        <v>0</v>
      </c>
      <c r="AD28" s="6">
        <f t="shared" si="4"/>
        <v>0</v>
      </c>
      <c r="AE28" s="6">
        <f t="shared" si="5"/>
        <v>0</v>
      </c>
      <c r="AF28" s="6">
        <f t="shared" si="6"/>
        <v>0</v>
      </c>
      <c r="AG28" s="6">
        <f t="shared" si="7"/>
        <v>0</v>
      </c>
      <c r="AH28" s="6">
        <f t="shared" si="8"/>
        <v>0</v>
      </c>
      <c r="AI28" s="20" t="s">
        <v>318</v>
      </c>
      <c r="AJ28" s="6">
        <f t="shared" si="9"/>
        <v>0</v>
      </c>
      <c r="AK28" s="6">
        <f t="shared" si="10"/>
        <v>0</v>
      </c>
      <c r="AL28" s="6">
        <f t="shared" si="11"/>
        <v>0</v>
      </c>
      <c r="AN28" s="6">
        <v>21</v>
      </c>
      <c r="AO28" s="6">
        <f>K28*0.496418604651163</f>
        <v>0</v>
      </c>
      <c r="AP28" s="6">
        <f>K28*(1-0.496418604651163)</f>
        <v>0</v>
      </c>
      <c r="AQ28" s="3" t="s">
        <v>456</v>
      </c>
      <c r="AV28" s="6">
        <f t="shared" si="12"/>
        <v>0</v>
      </c>
      <c r="AW28" s="6">
        <f t="shared" si="13"/>
        <v>0</v>
      </c>
      <c r="AX28" s="6">
        <f t="shared" si="14"/>
        <v>0</v>
      </c>
      <c r="AY28" s="3" t="s">
        <v>33</v>
      </c>
      <c r="AZ28" s="3" t="s">
        <v>33</v>
      </c>
      <c r="BA28" s="20" t="s">
        <v>360</v>
      </c>
      <c r="BC28" s="6">
        <f t="shared" si="15"/>
        <v>0</v>
      </c>
      <c r="BD28" s="6">
        <f t="shared" si="16"/>
        <v>0</v>
      </c>
      <c r="BE28" s="6">
        <v>0</v>
      </c>
      <c r="BF28" s="6">
        <f>28</f>
        <v>28</v>
      </c>
      <c r="BH28" s="6">
        <f t="shared" si="17"/>
        <v>0</v>
      </c>
      <c r="BI28" s="6">
        <f t="shared" si="18"/>
        <v>0</v>
      </c>
      <c r="BJ28" s="6">
        <f t="shared" si="19"/>
        <v>0</v>
      </c>
      <c r="BK28" s="6"/>
      <c r="BL28" s="6">
        <v>72</v>
      </c>
    </row>
    <row r="29" spans="1:64" ht="15" customHeight="1">
      <c r="A29" s="17" t="s">
        <v>275</v>
      </c>
      <c r="B29" s="28" t="s">
        <v>385</v>
      </c>
      <c r="C29" s="52" t="s">
        <v>458</v>
      </c>
      <c r="D29" s="52"/>
      <c r="E29" s="52"/>
      <c r="F29" s="52"/>
      <c r="G29" s="52"/>
      <c r="H29" s="52"/>
      <c r="I29" s="28" t="s">
        <v>361</v>
      </c>
      <c r="J29" s="6">
        <v>1</v>
      </c>
      <c r="K29" s="6">
        <v>0</v>
      </c>
      <c r="L29" s="6">
        <f t="shared" si="0"/>
        <v>0</v>
      </c>
      <c r="M29" s="2">
        <v>0.00027</v>
      </c>
      <c r="Z29" s="6">
        <f t="shared" si="1"/>
        <v>0</v>
      </c>
      <c r="AB29" s="6">
        <f t="shared" si="2"/>
        <v>0</v>
      </c>
      <c r="AC29" s="6">
        <f t="shared" si="3"/>
        <v>0</v>
      </c>
      <c r="AD29" s="6">
        <f t="shared" si="4"/>
        <v>0</v>
      </c>
      <c r="AE29" s="6">
        <f t="shared" si="5"/>
        <v>0</v>
      </c>
      <c r="AF29" s="6">
        <f t="shared" si="6"/>
        <v>0</v>
      </c>
      <c r="AG29" s="6">
        <f t="shared" si="7"/>
        <v>0</v>
      </c>
      <c r="AH29" s="6">
        <f t="shared" si="8"/>
        <v>0</v>
      </c>
      <c r="AI29" s="20" t="s">
        <v>318</v>
      </c>
      <c r="AJ29" s="6">
        <f t="shared" si="9"/>
        <v>0</v>
      </c>
      <c r="AK29" s="6">
        <f t="shared" si="10"/>
        <v>0</v>
      </c>
      <c r="AL29" s="6">
        <f t="shared" si="11"/>
        <v>0</v>
      </c>
      <c r="AN29" s="6">
        <v>21</v>
      </c>
      <c r="AO29" s="6">
        <f>K29*0.105148760330579</f>
        <v>0</v>
      </c>
      <c r="AP29" s="6">
        <f>K29*(1-0.105148760330579)</f>
        <v>0</v>
      </c>
      <c r="AQ29" s="3" t="s">
        <v>456</v>
      </c>
      <c r="AV29" s="6">
        <f t="shared" si="12"/>
        <v>0</v>
      </c>
      <c r="AW29" s="6">
        <f t="shared" si="13"/>
        <v>0</v>
      </c>
      <c r="AX29" s="6">
        <f t="shared" si="14"/>
        <v>0</v>
      </c>
      <c r="AY29" s="3" t="s">
        <v>33</v>
      </c>
      <c r="AZ29" s="3" t="s">
        <v>33</v>
      </c>
      <c r="BA29" s="20" t="s">
        <v>360</v>
      </c>
      <c r="BC29" s="6">
        <f t="shared" si="15"/>
        <v>0</v>
      </c>
      <c r="BD29" s="6">
        <f t="shared" si="16"/>
        <v>0</v>
      </c>
      <c r="BE29" s="6">
        <v>0</v>
      </c>
      <c r="BF29" s="6">
        <f>29</f>
        <v>29</v>
      </c>
      <c r="BH29" s="6">
        <f t="shared" si="17"/>
        <v>0</v>
      </c>
      <c r="BI29" s="6">
        <f t="shared" si="18"/>
        <v>0</v>
      </c>
      <c r="BJ29" s="6">
        <f t="shared" si="19"/>
        <v>0</v>
      </c>
      <c r="BK29" s="6"/>
      <c r="BL29" s="6">
        <v>72</v>
      </c>
    </row>
    <row r="30" spans="1:64" ht="15" customHeight="1">
      <c r="A30" s="17" t="s">
        <v>182</v>
      </c>
      <c r="B30" s="28" t="s">
        <v>242</v>
      </c>
      <c r="C30" s="52" t="s">
        <v>499</v>
      </c>
      <c r="D30" s="52"/>
      <c r="E30" s="52"/>
      <c r="F30" s="52"/>
      <c r="G30" s="52"/>
      <c r="H30" s="52"/>
      <c r="I30" s="28" t="s">
        <v>394</v>
      </c>
      <c r="J30" s="6">
        <v>70</v>
      </c>
      <c r="K30" s="6">
        <v>0</v>
      </c>
      <c r="L30" s="6">
        <f t="shared" si="0"/>
        <v>0</v>
      </c>
      <c r="M30" s="2">
        <v>0.00399</v>
      </c>
      <c r="Z30" s="6">
        <f t="shared" si="1"/>
        <v>0</v>
      </c>
      <c r="AB30" s="6">
        <f t="shared" si="2"/>
        <v>0</v>
      </c>
      <c r="AC30" s="6">
        <f t="shared" si="3"/>
        <v>0</v>
      </c>
      <c r="AD30" s="6">
        <f t="shared" si="4"/>
        <v>0</v>
      </c>
      <c r="AE30" s="6">
        <f t="shared" si="5"/>
        <v>0</v>
      </c>
      <c r="AF30" s="6">
        <f t="shared" si="6"/>
        <v>0</v>
      </c>
      <c r="AG30" s="6">
        <f t="shared" si="7"/>
        <v>0</v>
      </c>
      <c r="AH30" s="6">
        <f t="shared" si="8"/>
        <v>0</v>
      </c>
      <c r="AI30" s="20" t="s">
        <v>318</v>
      </c>
      <c r="AJ30" s="6">
        <f t="shared" si="9"/>
        <v>0</v>
      </c>
      <c r="AK30" s="6">
        <f t="shared" si="10"/>
        <v>0</v>
      </c>
      <c r="AL30" s="6">
        <f t="shared" si="11"/>
        <v>0</v>
      </c>
      <c r="AN30" s="6">
        <v>21</v>
      </c>
      <c r="AO30" s="6">
        <f>K30*0.272130681818182</f>
        <v>0</v>
      </c>
      <c r="AP30" s="6">
        <f>K30*(1-0.272130681818182)</f>
        <v>0</v>
      </c>
      <c r="AQ30" s="3" t="s">
        <v>456</v>
      </c>
      <c r="AV30" s="6">
        <f t="shared" si="12"/>
        <v>0</v>
      </c>
      <c r="AW30" s="6">
        <f t="shared" si="13"/>
        <v>0</v>
      </c>
      <c r="AX30" s="6">
        <f t="shared" si="14"/>
        <v>0</v>
      </c>
      <c r="AY30" s="3" t="s">
        <v>33</v>
      </c>
      <c r="AZ30" s="3" t="s">
        <v>33</v>
      </c>
      <c r="BA30" s="20" t="s">
        <v>360</v>
      </c>
      <c r="BC30" s="6">
        <f t="shared" si="15"/>
        <v>0</v>
      </c>
      <c r="BD30" s="6">
        <f t="shared" si="16"/>
        <v>0</v>
      </c>
      <c r="BE30" s="6">
        <v>0</v>
      </c>
      <c r="BF30" s="6">
        <f>30</f>
        <v>30</v>
      </c>
      <c r="BH30" s="6">
        <f t="shared" si="17"/>
        <v>0</v>
      </c>
      <c r="BI30" s="6">
        <f t="shared" si="18"/>
        <v>0</v>
      </c>
      <c r="BJ30" s="6">
        <f t="shared" si="19"/>
        <v>0</v>
      </c>
      <c r="BK30" s="6"/>
      <c r="BL30" s="6">
        <v>72</v>
      </c>
    </row>
    <row r="31" spans="1:64" ht="15" customHeight="1">
      <c r="A31" s="17" t="s">
        <v>47</v>
      </c>
      <c r="B31" s="28" t="s">
        <v>94</v>
      </c>
      <c r="C31" s="52" t="s">
        <v>353</v>
      </c>
      <c r="D31" s="52"/>
      <c r="E31" s="52"/>
      <c r="F31" s="52"/>
      <c r="G31" s="52"/>
      <c r="H31" s="52"/>
      <c r="I31" s="28" t="s">
        <v>394</v>
      </c>
      <c r="J31" s="6">
        <v>70</v>
      </c>
      <c r="K31" s="6">
        <v>0</v>
      </c>
      <c r="L31" s="6">
        <f t="shared" si="0"/>
        <v>0</v>
      </c>
      <c r="M31" s="2">
        <v>2E-05</v>
      </c>
      <c r="Z31" s="6">
        <f t="shared" si="1"/>
        <v>0</v>
      </c>
      <c r="AB31" s="6">
        <f t="shared" si="2"/>
        <v>0</v>
      </c>
      <c r="AC31" s="6">
        <f t="shared" si="3"/>
        <v>0</v>
      </c>
      <c r="AD31" s="6">
        <f t="shared" si="4"/>
        <v>0</v>
      </c>
      <c r="AE31" s="6">
        <f t="shared" si="5"/>
        <v>0</v>
      </c>
      <c r="AF31" s="6">
        <f t="shared" si="6"/>
        <v>0</v>
      </c>
      <c r="AG31" s="6">
        <f t="shared" si="7"/>
        <v>0</v>
      </c>
      <c r="AH31" s="6">
        <f t="shared" si="8"/>
        <v>0</v>
      </c>
      <c r="AI31" s="20" t="s">
        <v>318</v>
      </c>
      <c r="AJ31" s="6">
        <f t="shared" si="9"/>
        <v>0</v>
      </c>
      <c r="AK31" s="6">
        <f t="shared" si="10"/>
        <v>0</v>
      </c>
      <c r="AL31" s="6">
        <f t="shared" si="11"/>
        <v>0</v>
      </c>
      <c r="AN31" s="6">
        <v>21</v>
      </c>
      <c r="AO31" s="6">
        <f>K31*0.18894472361809</f>
        <v>0</v>
      </c>
      <c r="AP31" s="6">
        <f>K31*(1-0.18894472361809)</f>
        <v>0</v>
      </c>
      <c r="AQ31" s="3" t="s">
        <v>456</v>
      </c>
      <c r="AV31" s="6">
        <f t="shared" si="12"/>
        <v>0</v>
      </c>
      <c r="AW31" s="6">
        <f t="shared" si="13"/>
        <v>0</v>
      </c>
      <c r="AX31" s="6">
        <f t="shared" si="14"/>
        <v>0</v>
      </c>
      <c r="AY31" s="3" t="s">
        <v>33</v>
      </c>
      <c r="AZ31" s="3" t="s">
        <v>33</v>
      </c>
      <c r="BA31" s="20" t="s">
        <v>360</v>
      </c>
      <c r="BC31" s="6">
        <f t="shared" si="15"/>
        <v>0</v>
      </c>
      <c r="BD31" s="6">
        <f t="shared" si="16"/>
        <v>0</v>
      </c>
      <c r="BE31" s="6">
        <v>0</v>
      </c>
      <c r="BF31" s="6">
        <f>31</f>
        <v>31</v>
      </c>
      <c r="BH31" s="6">
        <f t="shared" si="17"/>
        <v>0</v>
      </c>
      <c r="BI31" s="6">
        <f t="shared" si="18"/>
        <v>0</v>
      </c>
      <c r="BJ31" s="6">
        <f t="shared" si="19"/>
        <v>0</v>
      </c>
      <c r="BK31" s="6"/>
      <c r="BL31" s="6">
        <v>72</v>
      </c>
    </row>
    <row r="32" spans="1:64" ht="15" customHeight="1">
      <c r="A32" s="17" t="s">
        <v>321</v>
      </c>
      <c r="B32" s="28" t="s">
        <v>65</v>
      </c>
      <c r="C32" s="52" t="s">
        <v>218</v>
      </c>
      <c r="D32" s="52"/>
      <c r="E32" s="52"/>
      <c r="F32" s="52"/>
      <c r="G32" s="52"/>
      <c r="H32" s="52"/>
      <c r="I32" s="28" t="s">
        <v>117</v>
      </c>
      <c r="J32" s="6">
        <v>16</v>
      </c>
      <c r="K32" s="6">
        <v>0</v>
      </c>
      <c r="L32" s="6">
        <f t="shared" si="0"/>
        <v>0</v>
      </c>
      <c r="M32" s="2">
        <v>0.00018</v>
      </c>
      <c r="Z32" s="6">
        <f t="shared" si="1"/>
        <v>0</v>
      </c>
      <c r="AB32" s="6">
        <f t="shared" si="2"/>
        <v>0</v>
      </c>
      <c r="AC32" s="6">
        <f t="shared" si="3"/>
        <v>0</v>
      </c>
      <c r="AD32" s="6">
        <f t="shared" si="4"/>
        <v>0</v>
      </c>
      <c r="AE32" s="6">
        <f t="shared" si="5"/>
        <v>0</v>
      </c>
      <c r="AF32" s="6">
        <f t="shared" si="6"/>
        <v>0</v>
      </c>
      <c r="AG32" s="6">
        <f t="shared" si="7"/>
        <v>0</v>
      </c>
      <c r="AH32" s="6">
        <f t="shared" si="8"/>
        <v>0</v>
      </c>
      <c r="AI32" s="20" t="s">
        <v>318</v>
      </c>
      <c r="AJ32" s="6">
        <f t="shared" si="9"/>
        <v>0</v>
      </c>
      <c r="AK32" s="6">
        <f t="shared" si="10"/>
        <v>0</v>
      </c>
      <c r="AL32" s="6">
        <f t="shared" si="11"/>
        <v>0</v>
      </c>
      <c r="AN32" s="6">
        <v>21</v>
      </c>
      <c r="AO32" s="6">
        <f>K32*0.493238434163701</f>
        <v>0</v>
      </c>
      <c r="AP32" s="6">
        <f>K32*(1-0.493238434163701)</f>
        <v>0</v>
      </c>
      <c r="AQ32" s="3" t="s">
        <v>456</v>
      </c>
      <c r="AV32" s="6">
        <f t="shared" si="12"/>
        <v>0</v>
      </c>
      <c r="AW32" s="6">
        <f t="shared" si="13"/>
        <v>0</v>
      </c>
      <c r="AX32" s="6">
        <f t="shared" si="14"/>
        <v>0</v>
      </c>
      <c r="AY32" s="3" t="s">
        <v>33</v>
      </c>
      <c r="AZ32" s="3" t="s">
        <v>33</v>
      </c>
      <c r="BA32" s="20" t="s">
        <v>360</v>
      </c>
      <c r="BC32" s="6">
        <f t="shared" si="15"/>
        <v>0</v>
      </c>
      <c r="BD32" s="6">
        <f t="shared" si="16"/>
        <v>0</v>
      </c>
      <c r="BE32" s="6">
        <v>0</v>
      </c>
      <c r="BF32" s="6">
        <f>32</f>
        <v>32</v>
      </c>
      <c r="BH32" s="6">
        <f t="shared" si="17"/>
        <v>0</v>
      </c>
      <c r="BI32" s="6">
        <f t="shared" si="18"/>
        <v>0</v>
      </c>
      <c r="BJ32" s="6">
        <f t="shared" si="19"/>
        <v>0</v>
      </c>
      <c r="BK32" s="6"/>
      <c r="BL32" s="6">
        <v>72</v>
      </c>
    </row>
    <row r="33" spans="1:64" ht="15" customHeight="1">
      <c r="A33" s="17" t="s">
        <v>380</v>
      </c>
      <c r="B33" s="28" t="s">
        <v>93</v>
      </c>
      <c r="C33" s="52" t="s">
        <v>421</v>
      </c>
      <c r="D33" s="52"/>
      <c r="E33" s="52"/>
      <c r="F33" s="52"/>
      <c r="G33" s="52"/>
      <c r="H33" s="52"/>
      <c r="I33" s="28" t="s">
        <v>117</v>
      </c>
      <c r="J33" s="6">
        <v>6</v>
      </c>
      <c r="K33" s="6">
        <v>0</v>
      </c>
      <c r="L33" s="6">
        <f t="shared" si="0"/>
        <v>0</v>
      </c>
      <c r="M33" s="2">
        <v>0.00012</v>
      </c>
      <c r="Z33" s="6">
        <f t="shared" si="1"/>
        <v>0</v>
      </c>
      <c r="AB33" s="6">
        <f t="shared" si="2"/>
        <v>0</v>
      </c>
      <c r="AC33" s="6">
        <f t="shared" si="3"/>
        <v>0</v>
      </c>
      <c r="AD33" s="6">
        <f t="shared" si="4"/>
        <v>0</v>
      </c>
      <c r="AE33" s="6">
        <f t="shared" si="5"/>
        <v>0</v>
      </c>
      <c r="AF33" s="6">
        <f t="shared" si="6"/>
        <v>0</v>
      </c>
      <c r="AG33" s="6">
        <f t="shared" si="7"/>
        <v>0</v>
      </c>
      <c r="AH33" s="6">
        <f t="shared" si="8"/>
        <v>0</v>
      </c>
      <c r="AI33" s="20" t="s">
        <v>318</v>
      </c>
      <c r="AJ33" s="6">
        <f t="shared" si="9"/>
        <v>0</v>
      </c>
      <c r="AK33" s="6">
        <f t="shared" si="10"/>
        <v>0</v>
      </c>
      <c r="AL33" s="6">
        <f t="shared" si="11"/>
        <v>0</v>
      </c>
      <c r="AN33" s="6">
        <v>21</v>
      </c>
      <c r="AO33" s="6">
        <f>K33*0.733211233211233</f>
        <v>0</v>
      </c>
      <c r="AP33" s="6">
        <f>K33*(1-0.733211233211233)</f>
        <v>0</v>
      </c>
      <c r="AQ33" s="3" t="s">
        <v>456</v>
      </c>
      <c r="AV33" s="6">
        <f t="shared" si="12"/>
        <v>0</v>
      </c>
      <c r="AW33" s="6">
        <f t="shared" si="13"/>
        <v>0</v>
      </c>
      <c r="AX33" s="6">
        <f t="shared" si="14"/>
        <v>0</v>
      </c>
      <c r="AY33" s="3" t="s">
        <v>33</v>
      </c>
      <c r="AZ33" s="3" t="s">
        <v>33</v>
      </c>
      <c r="BA33" s="20" t="s">
        <v>360</v>
      </c>
      <c r="BC33" s="6">
        <f t="shared" si="15"/>
        <v>0</v>
      </c>
      <c r="BD33" s="6">
        <f t="shared" si="16"/>
        <v>0</v>
      </c>
      <c r="BE33" s="6">
        <v>0</v>
      </c>
      <c r="BF33" s="6">
        <f>33</f>
        <v>33</v>
      </c>
      <c r="BH33" s="6">
        <f t="shared" si="17"/>
        <v>0</v>
      </c>
      <c r="BI33" s="6">
        <f t="shared" si="18"/>
        <v>0</v>
      </c>
      <c r="BJ33" s="6">
        <f t="shared" si="19"/>
        <v>0</v>
      </c>
      <c r="BK33" s="6"/>
      <c r="BL33" s="6">
        <v>72</v>
      </c>
    </row>
    <row r="34" spans="1:64" ht="15" customHeight="1">
      <c r="A34" s="17" t="s">
        <v>294</v>
      </c>
      <c r="B34" s="28" t="s">
        <v>168</v>
      </c>
      <c r="C34" s="52" t="s">
        <v>239</v>
      </c>
      <c r="D34" s="52"/>
      <c r="E34" s="52"/>
      <c r="F34" s="52"/>
      <c r="G34" s="52"/>
      <c r="H34" s="52"/>
      <c r="I34" s="28" t="s">
        <v>361</v>
      </c>
      <c r="J34" s="6">
        <v>1</v>
      </c>
      <c r="K34" s="6">
        <v>0</v>
      </c>
      <c r="L34" s="6">
        <f t="shared" si="0"/>
        <v>0</v>
      </c>
      <c r="M34" s="2">
        <v>0.00057</v>
      </c>
      <c r="Z34" s="6">
        <f t="shared" si="1"/>
        <v>0</v>
      </c>
      <c r="AB34" s="6">
        <f t="shared" si="2"/>
        <v>0</v>
      </c>
      <c r="AC34" s="6">
        <f t="shared" si="3"/>
        <v>0</v>
      </c>
      <c r="AD34" s="6">
        <f t="shared" si="4"/>
        <v>0</v>
      </c>
      <c r="AE34" s="6">
        <f t="shared" si="5"/>
        <v>0</v>
      </c>
      <c r="AF34" s="6">
        <f t="shared" si="6"/>
        <v>0</v>
      </c>
      <c r="AG34" s="6">
        <f t="shared" si="7"/>
        <v>0</v>
      </c>
      <c r="AH34" s="6">
        <f t="shared" si="8"/>
        <v>0</v>
      </c>
      <c r="AI34" s="20" t="s">
        <v>318</v>
      </c>
      <c r="AJ34" s="6">
        <f t="shared" si="9"/>
        <v>0</v>
      </c>
      <c r="AK34" s="6">
        <f t="shared" si="10"/>
        <v>0</v>
      </c>
      <c r="AL34" s="6">
        <f t="shared" si="11"/>
        <v>0</v>
      </c>
      <c r="AN34" s="6">
        <v>21</v>
      </c>
      <c r="AO34" s="6">
        <f>K34*0.662750988142292</f>
        <v>0</v>
      </c>
      <c r="AP34" s="6">
        <f>K34*(1-0.662750988142292)</f>
        <v>0</v>
      </c>
      <c r="AQ34" s="3" t="s">
        <v>456</v>
      </c>
      <c r="AV34" s="6">
        <f t="shared" si="12"/>
        <v>0</v>
      </c>
      <c r="AW34" s="6">
        <f t="shared" si="13"/>
        <v>0</v>
      </c>
      <c r="AX34" s="6">
        <f t="shared" si="14"/>
        <v>0</v>
      </c>
      <c r="AY34" s="3" t="s">
        <v>33</v>
      </c>
      <c r="AZ34" s="3" t="s">
        <v>33</v>
      </c>
      <c r="BA34" s="20" t="s">
        <v>360</v>
      </c>
      <c r="BC34" s="6">
        <f t="shared" si="15"/>
        <v>0</v>
      </c>
      <c r="BD34" s="6">
        <f t="shared" si="16"/>
        <v>0</v>
      </c>
      <c r="BE34" s="6">
        <v>0</v>
      </c>
      <c r="BF34" s="6">
        <f>34</f>
        <v>34</v>
      </c>
      <c r="BH34" s="6">
        <f t="shared" si="17"/>
        <v>0</v>
      </c>
      <c r="BI34" s="6">
        <f t="shared" si="18"/>
        <v>0</v>
      </c>
      <c r="BJ34" s="6">
        <f t="shared" si="19"/>
        <v>0</v>
      </c>
      <c r="BK34" s="6"/>
      <c r="BL34" s="6">
        <v>72</v>
      </c>
    </row>
    <row r="35" spans="1:64" ht="15" customHeight="1">
      <c r="A35" s="17" t="s">
        <v>24</v>
      </c>
      <c r="B35" s="28" t="s">
        <v>492</v>
      </c>
      <c r="C35" s="52" t="s">
        <v>176</v>
      </c>
      <c r="D35" s="52"/>
      <c r="E35" s="52"/>
      <c r="F35" s="52"/>
      <c r="G35" s="52"/>
      <c r="H35" s="52"/>
      <c r="I35" s="28" t="s">
        <v>361</v>
      </c>
      <c r="J35" s="6">
        <v>1</v>
      </c>
      <c r="K35" s="6">
        <v>0</v>
      </c>
      <c r="L35" s="6">
        <f t="shared" si="0"/>
        <v>0</v>
      </c>
      <c r="M35" s="2">
        <v>1E-05</v>
      </c>
      <c r="Z35" s="6">
        <f t="shared" si="1"/>
        <v>0</v>
      </c>
      <c r="AB35" s="6">
        <f t="shared" si="2"/>
        <v>0</v>
      </c>
      <c r="AC35" s="6">
        <f t="shared" si="3"/>
        <v>0</v>
      </c>
      <c r="AD35" s="6">
        <f t="shared" si="4"/>
        <v>0</v>
      </c>
      <c r="AE35" s="6">
        <f t="shared" si="5"/>
        <v>0</v>
      </c>
      <c r="AF35" s="6">
        <f t="shared" si="6"/>
        <v>0</v>
      </c>
      <c r="AG35" s="6">
        <f t="shared" si="7"/>
        <v>0</v>
      </c>
      <c r="AH35" s="6">
        <f t="shared" si="8"/>
        <v>0</v>
      </c>
      <c r="AI35" s="20" t="s">
        <v>318</v>
      </c>
      <c r="AJ35" s="6">
        <f t="shared" si="9"/>
        <v>0</v>
      </c>
      <c r="AK35" s="6">
        <f t="shared" si="10"/>
        <v>0</v>
      </c>
      <c r="AL35" s="6">
        <f t="shared" si="11"/>
        <v>0</v>
      </c>
      <c r="AN35" s="6">
        <v>21</v>
      </c>
      <c r="AO35" s="6">
        <f>K35*0.106393939393939</f>
        <v>0</v>
      </c>
      <c r="AP35" s="6">
        <f>K35*(1-0.106393939393939)</f>
        <v>0</v>
      </c>
      <c r="AQ35" s="3" t="s">
        <v>456</v>
      </c>
      <c r="AV35" s="6">
        <f t="shared" si="12"/>
        <v>0</v>
      </c>
      <c r="AW35" s="6">
        <f t="shared" si="13"/>
        <v>0</v>
      </c>
      <c r="AX35" s="6">
        <f t="shared" si="14"/>
        <v>0</v>
      </c>
      <c r="AY35" s="3" t="s">
        <v>33</v>
      </c>
      <c r="AZ35" s="3" t="s">
        <v>33</v>
      </c>
      <c r="BA35" s="20" t="s">
        <v>360</v>
      </c>
      <c r="BC35" s="6">
        <f t="shared" si="15"/>
        <v>0</v>
      </c>
      <c r="BD35" s="6">
        <f t="shared" si="16"/>
        <v>0</v>
      </c>
      <c r="BE35" s="6">
        <v>0</v>
      </c>
      <c r="BF35" s="6">
        <f>35</f>
        <v>35</v>
      </c>
      <c r="BH35" s="6">
        <f t="shared" si="17"/>
        <v>0</v>
      </c>
      <c r="BI35" s="6">
        <f t="shared" si="18"/>
        <v>0</v>
      </c>
      <c r="BJ35" s="6">
        <f t="shared" si="19"/>
        <v>0</v>
      </c>
      <c r="BK35" s="6"/>
      <c r="BL35" s="6">
        <v>72</v>
      </c>
    </row>
    <row r="36" spans="1:64" ht="15" customHeight="1">
      <c r="A36" s="17" t="s">
        <v>327</v>
      </c>
      <c r="B36" s="28" t="s">
        <v>467</v>
      </c>
      <c r="C36" s="52" t="s">
        <v>372</v>
      </c>
      <c r="D36" s="52"/>
      <c r="E36" s="52"/>
      <c r="F36" s="52"/>
      <c r="G36" s="52"/>
      <c r="H36" s="52"/>
      <c r="I36" s="28" t="s">
        <v>160</v>
      </c>
      <c r="J36" s="6">
        <v>1</v>
      </c>
      <c r="K36" s="6">
        <v>0</v>
      </c>
      <c r="L36" s="6">
        <f t="shared" si="0"/>
        <v>0</v>
      </c>
      <c r="M36" s="2">
        <v>0.00045</v>
      </c>
      <c r="Z36" s="6">
        <f t="shared" si="1"/>
        <v>0</v>
      </c>
      <c r="AB36" s="6">
        <f t="shared" si="2"/>
        <v>0</v>
      </c>
      <c r="AC36" s="6">
        <f t="shared" si="3"/>
        <v>0</v>
      </c>
      <c r="AD36" s="6">
        <f t="shared" si="4"/>
        <v>0</v>
      </c>
      <c r="AE36" s="6">
        <f t="shared" si="5"/>
        <v>0</v>
      </c>
      <c r="AF36" s="6">
        <f t="shared" si="6"/>
        <v>0</v>
      </c>
      <c r="AG36" s="6">
        <f t="shared" si="7"/>
        <v>0</v>
      </c>
      <c r="AH36" s="6">
        <f t="shared" si="8"/>
        <v>0</v>
      </c>
      <c r="AI36" s="20" t="s">
        <v>318</v>
      </c>
      <c r="AJ36" s="6">
        <f t="shared" si="9"/>
        <v>0</v>
      </c>
      <c r="AK36" s="6">
        <f t="shared" si="10"/>
        <v>0</v>
      </c>
      <c r="AL36" s="6">
        <f t="shared" si="11"/>
        <v>0</v>
      </c>
      <c r="AN36" s="6">
        <v>21</v>
      </c>
      <c r="AO36" s="6">
        <f>K36*0.0617261072261072</f>
        <v>0</v>
      </c>
      <c r="AP36" s="6">
        <f>K36*(1-0.0617261072261072)</f>
        <v>0</v>
      </c>
      <c r="AQ36" s="3" t="s">
        <v>456</v>
      </c>
      <c r="AV36" s="6">
        <f t="shared" si="12"/>
        <v>0</v>
      </c>
      <c r="AW36" s="6">
        <f t="shared" si="13"/>
        <v>0</v>
      </c>
      <c r="AX36" s="6">
        <f t="shared" si="14"/>
        <v>0</v>
      </c>
      <c r="AY36" s="3" t="s">
        <v>33</v>
      </c>
      <c r="AZ36" s="3" t="s">
        <v>33</v>
      </c>
      <c r="BA36" s="20" t="s">
        <v>360</v>
      </c>
      <c r="BC36" s="6">
        <f t="shared" si="15"/>
        <v>0</v>
      </c>
      <c r="BD36" s="6">
        <f t="shared" si="16"/>
        <v>0</v>
      </c>
      <c r="BE36" s="6">
        <v>0</v>
      </c>
      <c r="BF36" s="6">
        <f>36</f>
        <v>36</v>
      </c>
      <c r="BH36" s="6">
        <f t="shared" si="17"/>
        <v>0</v>
      </c>
      <c r="BI36" s="6">
        <f t="shared" si="18"/>
        <v>0</v>
      </c>
      <c r="BJ36" s="6">
        <f t="shared" si="19"/>
        <v>0</v>
      </c>
      <c r="BK36" s="6"/>
      <c r="BL36" s="6">
        <v>72</v>
      </c>
    </row>
    <row r="37" spans="1:64" ht="15" customHeight="1">
      <c r="A37" s="17" t="s">
        <v>440</v>
      </c>
      <c r="B37" s="28" t="s">
        <v>5</v>
      </c>
      <c r="C37" s="52" t="s">
        <v>30</v>
      </c>
      <c r="D37" s="52"/>
      <c r="E37" s="52"/>
      <c r="F37" s="52"/>
      <c r="G37" s="52"/>
      <c r="H37" s="52"/>
      <c r="I37" s="28" t="s">
        <v>160</v>
      </c>
      <c r="J37" s="6">
        <v>2</v>
      </c>
      <c r="K37" s="6">
        <v>0</v>
      </c>
      <c r="L37" s="6">
        <f t="shared" si="0"/>
        <v>0</v>
      </c>
      <c r="M37" s="2">
        <v>0.00141</v>
      </c>
      <c r="Z37" s="6">
        <f t="shared" si="1"/>
        <v>0</v>
      </c>
      <c r="AB37" s="6">
        <f t="shared" si="2"/>
        <v>0</v>
      </c>
      <c r="AC37" s="6">
        <f t="shared" si="3"/>
        <v>0</v>
      </c>
      <c r="AD37" s="6">
        <f t="shared" si="4"/>
        <v>0</v>
      </c>
      <c r="AE37" s="6">
        <f t="shared" si="5"/>
        <v>0</v>
      </c>
      <c r="AF37" s="6">
        <f t="shared" si="6"/>
        <v>0</v>
      </c>
      <c r="AG37" s="6">
        <f t="shared" si="7"/>
        <v>0</v>
      </c>
      <c r="AH37" s="6">
        <f t="shared" si="8"/>
        <v>0</v>
      </c>
      <c r="AI37" s="20" t="s">
        <v>318</v>
      </c>
      <c r="AJ37" s="6">
        <f t="shared" si="9"/>
        <v>0</v>
      </c>
      <c r="AK37" s="6">
        <f t="shared" si="10"/>
        <v>0</v>
      </c>
      <c r="AL37" s="6">
        <f t="shared" si="11"/>
        <v>0</v>
      </c>
      <c r="AN37" s="6">
        <v>21</v>
      </c>
      <c r="AO37" s="6">
        <f>K37*0.151434343434343</f>
        <v>0</v>
      </c>
      <c r="AP37" s="6">
        <f>K37*(1-0.151434343434343)</f>
        <v>0</v>
      </c>
      <c r="AQ37" s="3" t="s">
        <v>456</v>
      </c>
      <c r="AV37" s="6">
        <f t="shared" si="12"/>
        <v>0</v>
      </c>
      <c r="AW37" s="6">
        <f t="shared" si="13"/>
        <v>0</v>
      </c>
      <c r="AX37" s="6">
        <f t="shared" si="14"/>
        <v>0</v>
      </c>
      <c r="AY37" s="3" t="s">
        <v>33</v>
      </c>
      <c r="AZ37" s="3" t="s">
        <v>33</v>
      </c>
      <c r="BA37" s="20" t="s">
        <v>360</v>
      </c>
      <c r="BC37" s="6">
        <f t="shared" si="15"/>
        <v>0</v>
      </c>
      <c r="BD37" s="6">
        <f t="shared" si="16"/>
        <v>0</v>
      </c>
      <c r="BE37" s="6">
        <v>0</v>
      </c>
      <c r="BF37" s="6">
        <f>37</f>
        <v>37</v>
      </c>
      <c r="BH37" s="6">
        <f t="shared" si="17"/>
        <v>0</v>
      </c>
      <c r="BI37" s="6">
        <f t="shared" si="18"/>
        <v>0</v>
      </c>
      <c r="BJ37" s="6">
        <f t="shared" si="19"/>
        <v>0</v>
      </c>
      <c r="BK37" s="6"/>
      <c r="BL37" s="6">
        <v>72</v>
      </c>
    </row>
    <row r="38" spans="1:64" ht="15" customHeight="1">
      <c r="A38" s="17" t="s">
        <v>210</v>
      </c>
      <c r="B38" s="28" t="s">
        <v>273</v>
      </c>
      <c r="C38" s="52" t="s">
        <v>493</v>
      </c>
      <c r="D38" s="52"/>
      <c r="E38" s="52"/>
      <c r="F38" s="52"/>
      <c r="G38" s="52"/>
      <c r="H38" s="52"/>
      <c r="I38" s="28" t="s">
        <v>117</v>
      </c>
      <c r="J38" s="6">
        <v>1</v>
      </c>
      <c r="K38" s="6">
        <v>0</v>
      </c>
      <c r="L38" s="6">
        <f t="shared" si="0"/>
        <v>0</v>
      </c>
      <c r="M38" s="2">
        <v>0</v>
      </c>
      <c r="Z38" s="6">
        <f t="shared" si="1"/>
        <v>0</v>
      </c>
      <c r="AB38" s="6">
        <f t="shared" si="2"/>
        <v>0</v>
      </c>
      <c r="AC38" s="6">
        <f t="shared" si="3"/>
        <v>0</v>
      </c>
      <c r="AD38" s="6">
        <f t="shared" si="4"/>
        <v>0</v>
      </c>
      <c r="AE38" s="6">
        <f t="shared" si="5"/>
        <v>0</v>
      </c>
      <c r="AF38" s="6">
        <f t="shared" si="6"/>
        <v>0</v>
      </c>
      <c r="AG38" s="6">
        <f t="shared" si="7"/>
        <v>0</v>
      </c>
      <c r="AH38" s="6">
        <f t="shared" si="8"/>
        <v>0</v>
      </c>
      <c r="AI38" s="20" t="s">
        <v>318</v>
      </c>
      <c r="AJ38" s="6">
        <f t="shared" si="9"/>
        <v>0</v>
      </c>
      <c r="AK38" s="6">
        <f t="shared" si="10"/>
        <v>0</v>
      </c>
      <c r="AL38" s="6">
        <f t="shared" si="11"/>
        <v>0</v>
      </c>
      <c r="AN38" s="6">
        <v>21</v>
      </c>
      <c r="AO38" s="6">
        <f>K38*0</f>
        <v>0</v>
      </c>
      <c r="AP38" s="6">
        <f>K38*(1-0)</f>
        <v>0</v>
      </c>
      <c r="AQ38" s="3" t="s">
        <v>456</v>
      </c>
      <c r="AV38" s="6">
        <f t="shared" si="12"/>
        <v>0</v>
      </c>
      <c r="AW38" s="6">
        <f t="shared" si="13"/>
        <v>0</v>
      </c>
      <c r="AX38" s="6">
        <f t="shared" si="14"/>
        <v>0</v>
      </c>
      <c r="AY38" s="3" t="s">
        <v>33</v>
      </c>
      <c r="AZ38" s="3" t="s">
        <v>33</v>
      </c>
      <c r="BA38" s="20" t="s">
        <v>360</v>
      </c>
      <c r="BC38" s="6">
        <f t="shared" si="15"/>
        <v>0</v>
      </c>
      <c r="BD38" s="6">
        <f t="shared" si="16"/>
        <v>0</v>
      </c>
      <c r="BE38" s="6">
        <v>0</v>
      </c>
      <c r="BF38" s="6">
        <f>38</f>
        <v>38</v>
      </c>
      <c r="BH38" s="6">
        <f t="shared" si="17"/>
        <v>0</v>
      </c>
      <c r="BI38" s="6">
        <f t="shared" si="18"/>
        <v>0</v>
      </c>
      <c r="BJ38" s="6">
        <f t="shared" si="19"/>
        <v>0</v>
      </c>
      <c r="BK38" s="6"/>
      <c r="BL38" s="6">
        <v>72</v>
      </c>
    </row>
    <row r="39" spans="1:64" ht="15" customHeight="1">
      <c r="A39" s="17" t="s">
        <v>49</v>
      </c>
      <c r="B39" s="28" t="s">
        <v>136</v>
      </c>
      <c r="C39" s="52" t="s">
        <v>285</v>
      </c>
      <c r="D39" s="52"/>
      <c r="E39" s="52"/>
      <c r="F39" s="52"/>
      <c r="G39" s="52"/>
      <c r="H39" s="52"/>
      <c r="I39" s="28" t="s">
        <v>117</v>
      </c>
      <c r="J39" s="6">
        <v>1</v>
      </c>
      <c r="K39" s="6">
        <v>0</v>
      </c>
      <c r="L39" s="6">
        <f t="shared" si="0"/>
        <v>0</v>
      </c>
      <c r="M39" s="2">
        <v>0.00265</v>
      </c>
      <c r="Z39" s="6">
        <f t="shared" si="1"/>
        <v>0</v>
      </c>
      <c r="AB39" s="6">
        <f t="shared" si="2"/>
        <v>0</v>
      </c>
      <c r="AC39" s="6">
        <f t="shared" si="3"/>
        <v>0</v>
      </c>
      <c r="AD39" s="6">
        <f t="shared" si="4"/>
        <v>0</v>
      </c>
      <c r="AE39" s="6">
        <f t="shared" si="5"/>
        <v>0</v>
      </c>
      <c r="AF39" s="6">
        <f t="shared" si="6"/>
        <v>0</v>
      </c>
      <c r="AG39" s="6">
        <f t="shared" si="7"/>
        <v>0</v>
      </c>
      <c r="AH39" s="6">
        <f t="shared" si="8"/>
        <v>0</v>
      </c>
      <c r="AI39" s="20" t="s">
        <v>318</v>
      </c>
      <c r="AJ39" s="6">
        <f t="shared" si="9"/>
        <v>0</v>
      </c>
      <c r="AK39" s="6">
        <f t="shared" si="10"/>
        <v>0</v>
      </c>
      <c r="AL39" s="6">
        <f t="shared" si="11"/>
        <v>0</v>
      </c>
      <c r="AN39" s="6">
        <v>21</v>
      </c>
      <c r="AO39" s="6">
        <f>K39*0.624457478005865</f>
        <v>0</v>
      </c>
      <c r="AP39" s="6">
        <f>K39*(1-0.624457478005865)</f>
        <v>0</v>
      </c>
      <c r="AQ39" s="3" t="s">
        <v>456</v>
      </c>
      <c r="AV39" s="6">
        <f t="shared" si="12"/>
        <v>0</v>
      </c>
      <c r="AW39" s="6">
        <f t="shared" si="13"/>
        <v>0</v>
      </c>
      <c r="AX39" s="6">
        <f t="shared" si="14"/>
        <v>0</v>
      </c>
      <c r="AY39" s="3" t="s">
        <v>33</v>
      </c>
      <c r="AZ39" s="3" t="s">
        <v>33</v>
      </c>
      <c r="BA39" s="20" t="s">
        <v>360</v>
      </c>
      <c r="BC39" s="6">
        <f t="shared" si="15"/>
        <v>0</v>
      </c>
      <c r="BD39" s="6">
        <f t="shared" si="16"/>
        <v>0</v>
      </c>
      <c r="BE39" s="6">
        <v>0</v>
      </c>
      <c r="BF39" s="6">
        <f>39</f>
        <v>39</v>
      </c>
      <c r="BH39" s="6">
        <f t="shared" si="17"/>
        <v>0</v>
      </c>
      <c r="BI39" s="6">
        <f t="shared" si="18"/>
        <v>0</v>
      </c>
      <c r="BJ39" s="6">
        <f t="shared" si="19"/>
        <v>0</v>
      </c>
      <c r="BK39" s="6"/>
      <c r="BL39" s="6">
        <v>72</v>
      </c>
    </row>
    <row r="40" spans="1:64" ht="15" customHeight="1">
      <c r="A40" s="17" t="s">
        <v>116</v>
      </c>
      <c r="B40" s="28" t="s">
        <v>247</v>
      </c>
      <c r="C40" s="52" t="s">
        <v>490</v>
      </c>
      <c r="D40" s="52"/>
      <c r="E40" s="52"/>
      <c r="F40" s="52"/>
      <c r="G40" s="52"/>
      <c r="H40" s="52"/>
      <c r="I40" s="28" t="s">
        <v>117</v>
      </c>
      <c r="J40" s="6">
        <v>2</v>
      </c>
      <c r="K40" s="6">
        <v>0</v>
      </c>
      <c r="L40" s="6">
        <f t="shared" si="0"/>
        <v>0</v>
      </c>
      <c r="M40" s="2">
        <v>0.00022</v>
      </c>
      <c r="Z40" s="6">
        <f t="shared" si="1"/>
        <v>0</v>
      </c>
      <c r="AB40" s="6">
        <f t="shared" si="2"/>
        <v>0</v>
      </c>
      <c r="AC40" s="6">
        <f t="shared" si="3"/>
        <v>0</v>
      </c>
      <c r="AD40" s="6">
        <f t="shared" si="4"/>
        <v>0</v>
      </c>
      <c r="AE40" s="6">
        <f t="shared" si="5"/>
        <v>0</v>
      </c>
      <c r="AF40" s="6">
        <f t="shared" si="6"/>
        <v>0</v>
      </c>
      <c r="AG40" s="6">
        <f t="shared" si="7"/>
        <v>0</v>
      </c>
      <c r="AH40" s="6">
        <f t="shared" si="8"/>
        <v>0</v>
      </c>
      <c r="AI40" s="20" t="s">
        <v>318</v>
      </c>
      <c r="AJ40" s="6">
        <f t="shared" si="9"/>
        <v>0</v>
      </c>
      <c r="AK40" s="6">
        <f t="shared" si="10"/>
        <v>0</v>
      </c>
      <c r="AL40" s="6">
        <f t="shared" si="11"/>
        <v>0</v>
      </c>
      <c r="AN40" s="6">
        <v>21</v>
      </c>
      <c r="AO40" s="6">
        <f>K40*0.752342857142857</f>
        <v>0</v>
      </c>
      <c r="AP40" s="6">
        <f>K40*(1-0.752342857142857)</f>
        <v>0</v>
      </c>
      <c r="AQ40" s="3" t="s">
        <v>456</v>
      </c>
      <c r="AV40" s="6">
        <f t="shared" si="12"/>
        <v>0</v>
      </c>
      <c r="AW40" s="6">
        <f t="shared" si="13"/>
        <v>0</v>
      </c>
      <c r="AX40" s="6">
        <f t="shared" si="14"/>
        <v>0</v>
      </c>
      <c r="AY40" s="3" t="s">
        <v>33</v>
      </c>
      <c r="AZ40" s="3" t="s">
        <v>33</v>
      </c>
      <c r="BA40" s="20" t="s">
        <v>360</v>
      </c>
      <c r="BC40" s="6">
        <f t="shared" si="15"/>
        <v>0</v>
      </c>
      <c r="BD40" s="6">
        <f t="shared" si="16"/>
        <v>0</v>
      </c>
      <c r="BE40" s="6">
        <v>0</v>
      </c>
      <c r="BF40" s="6">
        <f>40</f>
        <v>40</v>
      </c>
      <c r="BH40" s="6">
        <f t="shared" si="17"/>
        <v>0</v>
      </c>
      <c r="BI40" s="6">
        <f t="shared" si="18"/>
        <v>0</v>
      </c>
      <c r="BJ40" s="6">
        <f t="shared" si="19"/>
        <v>0</v>
      </c>
      <c r="BK40" s="6"/>
      <c r="BL40" s="6">
        <v>72</v>
      </c>
    </row>
    <row r="41" spans="1:64" ht="15" customHeight="1">
      <c r="A41" s="17" t="s">
        <v>68</v>
      </c>
      <c r="B41" s="28" t="s">
        <v>17</v>
      </c>
      <c r="C41" s="52" t="s">
        <v>143</v>
      </c>
      <c r="D41" s="52"/>
      <c r="E41" s="52"/>
      <c r="F41" s="52"/>
      <c r="G41" s="52"/>
      <c r="H41" s="52"/>
      <c r="I41" s="28" t="s">
        <v>160</v>
      </c>
      <c r="J41" s="6">
        <v>1</v>
      </c>
      <c r="K41" s="6">
        <v>0</v>
      </c>
      <c r="L41" s="6">
        <f t="shared" si="0"/>
        <v>0</v>
      </c>
      <c r="M41" s="2">
        <v>0.01444</v>
      </c>
      <c r="Z41" s="6">
        <f t="shared" si="1"/>
        <v>0</v>
      </c>
      <c r="AB41" s="6">
        <f t="shared" si="2"/>
        <v>0</v>
      </c>
      <c r="AC41" s="6">
        <f t="shared" si="3"/>
        <v>0</v>
      </c>
      <c r="AD41" s="6">
        <f t="shared" si="4"/>
        <v>0</v>
      </c>
      <c r="AE41" s="6">
        <f t="shared" si="5"/>
        <v>0</v>
      </c>
      <c r="AF41" s="6">
        <f t="shared" si="6"/>
        <v>0</v>
      </c>
      <c r="AG41" s="6">
        <f t="shared" si="7"/>
        <v>0</v>
      </c>
      <c r="AH41" s="6">
        <f t="shared" si="8"/>
        <v>0</v>
      </c>
      <c r="AI41" s="20" t="s">
        <v>318</v>
      </c>
      <c r="AJ41" s="6">
        <f t="shared" si="9"/>
        <v>0</v>
      </c>
      <c r="AK41" s="6">
        <f t="shared" si="10"/>
        <v>0</v>
      </c>
      <c r="AL41" s="6">
        <f t="shared" si="11"/>
        <v>0</v>
      </c>
      <c r="AN41" s="6">
        <v>21</v>
      </c>
      <c r="AO41" s="6">
        <f>K41*0.897631432545202</f>
        <v>0</v>
      </c>
      <c r="AP41" s="6">
        <f>K41*(1-0.897631432545202)</f>
        <v>0</v>
      </c>
      <c r="AQ41" s="3" t="s">
        <v>456</v>
      </c>
      <c r="AV41" s="6">
        <f t="shared" si="12"/>
        <v>0</v>
      </c>
      <c r="AW41" s="6">
        <f t="shared" si="13"/>
        <v>0</v>
      </c>
      <c r="AX41" s="6">
        <f t="shared" si="14"/>
        <v>0</v>
      </c>
      <c r="AY41" s="3" t="s">
        <v>33</v>
      </c>
      <c r="AZ41" s="3" t="s">
        <v>33</v>
      </c>
      <c r="BA41" s="20" t="s">
        <v>360</v>
      </c>
      <c r="BC41" s="6">
        <f t="shared" si="15"/>
        <v>0</v>
      </c>
      <c r="BD41" s="6">
        <f t="shared" si="16"/>
        <v>0</v>
      </c>
      <c r="BE41" s="6">
        <v>0</v>
      </c>
      <c r="BF41" s="6">
        <f>41</f>
        <v>41</v>
      </c>
      <c r="BH41" s="6">
        <f t="shared" si="17"/>
        <v>0</v>
      </c>
      <c r="BI41" s="6">
        <f t="shared" si="18"/>
        <v>0</v>
      </c>
      <c r="BJ41" s="6">
        <f t="shared" si="19"/>
        <v>0</v>
      </c>
      <c r="BK41" s="6"/>
      <c r="BL41" s="6">
        <v>72</v>
      </c>
    </row>
    <row r="42" spans="1:64" ht="15" customHeight="1">
      <c r="A42" s="17" t="s">
        <v>446</v>
      </c>
      <c r="B42" s="28" t="s">
        <v>481</v>
      </c>
      <c r="C42" s="52" t="s">
        <v>358</v>
      </c>
      <c r="D42" s="52"/>
      <c r="E42" s="52"/>
      <c r="F42" s="52"/>
      <c r="G42" s="52"/>
      <c r="H42" s="52"/>
      <c r="I42" s="28" t="s">
        <v>117</v>
      </c>
      <c r="J42" s="6">
        <v>1</v>
      </c>
      <c r="K42" s="6">
        <v>0</v>
      </c>
      <c r="L42" s="6">
        <f t="shared" si="0"/>
        <v>0</v>
      </c>
      <c r="M42" s="2">
        <v>0.0009</v>
      </c>
      <c r="Z42" s="6">
        <f t="shared" si="1"/>
        <v>0</v>
      </c>
      <c r="AB42" s="6">
        <f t="shared" si="2"/>
        <v>0</v>
      </c>
      <c r="AC42" s="6">
        <f t="shared" si="3"/>
        <v>0</v>
      </c>
      <c r="AD42" s="6">
        <f t="shared" si="4"/>
        <v>0</v>
      </c>
      <c r="AE42" s="6">
        <f t="shared" si="5"/>
        <v>0</v>
      </c>
      <c r="AF42" s="6">
        <f t="shared" si="6"/>
        <v>0</v>
      </c>
      <c r="AG42" s="6">
        <f t="shared" si="7"/>
        <v>0</v>
      </c>
      <c r="AH42" s="6">
        <f t="shared" si="8"/>
        <v>0</v>
      </c>
      <c r="AI42" s="20" t="s">
        <v>318</v>
      </c>
      <c r="AJ42" s="6">
        <f t="shared" si="9"/>
        <v>0</v>
      </c>
      <c r="AK42" s="6">
        <f t="shared" si="10"/>
        <v>0</v>
      </c>
      <c r="AL42" s="6">
        <f t="shared" si="11"/>
        <v>0</v>
      </c>
      <c r="AN42" s="6">
        <v>21</v>
      </c>
      <c r="AO42" s="6">
        <f>K42*0.938285984848485</f>
        <v>0</v>
      </c>
      <c r="AP42" s="6">
        <f>K42*(1-0.938285984848485)</f>
        <v>0</v>
      </c>
      <c r="AQ42" s="3" t="s">
        <v>456</v>
      </c>
      <c r="AV42" s="6">
        <f t="shared" si="12"/>
        <v>0</v>
      </c>
      <c r="AW42" s="6">
        <f t="shared" si="13"/>
        <v>0</v>
      </c>
      <c r="AX42" s="6">
        <f t="shared" si="14"/>
        <v>0</v>
      </c>
      <c r="AY42" s="3" t="s">
        <v>33</v>
      </c>
      <c r="AZ42" s="3" t="s">
        <v>33</v>
      </c>
      <c r="BA42" s="20" t="s">
        <v>360</v>
      </c>
      <c r="BC42" s="6">
        <f t="shared" si="15"/>
        <v>0</v>
      </c>
      <c r="BD42" s="6">
        <f t="shared" si="16"/>
        <v>0</v>
      </c>
      <c r="BE42" s="6">
        <v>0</v>
      </c>
      <c r="BF42" s="6">
        <f>42</f>
        <v>42</v>
      </c>
      <c r="BH42" s="6">
        <f t="shared" si="17"/>
        <v>0</v>
      </c>
      <c r="BI42" s="6">
        <f t="shared" si="18"/>
        <v>0</v>
      </c>
      <c r="BJ42" s="6">
        <f t="shared" si="19"/>
        <v>0</v>
      </c>
      <c r="BK42" s="6"/>
      <c r="BL42" s="6">
        <v>72</v>
      </c>
    </row>
    <row r="43" spans="1:64" ht="15" customHeight="1">
      <c r="A43" s="17" t="s">
        <v>496</v>
      </c>
      <c r="B43" s="28" t="s">
        <v>10</v>
      </c>
      <c r="C43" s="52" t="s">
        <v>185</v>
      </c>
      <c r="D43" s="52"/>
      <c r="E43" s="52"/>
      <c r="F43" s="52"/>
      <c r="G43" s="52"/>
      <c r="H43" s="52"/>
      <c r="I43" s="28" t="s">
        <v>117</v>
      </c>
      <c r="J43" s="6">
        <v>1</v>
      </c>
      <c r="K43" s="6">
        <v>0</v>
      </c>
      <c r="L43" s="6">
        <f t="shared" si="0"/>
        <v>0</v>
      </c>
      <c r="M43" s="2">
        <v>0.00124</v>
      </c>
      <c r="Z43" s="6">
        <f t="shared" si="1"/>
        <v>0</v>
      </c>
      <c r="AB43" s="6">
        <f t="shared" si="2"/>
        <v>0</v>
      </c>
      <c r="AC43" s="6">
        <f t="shared" si="3"/>
        <v>0</v>
      </c>
      <c r="AD43" s="6">
        <f t="shared" si="4"/>
        <v>0</v>
      </c>
      <c r="AE43" s="6">
        <f t="shared" si="5"/>
        <v>0</v>
      </c>
      <c r="AF43" s="6">
        <f t="shared" si="6"/>
        <v>0</v>
      </c>
      <c r="AG43" s="6">
        <f t="shared" si="7"/>
        <v>0</v>
      </c>
      <c r="AH43" s="6">
        <f t="shared" si="8"/>
        <v>0</v>
      </c>
      <c r="AI43" s="20" t="s">
        <v>318</v>
      </c>
      <c r="AJ43" s="6">
        <f t="shared" si="9"/>
        <v>0</v>
      </c>
      <c r="AK43" s="6">
        <f t="shared" si="10"/>
        <v>0</v>
      </c>
      <c r="AL43" s="6">
        <f t="shared" si="11"/>
        <v>0</v>
      </c>
      <c r="AN43" s="6">
        <v>21</v>
      </c>
      <c r="AO43" s="6">
        <f>K43*0.942701754385965</f>
        <v>0</v>
      </c>
      <c r="AP43" s="6">
        <f>K43*(1-0.942701754385965)</f>
        <v>0</v>
      </c>
      <c r="AQ43" s="3" t="s">
        <v>456</v>
      </c>
      <c r="AV43" s="6">
        <f t="shared" si="12"/>
        <v>0</v>
      </c>
      <c r="AW43" s="6">
        <f t="shared" si="13"/>
        <v>0</v>
      </c>
      <c r="AX43" s="6">
        <f t="shared" si="14"/>
        <v>0</v>
      </c>
      <c r="AY43" s="3" t="s">
        <v>33</v>
      </c>
      <c r="AZ43" s="3" t="s">
        <v>33</v>
      </c>
      <c r="BA43" s="20" t="s">
        <v>360</v>
      </c>
      <c r="BC43" s="6">
        <f t="shared" si="15"/>
        <v>0</v>
      </c>
      <c r="BD43" s="6">
        <f t="shared" si="16"/>
        <v>0</v>
      </c>
      <c r="BE43" s="6">
        <v>0</v>
      </c>
      <c r="BF43" s="6">
        <f>43</f>
        <v>43</v>
      </c>
      <c r="BH43" s="6">
        <f t="shared" si="17"/>
        <v>0</v>
      </c>
      <c r="BI43" s="6">
        <f t="shared" si="18"/>
        <v>0</v>
      </c>
      <c r="BJ43" s="6">
        <f t="shared" si="19"/>
        <v>0</v>
      </c>
      <c r="BK43" s="6"/>
      <c r="BL43" s="6">
        <v>72</v>
      </c>
    </row>
    <row r="44" spans="1:64" ht="15" customHeight="1">
      <c r="A44" s="17" t="s">
        <v>40</v>
      </c>
      <c r="B44" s="28" t="s">
        <v>128</v>
      </c>
      <c r="C44" s="52" t="s">
        <v>183</v>
      </c>
      <c r="D44" s="52"/>
      <c r="E44" s="52"/>
      <c r="F44" s="52"/>
      <c r="G44" s="52"/>
      <c r="H44" s="52"/>
      <c r="I44" s="28" t="s">
        <v>117</v>
      </c>
      <c r="J44" s="6">
        <v>1</v>
      </c>
      <c r="K44" s="6">
        <v>0</v>
      </c>
      <c r="L44" s="6">
        <f t="shared" si="0"/>
        <v>0</v>
      </c>
      <c r="M44" s="2">
        <v>0.0004</v>
      </c>
      <c r="Z44" s="6">
        <f t="shared" si="1"/>
        <v>0</v>
      </c>
      <c r="AB44" s="6">
        <f t="shared" si="2"/>
        <v>0</v>
      </c>
      <c r="AC44" s="6">
        <f t="shared" si="3"/>
        <v>0</v>
      </c>
      <c r="AD44" s="6">
        <f t="shared" si="4"/>
        <v>0</v>
      </c>
      <c r="AE44" s="6">
        <f t="shared" si="5"/>
        <v>0</v>
      </c>
      <c r="AF44" s="6">
        <f t="shared" si="6"/>
        <v>0</v>
      </c>
      <c r="AG44" s="6">
        <f t="shared" si="7"/>
        <v>0</v>
      </c>
      <c r="AH44" s="6">
        <f t="shared" si="8"/>
        <v>0</v>
      </c>
      <c r="AI44" s="20" t="s">
        <v>318</v>
      </c>
      <c r="AJ44" s="6">
        <f t="shared" si="9"/>
        <v>0</v>
      </c>
      <c r="AK44" s="6">
        <f t="shared" si="10"/>
        <v>0</v>
      </c>
      <c r="AL44" s="6">
        <f t="shared" si="11"/>
        <v>0</v>
      </c>
      <c r="AN44" s="6">
        <v>21</v>
      </c>
      <c r="AO44" s="6">
        <f>K44*1</f>
        <v>0</v>
      </c>
      <c r="AP44" s="6">
        <f>K44*(1-1)</f>
        <v>0</v>
      </c>
      <c r="AQ44" s="3" t="s">
        <v>456</v>
      </c>
      <c r="AV44" s="6">
        <f t="shared" si="12"/>
        <v>0</v>
      </c>
      <c r="AW44" s="6">
        <f t="shared" si="13"/>
        <v>0</v>
      </c>
      <c r="AX44" s="6">
        <f t="shared" si="14"/>
        <v>0</v>
      </c>
      <c r="AY44" s="3" t="s">
        <v>33</v>
      </c>
      <c r="AZ44" s="3" t="s">
        <v>33</v>
      </c>
      <c r="BA44" s="20" t="s">
        <v>360</v>
      </c>
      <c r="BC44" s="6">
        <f t="shared" si="15"/>
        <v>0</v>
      </c>
      <c r="BD44" s="6">
        <f t="shared" si="16"/>
        <v>0</v>
      </c>
      <c r="BE44" s="6">
        <v>0</v>
      </c>
      <c r="BF44" s="6">
        <f>44</f>
        <v>44</v>
      </c>
      <c r="BH44" s="6">
        <f t="shared" si="17"/>
        <v>0</v>
      </c>
      <c r="BI44" s="6">
        <f t="shared" si="18"/>
        <v>0</v>
      </c>
      <c r="BJ44" s="6">
        <f t="shared" si="19"/>
        <v>0</v>
      </c>
      <c r="BK44" s="6"/>
      <c r="BL44" s="6">
        <v>72</v>
      </c>
    </row>
    <row r="45" spans="1:64" ht="15" customHeight="1">
      <c r="A45" s="17" t="s">
        <v>300</v>
      </c>
      <c r="B45" s="28" t="s">
        <v>79</v>
      </c>
      <c r="C45" s="52" t="s">
        <v>341</v>
      </c>
      <c r="D45" s="52"/>
      <c r="E45" s="52"/>
      <c r="F45" s="52"/>
      <c r="G45" s="52"/>
      <c r="H45" s="52"/>
      <c r="I45" s="28" t="s">
        <v>117</v>
      </c>
      <c r="J45" s="6">
        <v>1</v>
      </c>
      <c r="K45" s="6">
        <v>0</v>
      </c>
      <c r="L45" s="6">
        <f t="shared" si="0"/>
        <v>0</v>
      </c>
      <c r="M45" s="2">
        <v>0.0018</v>
      </c>
      <c r="Z45" s="6">
        <f t="shared" si="1"/>
        <v>0</v>
      </c>
      <c r="AB45" s="6">
        <f t="shared" si="2"/>
        <v>0</v>
      </c>
      <c r="AC45" s="6">
        <f t="shared" si="3"/>
        <v>0</v>
      </c>
      <c r="AD45" s="6">
        <f t="shared" si="4"/>
        <v>0</v>
      </c>
      <c r="AE45" s="6">
        <f t="shared" si="5"/>
        <v>0</v>
      </c>
      <c r="AF45" s="6">
        <f t="shared" si="6"/>
        <v>0</v>
      </c>
      <c r="AG45" s="6">
        <f t="shared" si="7"/>
        <v>0</v>
      </c>
      <c r="AH45" s="6">
        <f t="shared" si="8"/>
        <v>0</v>
      </c>
      <c r="AI45" s="20" t="s">
        <v>318</v>
      </c>
      <c r="AJ45" s="6">
        <f t="shared" si="9"/>
        <v>0</v>
      </c>
      <c r="AK45" s="6">
        <f t="shared" si="10"/>
        <v>0</v>
      </c>
      <c r="AL45" s="6">
        <f t="shared" si="11"/>
        <v>0</v>
      </c>
      <c r="AN45" s="6">
        <v>21</v>
      </c>
      <c r="AO45" s="6">
        <f>K45*0.464274380165289</f>
        <v>0</v>
      </c>
      <c r="AP45" s="6">
        <f>K45*(1-0.464274380165289)</f>
        <v>0</v>
      </c>
      <c r="AQ45" s="3" t="s">
        <v>456</v>
      </c>
      <c r="AV45" s="6">
        <f t="shared" si="12"/>
        <v>0</v>
      </c>
      <c r="AW45" s="6">
        <f t="shared" si="13"/>
        <v>0</v>
      </c>
      <c r="AX45" s="6">
        <f t="shared" si="14"/>
        <v>0</v>
      </c>
      <c r="AY45" s="3" t="s">
        <v>33</v>
      </c>
      <c r="AZ45" s="3" t="s">
        <v>33</v>
      </c>
      <c r="BA45" s="20" t="s">
        <v>360</v>
      </c>
      <c r="BC45" s="6">
        <f t="shared" si="15"/>
        <v>0</v>
      </c>
      <c r="BD45" s="6">
        <f t="shared" si="16"/>
        <v>0</v>
      </c>
      <c r="BE45" s="6">
        <v>0</v>
      </c>
      <c r="BF45" s="6">
        <f>45</f>
        <v>45</v>
      </c>
      <c r="BH45" s="6">
        <f t="shared" si="17"/>
        <v>0</v>
      </c>
      <c r="BI45" s="6">
        <f t="shared" si="18"/>
        <v>0</v>
      </c>
      <c r="BJ45" s="6">
        <f t="shared" si="19"/>
        <v>0</v>
      </c>
      <c r="BK45" s="6"/>
      <c r="BL45" s="6">
        <v>72</v>
      </c>
    </row>
    <row r="46" spans="1:64" ht="15" customHeight="1">
      <c r="A46" s="17" t="s">
        <v>276</v>
      </c>
      <c r="B46" s="28" t="s">
        <v>214</v>
      </c>
      <c r="C46" s="52" t="s">
        <v>301</v>
      </c>
      <c r="D46" s="52"/>
      <c r="E46" s="52"/>
      <c r="F46" s="52"/>
      <c r="G46" s="52"/>
      <c r="H46" s="52"/>
      <c r="I46" s="28" t="s">
        <v>160</v>
      </c>
      <c r="J46" s="6">
        <v>1</v>
      </c>
      <c r="K46" s="6">
        <v>0</v>
      </c>
      <c r="L46" s="6">
        <f t="shared" si="0"/>
        <v>0</v>
      </c>
      <c r="M46" s="2">
        <v>0</v>
      </c>
      <c r="Z46" s="6">
        <f t="shared" si="1"/>
        <v>0</v>
      </c>
      <c r="AB46" s="6">
        <f t="shared" si="2"/>
        <v>0</v>
      </c>
      <c r="AC46" s="6">
        <f t="shared" si="3"/>
        <v>0</v>
      </c>
      <c r="AD46" s="6">
        <f t="shared" si="4"/>
        <v>0</v>
      </c>
      <c r="AE46" s="6">
        <f t="shared" si="5"/>
        <v>0</v>
      </c>
      <c r="AF46" s="6">
        <f t="shared" si="6"/>
        <v>0</v>
      </c>
      <c r="AG46" s="6">
        <f t="shared" si="7"/>
        <v>0</v>
      </c>
      <c r="AH46" s="6">
        <f t="shared" si="8"/>
        <v>0</v>
      </c>
      <c r="AI46" s="20" t="s">
        <v>318</v>
      </c>
      <c r="AJ46" s="6">
        <f t="shared" si="9"/>
        <v>0</v>
      </c>
      <c r="AK46" s="6">
        <f t="shared" si="10"/>
        <v>0</v>
      </c>
      <c r="AL46" s="6">
        <f t="shared" si="11"/>
        <v>0</v>
      </c>
      <c r="AN46" s="6">
        <v>21</v>
      </c>
      <c r="AO46" s="6">
        <f>K46*0</f>
        <v>0</v>
      </c>
      <c r="AP46" s="6">
        <f>K46*(1-0)</f>
        <v>0</v>
      </c>
      <c r="AQ46" s="3" t="s">
        <v>456</v>
      </c>
      <c r="AV46" s="6">
        <f t="shared" si="12"/>
        <v>0</v>
      </c>
      <c r="AW46" s="6">
        <f t="shared" si="13"/>
        <v>0</v>
      </c>
      <c r="AX46" s="6">
        <f t="shared" si="14"/>
        <v>0</v>
      </c>
      <c r="AY46" s="3" t="s">
        <v>33</v>
      </c>
      <c r="AZ46" s="3" t="s">
        <v>33</v>
      </c>
      <c r="BA46" s="20" t="s">
        <v>360</v>
      </c>
      <c r="BC46" s="6">
        <f t="shared" si="15"/>
        <v>0</v>
      </c>
      <c r="BD46" s="6">
        <f t="shared" si="16"/>
        <v>0</v>
      </c>
      <c r="BE46" s="6">
        <v>0</v>
      </c>
      <c r="BF46" s="6">
        <f>46</f>
        <v>46</v>
      </c>
      <c r="BH46" s="6">
        <f t="shared" si="17"/>
        <v>0</v>
      </c>
      <c r="BI46" s="6">
        <f t="shared" si="18"/>
        <v>0</v>
      </c>
      <c r="BJ46" s="6">
        <f t="shared" si="19"/>
        <v>0</v>
      </c>
      <c r="BK46" s="6"/>
      <c r="BL46" s="6">
        <v>72</v>
      </c>
    </row>
    <row r="47" spans="1:64" ht="15" customHeight="1">
      <c r="A47" s="17" t="s">
        <v>397</v>
      </c>
      <c r="B47" s="28" t="s">
        <v>115</v>
      </c>
      <c r="C47" s="52" t="s">
        <v>231</v>
      </c>
      <c r="D47" s="52"/>
      <c r="E47" s="52"/>
      <c r="F47" s="52"/>
      <c r="G47" s="52"/>
      <c r="H47" s="52"/>
      <c r="I47" s="28" t="s">
        <v>117</v>
      </c>
      <c r="J47" s="6">
        <v>1</v>
      </c>
      <c r="K47" s="6">
        <v>0</v>
      </c>
      <c r="L47" s="6">
        <f t="shared" si="0"/>
        <v>0</v>
      </c>
      <c r="M47" s="2">
        <v>0</v>
      </c>
      <c r="Z47" s="6">
        <f t="shared" si="1"/>
        <v>0</v>
      </c>
      <c r="AB47" s="6">
        <f t="shared" si="2"/>
        <v>0</v>
      </c>
      <c r="AC47" s="6">
        <f t="shared" si="3"/>
        <v>0</v>
      </c>
      <c r="AD47" s="6">
        <f t="shared" si="4"/>
        <v>0</v>
      </c>
      <c r="AE47" s="6">
        <f t="shared" si="5"/>
        <v>0</v>
      </c>
      <c r="AF47" s="6">
        <f t="shared" si="6"/>
        <v>0</v>
      </c>
      <c r="AG47" s="6">
        <f t="shared" si="7"/>
        <v>0</v>
      </c>
      <c r="AH47" s="6">
        <f t="shared" si="8"/>
        <v>0</v>
      </c>
      <c r="AI47" s="20" t="s">
        <v>318</v>
      </c>
      <c r="AJ47" s="6">
        <f t="shared" si="9"/>
        <v>0</v>
      </c>
      <c r="AK47" s="6">
        <f t="shared" si="10"/>
        <v>0</v>
      </c>
      <c r="AL47" s="6">
        <f t="shared" si="11"/>
        <v>0</v>
      </c>
      <c r="AN47" s="6">
        <v>21</v>
      </c>
      <c r="AO47" s="6">
        <f>K47*0</f>
        <v>0</v>
      </c>
      <c r="AP47" s="6">
        <f>K47*(1-0)</f>
        <v>0</v>
      </c>
      <c r="AQ47" s="3" t="s">
        <v>456</v>
      </c>
      <c r="AV47" s="6">
        <f t="shared" si="12"/>
        <v>0</v>
      </c>
      <c r="AW47" s="6">
        <f t="shared" si="13"/>
        <v>0</v>
      </c>
      <c r="AX47" s="6">
        <f t="shared" si="14"/>
        <v>0</v>
      </c>
      <c r="AY47" s="3" t="s">
        <v>33</v>
      </c>
      <c r="AZ47" s="3" t="s">
        <v>33</v>
      </c>
      <c r="BA47" s="20" t="s">
        <v>360</v>
      </c>
      <c r="BC47" s="6">
        <f t="shared" si="15"/>
        <v>0</v>
      </c>
      <c r="BD47" s="6">
        <f t="shared" si="16"/>
        <v>0</v>
      </c>
      <c r="BE47" s="6">
        <v>0</v>
      </c>
      <c r="BF47" s="6">
        <f>47</f>
        <v>47</v>
      </c>
      <c r="BH47" s="6">
        <f t="shared" si="17"/>
        <v>0</v>
      </c>
      <c r="BI47" s="6">
        <f t="shared" si="18"/>
        <v>0</v>
      </c>
      <c r="BJ47" s="6">
        <f t="shared" si="19"/>
        <v>0</v>
      </c>
      <c r="BK47" s="6"/>
      <c r="BL47" s="6">
        <v>72</v>
      </c>
    </row>
    <row r="48" spans="1:64" ht="15" customHeight="1">
      <c r="A48" s="17" t="s">
        <v>100</v>
      </c>
      <c r="B48" s="28" t="s">
        <v>287</v>
      </c>
      <c r="C48" s="52" t="s">
        <v>96</v>
      </c>
      <c r="D48" s="52"/>
      <c r="E48" s="52"/>
      <c r="F48" s="52"/>
      <c r="G48" s="52"/>
      <c r="H48" s="52"/>
      <c r="I48" s="28" t="s">
        <v>160</v>
      </c>
      <c r="J48" s="6">
        <v>4</v>
      </c>
      <c r="K48" s="6">
        <v>0</v>
      </c>
      <c r="L48" s="6">
        <f t="shared" si="0"/>
        <v>0</v>
      </c>
      <c r="M48" s="2">
        <v>0.00024</v>
      </c>
      <c r="Z48" s="6">
        <f t="shared" si="1"/>
        <v>0</v>
      </c>
      <c r="AB48" s="6">
        <f t="shared" si="2"/>
        <v>0</v>
      </c>
      <c r="AC48" s="6">
        <f t="shared" si="3"/>
        <v>0</v>
      </c>
      <c r="AD48" s="6">
        <f t="shared" si="4"/>
        <v>0</v>
      </c>
      <c r="AE48" s="6">
        <f t="shared" si="5"/>
        <v>0</v>
      </c>
      <c r="AF48" s="6">
        <f t="shared" si="6"/>
        <v>0</v>
      </c>
      <c r="AG48" s="6">
        <f t="shared" si="7"/>
        <v>0</v>
      </c>
      <c r="AH48" s="6">
        <f t="shared" si="8"/>
        <v>0</v>
      </c>
      <c r="AI48" s="20" t="s">
        <v>318</v>
      </c>
      <c r="AJ48" s="6">
        <f t="shared" si="9"/>
        <v>0</v>
      </c>
      <c r="AK48" s="6">
        <f t="shared" si="10"/>
        <v>0</v>
      </c>
      <c r="AL48" s="6">
        <f t="shared" si="11"/>
        <v>0</v>
      </c>
      <c r="AN48" s="6">
        <v>21</v>
      </c>
      <c r="AO48" s="6">
        <f>K48*0.783630769230769</f>
        <v>0</v>
      </c>
      <c r="AP48" s="6">
        <f>K48*(1-0.783630769230769)</f>
        <v>0</v>
      </c>
      <c r="AQ48" s="3" t="s">
        <v>456</v>
      </c>
      <c r="AV48" s="6">
        <f t="shared" si="12"/>
        <v>0</v>
      </c>
      <c r="AW48" s="6">
        <f t="shared" si="13"/>
        <v>0</v>
      </c>
      <c r="AX48" s="6">
        <f t="shared" si="14"/>
        <v>0</v>
      </c>
      <c r="AY48" s="3" t="s">
        <v>33</v>
      </c>
      <c r="AZ48" s="3" t="s">
        <v>33</v>
      </c>
      <c r="BA48" s="20" t="s">
        <v>360</v>
      </c>
      <c r="BC48" s="6">
        <f t="shared" si="15"/>
        <v>0</v>
      </c>
      <c r="BD48" s="6">
        <f t="shared" si="16"/>
        <v>0</v>
      </c>
      <c r="BE48" s="6">
        <v>0</v>
      </c>
      <c r="BF48" s="6">
        <f>48</f>
        <v>48</v>
      </c>
      <c r="BH48" s="6">
        <f t="shared" si="17"/>
        <v>0</v>
      </c>
      <c r="BI48" s="6">
        <f t="shared" si="18"/>
        <v>0</v>
      </c>
      <c r="BJ48" s="6">
        <f t="shared" si="19"/>
        <v>0</v>
      </c>
      <c r="BK48" s="6"/>
      <c r="BL48" s="6">
        <v>72</v>
      </c>
    </row>
    <row r="49" spans="1:64" ht="15" customHeight="1">
      <c r="A49" s="17" t="s">
        <v>508</v>
      </c>
      <c r="B49" s="28" t="s">
        <v>20</v>
      </c>
      <c r="C49" s="52" t="s">
        <v>255</v>
      </c>
      <c r="D49" s="52"/>
      <c r="E49" s="52"/>
      <c r="F49" s="52"/>
      <c r="G49" s="52"/>
      <c r="H49" s="52"/>
      <c r="I49" s="28" t="s">
        <v>160</v>
      </c>
      <c r="J49" s="6">
        <v>3</v>
      </c>
      <c r="K49" s="6">
        <v>0</v>
      </c>
      <c r="L49" s="6">
        <f t="shared" si="0"/>
        <v>0</v>
      </c>
      <c r="M49" s="2">
        <v>8E-05</v>
      </c>
      <c r="Z49" s="6">
        <f t="shared" si="1"/>
        <v>0</v>
      </c>
      <c r="AB49" s="6">
        <f t="shared" si="2"/>
        <v>0</v>
      </c>
      <c r="AC49" s="6">
        <f t="shared" si="3"/>
        <v>0</v>
      </c>
      <c r="AD49" s="6">
        <f t="shared" si="4"/>
        <v>0</v>
      </c>
      <c r="AE49" s="6">
        <f t="shared" si="5"/>
        <v>0</v>
      </c>
      <c r="AF49" s="6">
        <f t="shared" si="6"/>
        <v>0</v>
      </c>
      <c r="AG49" s="6">
        <f t="shared" si="7"/>
        <v>0</v>
      </c>
      <c r="AH49" s="6">
        <f t="shared" si="8"/>
        <v>0</v>
      </c>
      <c r="AI49" s="20" t="s">
        <v>318</v>
      </c>
      <c r="AJ49" s="6">
        <f t="shared" si="9"/>
        <v>0</v>
      </c>
      <c r="AK49" s="6">
        <f t="shared" si="10"/>
        <v>0</v>
      </c>
      <c r="AL49" s="6">
        <f t="shared" si="11"/>
        <v>0</v>
      </c>
      <c r="AN49" s="6">
        <v>21</v>
      </c>
      <c r="AO49" s="6">
        <f>K49*0.334708624708625</f>
        <v>0</v>
      </c>
      <c r="AP49" s="6">
        <f>K49*(1-0.334708624708625)</f>
        <v>0</v>
      </c>
      <c r="AQ49" s="3" t="s">
        <v>456</v>
      </c>
      <c r="AV49" s="6">
        <f t="shared" si="12"/>
        <v>0</v>
      </c>
      <c r="AW49" s="6">
        <f t="shared" si="13"/>
        <v>0</v>
      </c>
      <c r="AX49" s="6">
        <f t="shared" si="14"/>
        <v>0</v>
      </c>
      <c r="AY49" s="3" t="s">
        <v>33</v>
      </c>
      <c r="AZ49" s="3" t="s">
        <v>33</v>
      </c>
      <c r="BA49" s="20" t="s">
        <v>360</v>
      </c>
      <c r="BC49" s="6">
        <f t="shared" si="15"/>
        <v>0</v>
      </c>
      <c r="BD49" s="6">
        <f t="shared" si="16"/>
        <v>0</v>
      </c>
      <c r="BE49" s="6">
        <v>0</v>
      </c>
      <c r="BF49" s="6">
        <f>49</f>
        <v>49</v>
      </c>
      <c r="BH49" s="6">
        <f t="shared" si="17"/>
        <v>0</v>
      </c>
      <c r="BI49" s="6">
        <f t="shared" si="18"/>
        <v>0</v>
      </c>
      <c r="BJ49" s="6">
        <f t="shared" si="19"/>
        <v>0</v>
      </c>
      <c r="BK49" s="6"/>
      <c r="BL49" s="6">
        <v>72</v>
      </c>
    </row>
    <row r="50" spans="1:64" ht="15" customHeight="1">
      <c r="A50" s="17" t="s">
        <v>417</v>
      </c>
      <c r="B50" s="28" t="s">
        <v>109</v>
      </c>
      <c r="C50" s="52" t="s">
        <v>1</v>
      </c>
      <c r="D50" s="52"/>
      <c r="E50" s="52"/>
      <c r="F50" s="52"/>
      <c r="G50" s="52"/>
      <c r="H50" s="52"/>
      <c r="I50" s="28" t="s">
        <v>117</v>
      </c>
      <c r="J50" s="6">
        <v>2</v>
      </c>
      <c r="K50" s="6">
        <v>0</v>
      </c>
      <c r="L50" s="6">
        <f t="shared" si="0"/>
        <v>0</v>
      </c>
      <c r="M50" s="2">
        <v>0.00085</v>
      </c>
      <c r="Z50" s="6">
        <f t="shared" si="1"/>
        <v>0</v>
      </c>
      <c r="AB50" s="6">
        <f t="shared" si="2"/>
        <v>0</v>
      </c>
      <c r="AC50" s="6">
        <f t="shared" si="3"/>
        <v>0</v>
      </c>
      <c r="AD50" s="6">
        <f t="shared" si="4"/>
        <v>0</v>
      </c>
      <c r="AE50" s="6">
        <f t="shared" si="5"/>
        <v>0</v>
      </c>
      <c r="AF50" s="6">
        <f t="shared" si="6"/>
        <v>0</v>
      </c>
      <c r="AG50" s="6">
        <f t="shared" si="7"/>
        <v>0</v>
      </c>
      <c r="AH50" s="6">
        <f t="shared" si="8"/>
        <v>0</v>
      </c>
      <c r="AI50" s="20" t="s">
        <v>318</v>
      </c>
      <c r="AJ50" s="6">
        <f t="shared" si="9"/>
        <v>0</v>
      </c>
      <c r="AK50" s="6">
        <f t="shared" si="10"/>
        <v>0</v>
      </c>
      <c r="AL50" s="6">
        <f t="shared" si="11"/>
        <v>0</v>
      </c>
      <c r="AN50" s="6">
        <v>21</v>
      </c>
      <c r="AO50" s="6">
        <f>K50*0.899483248154458</f>
        <v>0</v>
      </c>
      <c r="AP50" s="6">
        <f>K50*(1-0.899483248154458)</f>
        <v>0</v>
      </c>
      <c r="AQ50" s="3" t="s">
        <v>456</v>
      </c>
      <c r="AV50" s="6">
        <f t="shared" si="12"/>
        <v>0</v>
      </c>
      <c r="AW50" s="6">
        <f t="shared" si="13"/>
        <v>0</v>
      </c>
      <c r="AX50" s="6">
        <f t="shared" si="14"/>
        <v>0</v>
      </c>
      <c r="AY50" s="3" t="s">
        <v>33</v>
      </c>
      <c r="AZ50" s="3" t="s">
        <v>33</v>
      </c>
      <c r="BA50" s="20" t="s">
        <v>360</v>
      </c>
      <c r="BC50" s="6">
        <f t="shared" si="15"/>
        <v>0</v>
      </c>
      <c r="BD50" s="6">
        <f t="shared" si="16"/>
        <v>0</v>
      </c>
      <c r="BE50" s="6">
        <v>0</v>
      </c>
      <c r="BF50" s="6">
        <f>50</f>
        <v>50</v>
      </c>
      <c r="BH50" s="6">
        <f t="shared" si="17"/>
        <v>0</v>
      </c>
      <c r="BI50" s="6">
        <f t="shared" si="18"/>
        <v>0</v>
      </c>
      <c r="BJ50" s="6">
        <f t="shared" si="19"/>
        <v>0</v>
      </c>
      <c r="BK50" s="6"/>
      <c r="BL50" s="6">
        <v>72</v>
      </c>
    </row>
    <row r="51" spans="1:64" ht="15" customHeight="1">
      <c r="A51" s="17" t="s">
        <v>272</v>
      </c>
      <c r="B51" s="28" t="s">
        <v>15</v>
      </c>
      <c r="C51" s="52" t="s">
        <v>461</v>
      </c>
      <c r="D51" s="52"/>
      <c r="E51" s="52"/>
      <c r="F51" s="52"/>
      <c r="G51" s="52"/>
      <c r="H51" s="52"/>
      <c r="I51" s="28" t="s">
        <v>117</v>
      </c>
      <c r="J51" s="6">
        <v>4</v>
      </c>
      <c r="K51" s="6">
        <v>0</v>
      </c>
      <c r="L51" s="6">
        <f t="shared" si="0"/>
        <v>0</v>
      </c>
      <c r="M51" s="2">
        <v>0.00102</v>
      </c>
      <c r="Z51" s="6">
        <f t="shared" si="1"/>
        <v>0</v>
      </c>
      <c r="AB51" s="6">
        <f t="shared" si="2"/>
        <v>0</v>
      </c>
      <c r="AC51" s="6">
        <f t="shared" si="3"/>
        <v>0</v>
      </c>
      <c r="AD51" s="6">
        <f t="shared" si="4"/>
        <v>0</v>
      </c>
      <c r="AE51" s="6">
        <f t="shared" si="5"/>
        <v>0</v>
      </c>
      <c r="AF51" s="6">
        <f t="shared" si="6"/>
        <v>0</v>
      </c>
      <c r="AG51" s="6">
        <f t="shared" si="7"/>
        <v>0</v>
      </c>
      <c r="AH51" s="6">
        <f t="shared" si="8"/>
        <v>0</v>
      </c>
      <c r="AI51" s="20" t="s">
        <v>318</v>
      </c>
      <c r="AJ51" s="6">
        <f t="shared" si="9"/>
        <v>0</v>
      </c>
      <c r="AK51" s="6">
        <f t="shared" si="10"/>
        <v>0</v>
      </c>
      <c r="AL51" s="6">
        <f t="shared" si="11"/>
        <v>0</v>
      </c>
      <c r="AN51" s="6">
        <v>21</v>
      </c>
      <c r="AO51" s="6">
        <f>K51*0.906965888689408</f>
        <v>0</v>
      </c>
      <c r="AP51" s="6">
        <f>K51*(1-0.906965888689408)</f>
        <v>0</v>
      </c>
      <c r="AQ51" s="3" t="s">
        <v>456</v>
      </c>
      <c r="AV51" s="6">
        <f t="shared" si="12"/>
        <v>0</v>
      </c>
      <c r="AW51" s="6">
        <f t="shared" si="13"/>
        <v>0</v>
      </c>
      <c r="AX51" s="6">
        <f t="shared" si="14"/>
        <v>0</v>
      </c>
      <c r="AY51" s="3" t="s">
        <v>33</v>
      </c>
      <c r="AZ51" s="3" t="s">
        <v>33</v>
      </c>
      <c r="BA51" s="20" t="s">
        <v>360</v>
      </c>
      <c r="BC51" s="6">
        <f t="shared" si="15"/>
        <v>0</v>
      </c>
      <c r="BD51" s="6">
        <f t="shared" si="16"/>
        <v>0</v>
      </c>
      <c r="BE51" s="6">
        <v>0</v>
      </c>
      <c r="BF51" s="6">
        <f>51</f>
        <v>51</v>
      </c>
      <c r="BH51" s="6">
        <f t="shared" si="17"/>
        <v>0</v>
      </c>
      <c r="BI51" s="6">
        <f t="shared" si="18"/>
        <v>0</v>
      </c>
      <c r="BJ51" s="6">
        <f t="shared" si="19"/>
        <v>0</v>
      </c>
      <c r="BK51" s="6"/>
      <c r="BL51" s="6">
        <v>72</v>
      </c>
    </row>
    <row r="52" spans="1:64" ht="15" customHeight="1">
      <c r="A52" s="17" t="s">
        <v>447</v>
      </c>
      <c r="B52" s="28" t="s">
        <v>505</v>
      </c>
      <c r="C52" s="52" t="s">
        <v>408</v>
      </c>
      <c r="D52" s="52"/>
      <c r="E52" s="52"/>
      <c r="F52" s="52"/>
      <c r="G52" s="52"/>
      <c r="H52" s="52"/>
      <c r="I52" s="28" t="s">
        <v>117</v>
      </c>
      <c r="J52" s="6">
        <v>1</v>
      </c>
      <c r="K52" s="6">
        <v>0</v>
      </c>
      <c r="L52" s="6">
        <f t="shared" si="0"/>
        <v>0</v>
      </c>
      <c r="M52" s="2">
        <v>0.00152</v>
      </c>
      <c r="Z52" s="6">
        <f t="shared" si="1"/>
        <v>0</v>
      </c>
      <c r="AB52" s="6">
        <f t="shared" si="2"/>
        <v>0</v>
      </c>
      <c r="AC52" s="6">
        <f t="shared" si="3"/>
        <v>0</v>
      </c>
      <c r="AD52" s="6">
        <f t="shared" si="4"/>
        <v>0</v>
      </c>
      <c r="AE52" s="6">
        <f t="shared" si="5"/>
        <v>0</v>
      </c>
      <c r="AF52" s="6">
        <f t="shared" si="6"/>
        <v>0</v>
      </c>
      <c r="AG52" s="6">
        <f t="shared" si="7"/>
        <v>0</v>
      </c>
      <c r="AH52" s="6">
        <f t="shared" si="8"/>
        <v>0</v>
      </c>
      <c r="AI52" s="20" t="s">
        <v>318</v>
      </c>
      <c r="AJ52" s="6">
        <f t="shared" si="9"/>
        <v>0</v>
      </c>
      <c r="AK52" s="6">
        <f t="shared" si="10"/>
        <v>0</v>
      </c>
      <c r="AL52" s="6">
        <f t="shared" si="11"/>
        <v>0</v>
      </c>
      <c r="AN52" s="6">
        <v>21</v>
      </c>
      <c r="AO52" s="6">
        <f>K52*0.858928457869634</f>
        <v>0</v>
      </c>
      <c r="AP52" s="6">
        <f>K52*(1-0.858928457869634)</f>
        <v>0</v>
      </c>
      <c r="AQ52" s="3" t="s">
        <v>456</v>
      </c>
      <c r="AV52" s="6">
        <f t="shared" si="12"/>
        <v>0</v>
      </c>
      <c r="AW52" s="6">
        <f t="shared" si="13"/>
        <v>0</v>
      </c>
      <c r="AX52" s="6">
        <f t="shared" si="14"/>
        <v>0</v>
      </c>
      <c r="AY52" s="3" t="s">
        <v>33</v>
      </c>
      <c r="AZ52" s="3" t="s">
        <v>33</v>
      </c>
      <c r="BA52" s="20" t="s">
        <v>360</v>
      </c>
      <c r="BC52" s="6">
        <f t="shared" si="15"/>
        <v>0</v>
      </c>
      <c r="BD52" s="6">
        <f t="shared" si="16"/>
        <v>0</v>
      </c>
      <c r="BE52" s="6">
        <v>0</v>
      </c>
      <c r="BF52" s="6">
        <f>52</f>
        <v>52</v>
      </c>
      <c r="BH52" s="6">
        <f t="shared" si="17"/>
        <v>0</v>
      </c>
      <c r="BI52" s="6">
        <f t="shared" si="18"/>
        <v>0</v>
      </c>
      <c r="BJ52" s="6">
        <f t="shared" si="19"/>
        <v>0</v>
      </c>
      <c r="BK52" s="6"/>
      <c r="BL52" s="6">
        <v>72</v>
      </c>
    </row>
    <row r="53" spans="1:64" ht="15" customHeight="1">
      <c r="A53" s="17" t="s">
        <v>284</v>
      </c>
      <c r="B53" s="28" t="s">
        <v>8</v>
      </c>
      <c r="C53" s="52" t="s">
        <v>173</v>
      </c>
      <c r="D53" s="52"/>
      <c r="E53" s="52"/>
      <c r="F53" s="52"/>
      <c r="G53" s="52"/>
      <c r="H53" s="52"/>
      <c r="I53" s="28" t="s">
        <v>160</v>
      </c>
      <c r="J53" s="6">
        <v>1</v>
      </c>
      <c r="K53" s="6">
        <v>0</v>
      </c>
      <c r="L53" s="6">
        <f t="shared" si="0"/>
        <v>0</v>
      </c>
      <c r="M53" s="2">
        <v>0</v>
      </c>
      <c r="Z53" s="6">
        <f t="shared" si="1"/>
        <v>0</v>
      </c>
      <c r="AB53" s="6">
        <f t="shared" si="2"/>
        <v>0</v>
      </c>
      <c r="AC53" s="6">
        <f t="shared" si="3"/>
        <v>0</v>
      </c>
      <c r="AD53" s="6">
        <f t="shared" si="4"/>
        <v>0</v>
      </c>
      <c r="AE53" s="6">
        <f t="shared" si="5"/>
        <v>0</v>
      </c>
      <c r="AF53" s="6">
        <f t="shared" si="6"/>
        <v>0</v>
      </c>
      <c r="AG53" s="6">
        <f t="shared" si="7"/>
        <v>0</v>
      </c>
      <c r="AH53" s="6">
        <f t="shared" si="8"/>
        <v>0</v>
      </c>
      <c r="AI53" s="20" t="s">
        <v>318</v>
      </c>
      <c r="AJ53" s="6">
        <f t="shared" si="9"/>
        <v>0</v>
      </c>
      <c r="AK53" s="6">
        <f t="shared" si="10"/>
        <v>0</v>
      </c>
      <c r="AL53" s="6">
        <f t="shared" si="11"/>
        <v>0</v>
      </c>
      <c r="AN53" s="6">
        <v>21</v>
      </c>
      <c r="AO53" s="6">
        <f>K53*0.0142863636363636</f>
        <v>0</v>
      </c>
      <c r="AP53" s="6">
        <f>K53*(1-0.0142863636363636)</f>
        <v>0</v>
      </c>
      <c r="AQ53" s="3" t="s">
        <v>456</v>
      </c>
      <c r="AV53" s="6">
        <f t="shared" si="12"/>
        <v>0</v>
      </c>
      <c r="AW53" s="6">
        <f t="shared" si="13"/>
        <v>0</v>
      </c>
      <c r="AX53" s="6">
        <f t="shared" si="14"/>
        <v>0</v>
      </c>
      <c r="AY53" s="3" t="s">
        <v>33</v>
      </c>
      <c r="AZ53" s="3" t="s">
        <v>33</v>
      </c>
      <c r="BA53" s="20" t="s">
        <v>360</v>
      </c>
      <c r="BC53" s="6">
        <f t="shared" si="15"/>
        <v>0</v>
      </c>
      <c r="BD53" s="6">
        <f t="shared" si="16"/>
        <v>0</v>
      </c>
      <c r="BE53" s="6">
        <v>0</v>
      </c>
      <c r="BF53" s="6">
        <f>53</f>
        <v>53</v>
      </c>
      <c r="BH53" s="6">
        <f t="shared" si="17"/>
        <v>0</v>
      </c>
      <c r="BI53" s="6">
        <f t="shared" si="18"/>
        <v>0</v>
      </c>
      <c r="BJ53" s="6">
        <f t="shared" si="19"/>
        <v>0</v>
      </c>
      <c r="BK53" s="6"/>
      <c r="BL53" s="6">
        <v>72</v>
      </c>
    </row>
    <row r="54" spans="1:64" ht="15" customHeight="1">
      <c r="A54" s="17" t="s">
        <v>299</v>
      </c>
      <c r="B54" s="28" t="s">
        <v>393</v>
      </c>
      <c r="C54" s="52" t="s">
        <v>427</v>
      </c>
      <c r="D54" s="52"/>
      <c r="E54" s="52"/>
      <c r="F54" s="52"/>
      <c r="G54" s="52"/>
      <c r="H54" s="52"/>
      <c r="I54" s="28" t="s">
        <v>361</v>
      </c>
      <c r="J54" s="6">
        <v>1</v>
      </c>
      <c r="K54" s="6">
        <v>0</v>
      </c>
      <c r="L54" s="6">
        <f t="shared" si="0"/>
        <v>0</v>
      </c>
      <c r="M54" s="2">
        <v>0.15314</v>
      </c>
      <c r="Z54" s="6">
        <f t="shared" si="1"/>
        <v>0</v>
      </c>
      <c r="AB54" s="6">
        <f t="shared" si="2"/>
        <v>0</v>
      </c>
      <c r="AC54" s="6">
        <f t="shared" si="3"/>
        <v>0</v>
      </c>
      <c r="AD54" s="6">
        <f t="shared" si="4"/>
        <v>0</v>
      </c>
      <c r="AE54" s="6">
        <f t="shared" si="5"/>
        <v>0</v>
      </c>
      <c r="AF54" s="6">
        <f t="shared" si="6"/>
        <v>0</v>
      </c>
      <c r="AG54" s="6">
        <f t="shared" si="7"/>
        <v>0</v>
      </c>
      <c r="AH54" s="6">
        <f t="shared" si="8"/>
        <v>0</v>
      </c>
      <c r="AI54" s="20" t="s">
        <v>318</v>
      </c>
      <c r="AJ54" s="6">
        <f t="shared" si="9"/>
        <v>0</v>
      </c>
      <c r="AK54" s="6">
        <f t="shared" si="10"/>
        <v>0</v>
      </c>
      <c r="AL54" s="6">
        <f t="shared" si="11"/>
        <v>0</v>
      </c>
      <c r="AN54" s="6">
        <v>21</v>
      </c>
      <c r="AO54" s="6">
        <f>K54*0.598758620689655</f>
        <v>0</v>
      </c>
      <c r="AP54" s="6">
        <f>K54*(1-0.598758620689655)</f>
        <v>0</v>
      </c>
      <c r="AQ54" s="3" t="s">
        <v>456</v>
      </c>
      <c r="AV54" s="6">
        <f t="shared" si="12"/>
        <v>0</v>
      </c>
      <c r="AW54" s="6">
        <f t="shared" si="13"/>
        <v>0</v>
      </c>
      <c r="AX54" s="6">
        <f t="shared" si="14"/>
        <v>0</v>
      </c>
      <c r="AY54" s="3" t="s">
        <v>33</v>
      </c>
      <c r="AZ54" s="3" t="s">
        <v>33</v>
      </c>
      <c r="BA54" s="20" t="s">
        <v>360</v>
      </c>
      <c r="BC54" s="6">
        <f t="shared" si="15"/>
        <v>0</v>
      </c>
      <c r="BD54" s="6">
        <f t="shared" si="16"/>
        <v>0</v>
      </c>
      <c r="BE54" s="6">
        <v>0</v>
      </c>
      <c r="BF54" s="6">
        <f>54</f>
        <v>54</v>
      </c>
      <c r="BH54" s="6">
        <f t="shared" si="17"/>
        <v>0</v>
      </c>
      <c r="BI54" s="6">
        <f t="shared" si="18"/>
        <v>0</v>
      </c>
      <c r="BJ54" s="6">
        <f t="shared" si="19"/>
        <v>0</v>
      </c>
      <c r="BK54" s="6"/>
      <c r="BL54" s="6">
        <v>72</v>
      </c>
    </row>
    <row r="55" spans="1:64" ht="15" customHeight="1">
      <c r="A55" s="17" t="s">
        <v>164</v>
      </c>
      <c r="B55" s="28" t="s">
        <v>357</v>
      </c>
      <c r="C55" s="52" t="s">
        <v>11</v>
      </c>
      <c r="D55" s="52"/>
      <c r="E55" s="52"/>
      <c r="F55" s="52"/>
      <c r="G55" s="52"/>
      <c r="H55" s="52"/>
      <c r="I55" s="28" t="s">
        <v>361</v>
      </c>
      <c r="J55" s="6">
        <v>1</v>
      </c>
      <c r="K55" s="6">
        <v>0</v>
      </c>
      <c r="L55" s="6">
        <f t="shared" si="0"/>
        <v>0</v>
      </c>
      <c r="M55" s="2">
        <v>0</v>
      </c>
      <c r="Z55" s="6">
        <f t="shared" si="1"/>
        <v>0</v>
      </c>
      <c r="AB55" s="6">
        <f t="shared" si="2"/>
        <v>0</v>
      </c>
      <c r="AC55" s="6">
        <f t="shared" si="3"/>
        <v>0</v>
      </c>
      <c r="AD55" s="6">
        <f t="shared" si="4"/>
        <v>0</v>
      </c>
      <c r="AE55" s="6">
        <f t="shared" si="5"/>
        <v>0</v>
      </c>
      <c r="AF55" s="6">
        <f t="shared" si="6"/>
        <v>0</v>
      </c>
      <c r="AG55" s="6">
        <f t="shared" si="7"/>
        <v>0</v>
      </c>
      <c r="AH55" s="6">
        <f t="shared" si="8"/>
        <v>0</v>
      </c>
      <c r="AI55" s="20" t="s">
        <v>318</v>
      </c>
      <c r="AJ55" s="6">
        <f t="shared" si="9"/>
        <v>0</v>
      </c>
      <c r="AK55" s="6">
        <f t="shared" si="10"/>
        <v>0</v>
      </c>
      <c r="AL55" s="6">
        <f t="shared" si="11"/>
        <v>0</v>
      </c>
      <c r="AN55" s="6">
        <v>21</v>
      </c>
      <c r="AO55" s="6">
        <f>K55*0</f>
        <v>0</v>
      </c>
      <c r="AP55" s="6">
        <f>K55*(1-0)</f>
        <v>0</v>
      </c>
      <c r="AQ55" s="3" t="s">
        <v>456</v>
      </c>
      <c r="AV55" s="6">
        <f t="shared" si="12"/>
        <v>0</v>
      </c>
      <c r="AW55" s="6">
        <f t="shared" si="13"/>
        <v>0</v>
      </c>
      <c r="AX55" s="6">
        <f t="shared" si="14"/>
        <v>0</v>
      </c>
      <c r="AY55" s="3" t="s">
        <v>33</v>
      </c>
      <c r="AZ55" s="3" t="s">
        <v>33</v>
      </c>
      <c r="BA55" s="20" t="s">
        <v>360</v>
      </c>
      <c r="BC55" s="6">
        <f t="shared" si="15"/>
        <v>0</v>
      </c>
      <c r="BD55" s="6">
        <f t="shared" si="16"/>
        <v>0</v>
      </c>
      <c r="BE55" s="6">
        <v>0</v>
      </c>
      <c r="BF55" s="6">
        <f>55</f>
        <v>55</v>
      </c>
      <c r="BH55" s="6">
        <f t="shared" si="17"/>
        <v>0</v>
      </c>
      <c r="BI55" s="6">
        <f t="shared" si="18"/>
        <v>0</v>
      </c>
      <c r="BJ55" s="6">
        <f t="shared" si="19"/>
        <v>0</v>
      </c>
      <c r="BK55" s="6"/>
      <c r="BL55" s="6">
        <v>72</v>
      </c>
    </row>
    <row r="56" spans="1:64" ht="15" customHeight="1">
      <c r="A56" s="17" t="s">
        <v>451</v>
      </c>
      <c r="B56" s="28" t="s">
        <v>396</v>
      </c>
      <c r="C56" s="52" t="s">
        <v>233</v>
      </c>
      <c r="D56" s="52"/>
      <c r="E56" s="52"/>
      <c r="F56" s="52"/>
      <c r="G56" s="52"/>
      <c r="H56" s="52"/>
      <c r="I56" s="28" t="s">
        <v>361</v>
      </c>
      <c r="J56" s="6">
        <v>1</v>
      </c>
      <c r="K56" s="6">
        <v>0</v>
      </c>
      <c r="L56" s="6">
        <f t="shared" si="0"/>
        <v>0</v>
      </c>
      <c r="M56" s="2">
        <v>0</v>
      </c>
      <c r="Z56" s="6">
        <f t="shared" si="1"/>
        <v>0</v>
      </c>
      <c r="AB56" s="6">
        <f t="shared" si="2"/>
        <v>0</v>
      </c>
      <c r="AC56" s="6">
        <f t="shared" si="3"/>
        <v>0</v>
      </c>
      <c r="AD56" s="6">
        <f t="shared" si="4"/>
        <v>0</v>
      </c>
      <c r="AE56" s="6">
        <f t="shared" si="5"/>
        <v>0</v>
      </c>
      <c r="AF56" s="6">
        <f t="shared" si="6"/>
        <v>0</v>
      </c>
      <c r="AG56" s="6">
        <f t="shared" si="7"/>
        <v>0</v>
      </c>
      <c r="AH56" s="6">
        <f t="shared" si="8"/>
        <v>0</v>
      </c>
      <c r="AI56" s="20" t="s">
        <v>318</v>
      </c>
      <c r="AJ56" s="6">
        <f t="shared" si="9"/>
        <v>0</v>
      </c>
      <c r="AK56" s="6">
        <f t="shared" si="10"/>
        <v>0</v>
      </c>
      <c r="AL56" s="6">
        <f t="shared" si="11"/>
        <v>0</v>
      </c>
      <c r="AN56" s="6">
        <v>21</v>
      </c>
      <c r="AO56" s="6">
        <f>K56*0</f>
        <v>0</v>
      </c>
      <c r="AP56" s="6">
        <f>K56*(1-0)</f>
        <v>0</v>
      </c>
      <c r="AQ56" s="3" t="s">
        <v>254</v>
      </c>
      <c r="AV56" s="6">
        <f t="shared" si="12"/>
        <v>0</v>
      </c>
      <c r="AW56" s="6">
        <f t="shared" si="13"/>
        <v>0</v>
      </c>
      <c r="AX56" s="6">
        <f t="shared" si="14"/>
        <v>0</v>
      </c>
      <c r="AY56" s="3" t="s">
        <v>33</v>
      </c>
      <c r="AZ56" s="3" t="s">
        <v>33</v>
      </c>
      <c r="BA56" s="20" t="s">
        <v>360</v>
      </c>
      <c r="BC56" s="6">
        <f t="shared" si="15"/>
        <v>0</v>
      </c>
      <c r="BD56" s="6">
        <f t="shared" si="16"/>
        <v>0</v>
      </c>
      <c r="BE56" s="6">
        <v>0</v>
      </c>
      <c r="BF56" s="6">
        <f>56</f>
        <v>56</v>
      </c>
      <c r="BH56" s="6">
        <f t="shared" si="17"/>
        <v>0</v>
      </c>
      <c r="BI56" s="6">
        <f t="shared" si="18"/>
        <v>0</v>
      </c>
      <c r="BJ56" s="6">
        <f t="shared" si="19"/>
        <v>0</v>
      </c>
      <c r="BK56" s="6"/>
      <c r="BL56" s="6">
        <v>72</v>
      </c>
    </row>
    <row r="57" spans="1:47" ht="15" customHeight="1">
      <c r="A57" s="31" t="s">
        <v>318</v>
      </c>
      <c r="B57" s="12" t="s">
        <v>474</v>
      </c>
      <c r="C57" s="97" t="s">
        <v>352</v>
      </c>
      <c r="D57" s="97"/>
      <c r="E57" s="97"/>
      <c r="F57" s="97"/>
      <c r="G57" s="97"/>
      <c r="H57" s="97"/>
      <c r="I57" s="29" t="s">
        <v>434</v>
      </c>
      <c r="J57" s="29" t="s">
        <v>434</v>
      </c>
      <c r="K57" s="29" t="s">
        <v>434</v>
      </c>
      <c r="L57" s="10">
        <f>SUM(L58:L65)</f>
        <v>0</v>
      </c>
      <c r="M57" s="19" t="s">
        <v>318</v>
      </c>
      <c r="AI57" s="20" t="s">
        <v>318</v>
      </c>
      <c r="AS57" s="10">
        <f>SUM(AJ58:AJ65)</f>
        <v>0</v>
      </c>
      <c r="AT57" s="10">
        <f>SUM(AK58:AK65)</f>
        <v>0</v>
      </c>
      <c r="AU57" s="10">
        <f>SUM(AL58:AL65)</f>
        <v>0</v>
      </c>
    </row>
    <row r="58" spans="1:64" ht="15" customHeight="1">
      <c r="A58" s="17" t="s">
        <v>88</v>
      </c>
      <c r="B58" s="28" t="s">
        <v>323</v>
      </c>
      <c r="C58" s="52" t="s">
        <v>108</v>
      </c>
      <c r="D58" s="52"/>
      <c r="E58" s="52"/>
      <c r="F58" s="52"/>
      <c r="G58" s="52"/>
      <c r="H58" s="52"/>
      <c r="I58" s="28" t="s">
        <v>322</v>
      </c>
      <c r="J58" s="6">
        <v>2</v>
      </c>
      <c r="K58" s="6">
        <v>0</v>
      </c>
      <c r="L58" s="6">
        <f aca="true" t="shared" si="20" ref="L58:L65">J58*K58</f>
        <v>0</v>
      </c>
      <c r="M58" s="2">
        <v>0.0238</v>
      </c>
      <c r="Z58" s="6">
        <f aca="true" t="shared" si="21" ref="Z58:Z65">IF(AQ58="5",BJ58,0)</f>
        <v>0</v>
      </c>
      <c r="AB58" s="6">
        <f aca="true" t="shared" si="22" ref="AB58:AB65">IF(AQ58="1",BH58,0)</f>
        <v>0</v>
      </c>
      <c r="AC58" s="6">
        <f aca="true" t="shared" si="23" ref="AC58:AC65">IF(AQ58="1",BI58,0)</f>
        <v>0</v>
      </c>
      <c r="AD58" s="6">
        <f aca="true" t="shared" si="24" ref="AD58:AD65">IF(AQ58="7",BH58,0)</f>
        <v>0</v>
      </c>
      <c r="AE58" s="6">
        <f aca="true" t="shared" si="25" ref="AE58:AE65">IF(AQ58="7",BI58,0)</f>
        <v>0</v>
      </c>
      <c r="AF58" s="6">
        <f aca="true" t="shared" si="26" ref="AF58:AF65">IF(AQ58="2",BH58,0)</f>
        <v>0</v>
      </c>
      <c r="AG58" s="6">
        <f aca="true" t="shared" si="27" ref="AG58:AG65">IF(AQ58="2",BI58,0)</f>
        <v>0</v>
      </c>
      <c r="AH58" s="6">
        <f aca="true" t="shared" si="28" ref="AH58:AH65">IF(AQ58="0",BJ58,0)</f>
        <v>0</v>
      </c>
      <c r="AI58" s="20" t="s">
        <v>318</v>
      </c>
      <c r="AJ58" s="6">
        <f aca="true" t="shared" si="29" ref="AJ58:AJ65">IF(AN58=0,L58,0)</f>
        <v>0</v>
      </c>
      <c r="AK58" s="6">
        <f aca="true" t="shared" si="30" ref="AK58:AK65">IF(AN58=15,L58,0)</f>
        <v>0</v>
      </c>
      <c r="AL58" s="6">
        <f aca="true" t="shared" si="31" ref="AL58:AL65">IF(AN58=21,L58,0)</f>
        <v>0</v>
      </c>
      <c r="AN58" s="6">
        <v>21</v>
      </c>
      <c r="AO58" s="6">
        <f>K58*0</f>
        <v>0</v>
      </c>
      <c r="AP58" s="6">
        <f>K58*(1-0)</f>
        <v>0</v>
      </c>
      <c r="AQ58" s="3" t="s">
        <v>456</v>
      </c>
      <c r="AV58" s="6">
        <f aca="true" t="shared" si="32" ref="AV58:AV65">AW58+AX58</f>
        <v>0</v>
      </c>
      <c r="AW58" s="6">
        <f aca="true" t="shared" si="33" ref="AW58:AW65">J58*AO58</f>
        <v>0</v>
      </c>
      <c r="AX58" s="6">
        <f aca="true" t="shared" si="34" ref="AX58:AX65">J58*AP58</f>
        <v>0</v>
      </c>
      <c r="AY58" s="3" t="s">
        <v>265</v>
      </c>
      <c r="AZ58" s="3" t="s">
        <v>426</v>
      </c>
      <c r="BA58" s="20" t="s">
        <v>360</v>
      </c>
      <c r="BC58" s="6">
        <f aca="true" t="shared" si="35" ref="BC58:BC65">AW58+AX58</f>
        <v>0</v>
      </c>
      <c r="BD58" s="6">
        <f aca="true" t="shared" si="36" ref="BD58:BD65">K58/(100-BE58)*100</f>
        <v>0</v>
      </c>
      <c r="BE58" s="6">
        <v>0</v>
      </c>
      <c r="BF58" s="6">
        <f>58</f>
        <v>58</v>
      </c>
      <c r="BH58" s="6">
        <f aca="true" t="shared" si="37" ref="BH58:BH65">J58*AO58</f>
        <v>0</v>
      </c>
      <c r="BI58" s="6">
        <f aca="true" t="shared" si="38" ref="BI58:BI65">J58*AP58</f>
        <v>0</v>
      </c>
      <c r="BJ58" s="6">
        <f aca="true" t="shared" si="39" ref="BJ58:BJ65">J58*K58</f>
        <v>0</v>
      </c>
      <c r="BK58" s="6"/>
      <c r="BL58" s="6">
        <v>735</v>
      </c>
    </row>
    <row r="59" spans="1:64" ht="15" customHeight="1">
      <c r="A59" s="17" t="s">
        <v>153</v>
      </c>
      <c r="B59" s="28" t="s">
        <v>171</v>
      </c>
      <c r="C59" s="52" t="s">
        <v>512</v>
      </c>
      <c r="D59" s="52"/>
      <c r="E59" s="52"/>
      <c r="F59" s="52"/>
      <c r="G59" s="52"/>
      <c r="H59" s="52"/>
      <c r="I59" s="28" t="s">
        <v>361</v>
      </c>
      <c r="J59" s="6">
        <v>2</v>
      </c>
      <c r="K59" s="6">
        <v>0</v>
      </c>
      <c r="L59" s="6">
        <f t="shared" si="20"/>
        <v>0</v>
      </c>
      <c r="M59" s="2">
        <v>0</v>
      </c>
      <c r="Z59" s="6">
        <f t="shared" si="21"/>
        <v>0</v>
      </c>
      <c r="AB59" s="6">
        <f t="shared" si="22"/>
        <v>0</v>
      </c>
      <c r="AC59" s="6">
        <f t="shared" si="23"/>
        <v>0</v>
      </c>
      <c r="AD59" s="6">
        <f t="shared" si="24"/>
        <v>0</v>
      </c>
      <c r="AE59" s="6">
        <f t="shared" si="25"/>
        <v>0</v>
      </c>
      <c r="AF59" s="6">
        <f t="shared" si="26"/>
        <v>0</v>
      </c>
      <c r="AG59" s="6">
        <f t="shared" si="27"/>
        <v>0</v>
      </c>
      <c r="AH59" s="6">
        <f t="shared" si="28"/>
        <v>0</v>
      </c>
      <c r="AI59" s="20" t="s">
        <v>318</v>
      </c>
      <c r="AJ59" s="6">
        <f t="shared" si="29"/>
        <v>0</v>
      </c>
      <c r="AK59" s="6">
        <f t="shared" si="30"/>
        <v>0</v>
      </c>
      <c r="AL59" s="6">
        <f t="shared" si="31"/>
        <v>0</v>
      </c>
      <c r="AN59" s="6">
        <v>21</v>
      </c>
      <c r="AO59" s="6">
        <f>K59*0</f>
        <v>0</v>
      </c>
      <c r="AP59" s="6">
        <f>K59*(1-0)</f>
        <v>0</v>
      </c>
      <c r="AQ59" s="3" t="s">
        <v>456</v>
      </c>
      <c r="AV59" s="6">
        <f t="shared" si="32"/>
        <v>0</v>
      </c>
      <c r="AW59" s="6">
        <f t="shared" si="33"/>
        <v>0</v>
      </c>
      <c r="AX59" s="6">
        <f t="shared" si="34"/>
        <v>0</v>
      </c>
      <c r="AY59" s="3" t="s">
        <v>265</v>
      </c>
      <c r="AZ59" s="3" t="s">
        <v>426</v>
      </c>
      <c r="BA59" s="20" t="s">
        <v>360</v>
      </c>
      <c r="BC59" s="6">
        <f t="shared" si="35"/>
        <v>0</v>
      </c>
      <c r="BD59" s="6">
        <f t="shared" si="36"/>
        <v>0</v>
      </c>
      <c r="BE59" s="6">
        <v>0</v>
      </c>
      <c r="BF59" s="6">
        <f>59</f>
        <v>59</v>
      </c>
      <c r="BH59" s="6">
        <f t="shared" si="37"/>
        <v>0</v>
      </c>
      <c r="BI59" s="6">
        <f t="shared" si="38"/>
        <v>0</v>
      </c>
      <c r="BJ59" s="6">
        <f t="shared" si="39"/>
        <v>0</v>
      </c>
      <c r="BK59" s="6"/>
      <c r="BL59" s="6">
        <v>735</v>
      </c>
    </row>
    <row r="60" spans="1:64" ht="15" customHeight="1">
      <c r="A60" s="17" t="s">
        <v>204</v>
      </c>
      <c r="B60" s="28" t="s">
        <v>335</v>
      </c>
      <c r="C60" s="52" t="s">
        <v>282</v>
      </c>
      <c r="D60" s="52"/>
      <c r="E60" s="52"/>
      <c r="F60" s="52"/>
      <c r="G60" s="52"/>
      <c r="H60" s="52"/>
      <c r="I60" s="28" t="s">
        <v>322</v>
      </c>
      <c r="J60" s="6">
        <v>2</v>
      </c>
      <c r="K60" s="6">
        <v>0</v>
      </c>
      <c r="L60" s="6">
        <f t="shared" si="20"/>
        <v>0</v>
      </c>
      <c r="M60" s="2">
        <v>0.01632</v>
      </c>
      <c r="Z60" s="6">
        <f t="shared" si="21"/>
        <v>0</v>
      </c>
      <c r="AB60" s="6">
        <f t="shared" si="22"/>
        <v>0</v>
      </c>
      <c r="AC60" s="6">
        <f t="shared" si="23"/>
        <v>0</v>
      </c>
      <c r="AD60" s="6">
        <f t="shared" si="24"/>
        <v>0</v>
      </c>
      <c r="AE60" s="6">
        <f t="shared" si="25"/>
        <v>0</v>
      </c>
      <c r="AF60" s="6">
        <f t="shared" si="26"/>
        <v>0</v>
      </c>
      <c r="AG60" s="6">
        <f t="shared" si="27"/>
        <v>0</v>
      </c>
      <c r="AH60" s="6">
        <f t="shared" si="28"/>
        <v>0</v>
      </c>
      <c r="AI60" s="20" t="s">
        <v>318</v>
      </c>
      <c r="AJ60" s="6">
        <f t="shared" si="29"/>
        <v>0</v>
      </c>
      <c r="AK60" s="6">
        <f t="shared" si="30"/>
        <v>0</v>
      </c>
      <c r="AL60" s="6">
        <f t="shared" si="31"/>
        <v>0</v>
      </c>
      <c r="AN60" s="6">
        <v>21</v>
      </c>
      <c r="AO60" s="6">
        <f>K60*0.390343434343434</f>
        <v>0</v>
      </c>
      <c r="AP60" s="6">
        <f>K60*(1-0.390343434343434)</f>
        <v>0</v>
      </c>
      <c r="AQ60" s="3" t="s">
        <v>456</v>
      </c>
      <c r="AV60" s="6">
        <f t="shared" si="32"/>
        <v>0</v>
      </c>
      <c r="AW60" s="6">
        <f t="shared" si="33"/>
        <v>0</v>
      </c>
      <c r="AX60" s="6">
        <f t="shared" si="34"/>
        <v>0</v>
      </c>
      <c r="AY60" s="3" t="s">
        <v>265</v>
      </c>
      <c r="AZ60" s="3" t="s">
        <v>426</v>
      </c>
      <c r="BA60" s="20" t="s">
        <v>360</v>
      </c>
      <c r="BC60" s="6">
        <f t="shared" si="35"/>
        <v>0</v>
      </c>
      <c r="BD60" s="6">
        <f t="shared" si="36"/>
        <v>0</v>
      </c>
      <c r="BE60" s="6">
        <v>0</v>
      </c>
      <c r="BF60" s="6">
        <f>60</f>
        <v>60</v>
      </c>
      <c r="BH60" s="6">
        <f t="shared" si="37"/>
        <v>0</v>
      </c>
      <c r="BI60" s="6">
        <f t="shared" si="38"/>
        <v>0</v>
      </c>
      <c r="BJ60" s="6">
        <f t="shared" si="39"/>
        <v>0</v>
      </c>
      <c r="BK60" s="6"/>
      <c r="BL60" s="6">
        <v>735</v>
      </c>
    </row>
    <row r="61" spans="1:64" ht="15" customHeight="1">
      <c r="A61" s="17" t="s">
        <v>163</v>
      </c>
      <c r="B61" s="28" t="s">
        <v>216</v>
      </c>
      <c r="C61" s="52" t="s">
        <v>511</v>
      </c>
      <c r="D61" s="52"/>
      <c r="E61" s="52"/>
      <c r="F61" s="52"/>
      <c r="G61" s="52"/>
      <c r="H61" s="52"/>
      <c r="I61" s="28" t="s">
        <v>117</v>
      </c>
      <c r="J61" s="6">
        <v>2</v>
      </c>
      <c r="K61" s="6">
        <v>0</v>
      </c>
      <c r="L61" s="6">
        <f t="shared" si="20"/>
        <v>0</v>
      </c>
      <c r="M61" s="2">
        <v>0</v>
      </c>
      <c r="Z61" s="6">
        <f t="shared" si="21"/>
        <v>0</v>
      </c>
      <c r="AB61" s="6">
        <f t="shared" si="22"/>
        <v>0</v>
      </c>
      <c r="AC61" s="6">
        <f t="shared" si="23"/>
        <v>0</v>
      </c>
      <c r="AD61" s="6">
        <f t="shared" si="24"/>
        <v>0</v>
      </c>
      <c r="AE61" s="6">
        <f t="shared" si="25"/>
        <v>0</v>
      </c>
      <c r="AF61" s="6">
        <f t="shared" si="26"/>
        <v>0</v>
      </c>
      <c r="AG61" s="6">
        <f t="shared" si="27"/>
        <v>0</v>
      </c>
      <c r="AH61" s="6">
        <f t="shared" si="28"/>
        <v>0</v>
      </c>
      <c r="AI61" s="20" t="s">
        <v>318</v>
      </c>
      <c r="AJ61" s="6">
        <f t="shared" si="29"/>
        <v>0</v>
      </c>
      <c r="AK61" s="6">
        <f t="shared" si="30"/>
        <v>0</v>
      </c>
      <c r="AL61" s="6">
        <f t="shared" si="31"/>
        <v>0</v>
      </c>
      <c r="AN61" s="6">
        <v>21</v>
      </c>
      <c r="AO61" s="6">
        <f>K61*0.0654545454545455</f>
        <v>0</v>
      </c>
      <c r="AP61" s="6">
        <f>K61*(1-0.0654545454545455)</f>
        <v>0</v>
      </c>
      <c r="AQ61" s="3" t="s">
        <v>456</v>
      </c>
      <c r="AV61" s="6">
        <f t="shared" si="32"/>
        <v>0</v>
      </c>
      <c r="AW61" s="6">
        <f t="shared" si="33"/>
        <v>0</v>
      </c>
      <c r="AX61" s="6">
        <f t="shared" si="34"/>
        <v>0</v>
      </c>
      <c r="AY61" s="3" t="s">
        <v>265</v>
      </c>
      <c r="AZ61" s="3" t="s">
        <v>426</v>
      </c>
      <c r="BA61" s="20" t="s">
        <v>360</v>
      </c>
      <c r="BC61" s="6">
        <f t="shared" si="35"/>
        <v>0</v>
      </c>
      <c r="BD61" s="6">
        <f t="shared" si="36"/>
        <v>0</v>
      </c>
      <c r="BE61" s="6">
        <v>0</v>
      </c>
      <c r="BF61" s="6">
        <f>61</f>
        <v>61</v>
      </c>
      <c r="BH61" s="6">
        <f t="shared" si="37"/>
        <v>0</v>
      </c>
      <c r="BI61" s="6">
        <f t="shared" si="38"/>
        <v>0</v>
      </c>
      <c r="BJ61" s="6">
        <f t="shared" si="39"/>
        <v>0</v>
      </c>
      <c r="BK61" s="6"/>
      <c r="BL61" s="6">
        <v>735</v>
      </c>
    </row>
    <row r="62" spans="1:64" ht="15" customHeight="1">
      <c r="A62" s="17" t="s">
        <v>383</v>
      </c>
      <c r="B62" s="28" t="s">
        <v>83</v>
      </c>
      <c r="C62" s="52" t="s">
        <v>219</v>
      </c>
      <c r="D62" s="52"/>
      <c r="E62" s="52"/>
      <c r="F62" s="52"/>
      <c r="G62" s="52"/>
      <c r="H62" s="52"/>
      <c r="I62" s="28" t="s">
        <v>361</v>
      </c>
      <c r="J62" s="6">
        <v>1</v>
      </c>
      <c r="K62" s="6">
        <v>0</v>
      </c>
      <c r="L62" s="6">
        <f t="shared" si="20"/>
        <v>0</v>
      </c>
      <c r="M62" s="2">
        <v>0</v>
      </c>
      <c r="Z62" s="6">
        <f t="shared" si="21"/>
        <v>0</v>
      </c>
      <c r="AB62" s="6">
        <f t="shared" si="22"/>
        <v>0</v>
      </c>
      <c r="AC62" s="6">
        <f t="shared" si="23"/>
        <v>0</v>
      </c>
      <c r="AD62" s="6">
        <f t="shared" si="24"/>
        <v>0</v>
      </c>
      <c r="AE62" s="6">
        <f t="shared" si="25"/>
        <v>0</v>
      </c>
      <c r="AF62" s="6">
        <f t="shared" si="26"/>
        <v>0</v>
      </c>
      <c r="AG62" s="6">
        <f t="shared" si="27"/>
        <v>0</v>
      </c>
      <c r="AH62" s="6">
        <f t="shared" si="28"/>
        <v>0</v>
      </c>
      <c r="AI62" s="20" t="s">
        <v>318</v>
      </c>
      <c r="AJ62" s="6">
        <f t="shared" si="29"/>
        <v>0</v>
      </c>
      <c r="AK62" s="6">
        <f t="shared" si="30"/>
        <v>0</v>
      </c>
      <c r="AL62" s="6">
        <f t="shared" si="31"/>
        <v>0</v>
      </c>
      <c r="AN62" s="6">
        <v>21</v>
      </c>
      <c r="AO62" s="6">
        <f>K62*0</f>
        <v>0</v>
      </c>
      <c r="AP62" s="6">
        <f>K62*(1-0)</f>
        <v>0</v>
      </c>
      <c r="AQ62" s="3" t="s">
        <v>456</v>
      </c>
      <c r="AV62" s="6">
        <f t="shared" si="32"/>
        <v>0</v>
      </c>
      <c r="AW62" s="6">
        <f t="shared" si="33"/>
        <v>0</v>
      </c>
      <c r="AX62" s="6">
        <f t="shared" si="34"/>
        <v>0</v>
      </c>
      <c r="AY62" s="3" t="s">
        <v>265</v>
      </c>
      <c r="AZ62" s="3" t="s">
        <v>426</v>
      </c>
      <c r="BA62" s="20" t="s">
        <v>360</v>
      </c>
      <c r="BC62" s="6">
        <f t="shared" si="35"/>
        <v>0</v>
      </c>
      <c r="BD62" s="6">
        <f t="shared" si="36"/>
        <v>0</v>
      </c>
      <c r="BE62" s="6">
        <v>0</v>
      </c>
      <c r="BF62" s="6">
        <f>62</f>
        <v>62</v>
      </c>
      <c r="BH62" s="6">
        <f t="shared" si="37"/>
        <v>0</v>
      </c>
      <c r="BI62" s="6">
        <f t="shared" si="38"/>
        <v>0</v>
      </c>
      <c r="BJ62" s="6">
        <f t="shared" si="39"/>
        <v>0</v>
      </c>
      <c r="BK62" s="6"/>
      <c r="BL62" s="6">
        <v>735</v>
      </c>
    </row>
    <row r="63" spans="1:64" ht="15" customHeight="1">
      <c r="A63" s="17" t="s">
        <v>473</v>
      </c>
      <c r="B63" s="28" t="s">
        <v>393</v>
      </c>
      <c r="C63" s="52" t="s">
        <v>195</v>
      </c>
      <c r="D63" s="52"/>
      <c r="E63" s="52"/>
      <c r="F63" s="52"/>
      <c r="G63" s="52"/>
      <c r="H63" s="52"/>
      <c r="I63" s="28" t="s">
        <v>361</v>
      </c>
      <c r="J63" s="6">
        <v>1</v>
      </c>
      <c r="K63" s="6">
        <v>0</v>
      </c>
      <c r="L63" s="6">
        <f t="shared" si="20"/>
        <v>0</v>
      </c>
      <c r="M63" s="2">
        <v>0.15314</v>
      </c>
      <c r="Z63" s="6">
        <f t="shared" si="21"/>
        <v>0</v>
      </c>
      <c r="AB63" s="6">
        <f t="shared" si="22"/>
        <v>0</v>
      </c>
      <c r="AC63" s="6">
        <f t="shared" si="23"/>
        <v>0</v>
      </c>
      <c r="AD63" s="6">
        <f t="shared" si="24"/>
        <v>0</v>
      </c>
      <c r="AE63" s="6">
        <f t="shared" si="25"/>
        <v>0</v>
      </c>
      <c r="AF63" s="6">
        <f t="shared" si="26"/>
        <v>0</v>
      </c>
      <c r="AG63" s="6">
        <f t="shared" si="27"/>
        <v>0</v>
      </c>
      <c r="AH63" s="6">
        <f t="shared" si="28"/>
        <v>0</v>
      </c>
      <c r="AI63" s="20" t="s">
        <v>318</v>
      </c>
      <c r="AJ63" s="6">
        <f t="shared" si="29"/>
        <v>0</v>
      </c>
      <c r="AK63" s="6">
        <f t="shared" si="30"/>
        <v>0</v>
      </c>
      <c r="AL63" s="6">
        <f t="shared" si="31"/>
        <v>0</v>
      </c>
      <c r="AN63" s="6">
        <v>21</v>
      </c>
      <c r="AO63" s="6">
        <f>K63*0.598722222222222</f>
        <v>0</v>
      </c>
      <c r="AP63" s="6">
        <f>K63*(1-0.598722222222222)</f>
        <v>0</v>
      </c>
      <c r="AQ63" s="3" t="s">
        <v>456</v>
      </c>
      <c r="AV63" s="6">
        <f t="shared" si="32"/>
        <v>0</v>
      </c>
      <c r="AW63" s="6">
        <f t="shared" si="33"/>
        <v>0</v>
      </c>
      <c r="AX63" s="6">
        <f t="shared" si="34"/>
        <v>0</v>
      </c>
      <c r="AY63" s="3" t="s">
        <v>265</v>
      </c>
      <c r="AZ63" s="3" t="s">
        <v>426</v>
      </c>
      <c r="BA63" s="20" t="s">
        <v>360</v>
      </c>
      <c r="BC63" s="6">
        <f t="shared" si="35"/>
        <v>0</v>
      </c>
      <c r="BD63" s="6">
        <f t="shared" si="36"/>
        <v>0</v>
      </c>
      <c r="BE63" s="6">
        <v>0</v>
      </c>
      <c r="BF63" s="6">
        <f>63</f>
        <v>63</v>
      </c>
      <c r="BH63" s="6">
        <f t="shared" si="37"/>
        <v>0</v>
      </c>
      <c r="BI63" s="6">
        <f t="shared" si="38"/>
        <v>0</v>
      </c>
      <c r="BJ63" s="6">
        <f t="shared" si="39"/>
        <v>0</v>
      </c>
      <c r="BK63" s="6"/>
      <c r="BL63" s="6">
        <v>735</v>
      </c>
    </row>
    <row r="64" spans="1:64" ht="15" customHeight="1">
      <c r="A64" s="17" t="s">
        <v>39</v>
      </c>
      <c r="B64" s="28" t="s">
        <v>121</v>
      </c>
      <c r="C64" s="52" t="s">
        <v>99</v>
      </c>
      <c r="D64" s="52"/>
      <c r="E64" s="52"/>
      <c r="F64" s="52"/>
      <c r="G64" s="52"/>
      <c r="H64" s="52"/>
      <c r="I64" s="28" t="s">
        <v>361</v>
      </c>
      <c r="J64" s="6">
        <v>1</v>
      </c>
      <c r="K64" s="6">
        <v>0</v>
      </c>
      <c r="L64" s="6">
        <f t="shared" si="20"/>
        <v>0</v>
      </c>
      <c r="M64" s="2">
        <v>0</v>
      </c>
      <c r="Z64" s="6">
        <f t="shared" si="21"/>
        <v>0</v>
      </c>
      <c r="AB64" s="6">
        <f t="shared" si="22"/>
        <v>0</v>
      </c>
      <c r="AC64" s="6">
        <f t="shared" si="23"/>
        <v>0</v>
      </c>
      <c r="AD64" s="6">
        <f t="shared" si="24"/>
        <v>0</v>
      </c>
      <c r="AE64" s="6">
        <f t="shared" si="25"/>
        <v>0</v>
      </c>
      <c r="AF64" s="6">
        <f t="shared" si="26"/>
        <v>0</v>
      </c>
      <c r="AG64" s="6">
        <f t="shared" si="27"/>
        <v>0</v>
      </c>
      <c r="AH64" s="6">
        <f t="shared" si="28"/>
        <v>0</v>
      </c>
      <c r="AI64" s="20" t="s">
        <v>318</v>
      </c>
      <c r="AJ64" s="6">
        <f t="shared" si="29"/>
        <v>0</v>
      </c>
      <c r="AK64" s="6">
        <f t="shared" si="30"/>
        <v>0</v>
      </c>
      <c r="AL64" s="6">
        <f t="shared" si="31"/>
        <v>0</v>
      </c>
      <c r="AN64" s="6">
        <v>21</v>
      </c>
      <c r="AO64" s="6">
        <f>K64*0.0144090909090909</f>
        <v>0</v>
      </c>
      <c r="AP64" s="6">
        <f>K64*(1-0.0144090909090909)</f>
        <v>0</v>
      </c>
      <c r="AQ64" s="3" t="s">
        <v>456</v>
      </c>
      <c r="AV64" s="6">
        <f t="shared" si="32"/>
        <v>0</v>
      </c>
      <c r="AW64" s="6">
        <f t="shared" si="33"/>
        <v>0</v>
      </c>
      <c r="AX64" s="6">
        <f t="shared" si="34"/>
        <v>0</v>
      </c>
      <c r="AY64" s="3" t="s">
        <v>265</v>
      </c>
      <c r="AZ64" s="3" t="s">
        <v>426</v>
      </c>
      <c r="BA64" s="20" t="s">
        <v>360</v>
      </c>
      <c r="BC64" s="6">
        <f t="shared" si="35"/>
        <v>0</v>
      </c>
      <c r="BD64" s="6">
        <f t="shared" si="36"/>
        <v>0</v>
      </c>
      <c r="BE64" s="6">
        <v>0</v>
      </c>
      <c r="BF64" s="6">
        <f>64</f>
        <v>64</v>
      </c>
      <c r="BH64" s="6">
        <f t="shared" si="37"/>
        <v>0</v>
      </c>
      <c r="BI64" s="6">
        <f t="shared" si="38"/>
        <v>0</v>
      </c>
      <c r="BJ64" s="6">
        <f t="shared" si="39"/>
        <v>0</v>
      </c>
      <c r="BK64" s="6"/>
      <c r="BL64" s="6">
        <v>735</v>
      </c>
    </row>
    <row r="65" spans="1:64" ht="15" customHeight="1">
      <c r="A65" s="17" t="s">
        <v>365</v>
      </c>
      <c r="B65" s="28" t="s">
        <v>343</v>
      </c>
      <c r="C65" s="52" t="s">
        <v>340</v>
      </c>
      <c r="D65" s="52"/>
      <c r="E65" s="52"/>
      <c r="F65" s="52"/>
      <c r="G65" s="52"/>
      <c r="H65" s="52"/>
      <c r="I65" s="28" t="s">
        <v>361</v>
      </c>
      <c r="J65" s="6">
        <v>1</v>
      </c>
      <c r="K65" s="6">
        <v>0</v>
      </c>
      <c r="L65" s="6">
        <f t="shared" si="20"/>
        <v>0</v>
      </c>
      <c r="M65" s="2">
        <v>0</v>
      </c>
      <c r="Z65" s="6">
        <f t="shared" si="21"/>
        <v>0</v>
      </c>
      <c r="AB65" s="6">
        <f t="shared" si="22"/>
        <v>0</v>
      </c>
      <c r="AC65" s="6">
        <f t="shared" si="23"/>
        <v>0</v>
      </c>
      <c r="AD65" s="6">
        <f t="shared" si="24"/>
        <v>0</v>
      </c>
      <c r="AE65" s="6">
        <f t="shared" si="25"/>
        <v>0</v>
      </c>
      <c r="AF65" s="6">
        <f t="shared" si="26"/>
        <v>0</v>
      </c>
      <c r="AG65" s="6">
        <f t="shared" si="27"/>
        <v>0</v>
      </c>
      <c r="AH65" s="6">
        <f t="shared" si="28"/>
        <v>0</v>
      </c>
      <c r="AI65" s="20" t="s">
        <v>318</v>
      </c>
      <c r="AJ65" s="6">
        <f t="shared" si="29"/>
        <v>0</v>
      </c>
      <c r="AK65" s="6">
        <f t="shared" si="30"/>
        <v>0</v>
      </c>
      <c r="AL65" s="6">
        <f t="shared" si="31"/>
        <v>0</v>
      </c>
      <c r="AN65" s="6">
        <v>21</v>
      </c>
      <c r="AO65" s="6">
        <f>K65*0</f>
        <v>0</v>
      </c>
      <c r="AP65" s="6">
        <f>K65*(1-0)</f>
        <v>0</v>
      </c>
      <c r="AQ65" s="3" t="s">
        <v>254</v>
      </c>
      <c r="AV65" s="6">
        <f t="shared" si="32"/>
        <v>0</v>
      </c>
      <c r="AW65" s="6">
        <f t="shared" si="33"/>
        <v>0</v>
      </c>
      <c r="AX65" s="6">
        <f t="shared" si="34"/>
        <v>0</v>
      </c>
      <c r="AY65" s="3" t="s">
        <v>265</v>
      </c>
      <c r="AZ65" s="3" t="s">
        <v>426</v>
      </c>
      <c r="BA65" s="20" t="s">
        <v>360</v>
      </c>
      <c r="BC65" s="6">
        <f t="shared" si="35"/>
        <v>0</v>
      </c>
      <c r="BD65" s="6">
        <f t="shared" si="36"/>
        <v>0</v>
      </c>
      <c r="BE65" s="6">
        <v>0</v>
      </c>
      <c r="BF65" s="6">
        <f>65</f>
        <v>65</v>
      </c>
      <c r="BH65" s="6">
        <f t="shared" si="37"/>
        <v>0</v>
      </c>
      <c r="BI65" s="6">
        <f t="shared" si="38"/>
        <v>0</v>
      </c>
      <c r="BJ65" s="6">
        <f t="shared" si="39"/>
        <v>0</v>
      </c>
      <c r="BK65" s="6"/>
      <c r="BL65" s="6">
        <v>735</v>
      </c>
    </row>
    <row r="66" spans="1:47" ht="15" customHeight="1">
      <c r="A66" s="31" t="s">
        <v>318</v>
      </c>
      <c r="B66" s="12" t="s">
        <v>196</v>
      </c>
      <c r="C66" s="97" t="s">
        <v>228</v>
      </c>
      <c r="D66" s="97"/>
      <c r="E66" s="97"/>
      <c r="F66" s="97"/>
      <c r="G66" s="97"/>
      <c r="H66" s="97"/>
      <c r="I66" s="29" t="s">
        <v>434</v>
      </c>
      <c r="J66" s="29" t="s">
        <v>434</v>
      </c>
      <c r="K66" s="29" t="s">
        <v>434</v>
      </c>
      <c r="L66" s="10">
        <f>SUM(L67:L79)</f>
        <v>0</v>
      </c>
      <c r="M66" s="19" t="s">
        <v>318</v>
      </c>
      <c r="AI66" s="20" t="s">
        <v>318</v>
      </c>
      <c r="AS66" s="10">
        <f>SUM(AJ67:AJ79)</f>
        <v>0</v>
      </c>
      <c r="AT66" s="10">
        <f>SUM(AK67:AK79)</f>
        <v>0</v>
      </c>
      <c r="AU66" s="10">
        <f>SUM(AL67:AL79)</f>
        <v>0</v>
      </c>
    </row>
    <row r="67" spans="1:64" ht="15" customHeight="1">
      <c r="A67" s="17" t="s">
        <v>392</v>
      </c>
      <c r="B67" s="28" t="s">
        <v>388</v>
      </c>
      <c r="C67" s="52" t="s">
        <v>480</v>
      </c>
      <c r="D67" s="52"/>
      <c r="E67" s="52"/>
      <c r="F67" s="52"/>
      <c r="G67" s="52"/>
      <c r="H67" s="52"/>
      <c r="I67" s="28" t="s">
        <v>117</v>
      </c>
      <c r="J67" s="6">
        <v>1</v>
      </c>
      <c r="K67" s="6">
        <v>0</v>
      </c>
      <c r="L67" s="6">
        <f aca="true" t="shared" si="40" ref="L67:L79">J67*K67</f>
        <v>0</v>
      </c>
      <c r="M67" s="2">
        <v>0</v>
      </c>
      <c r="Z67" s="6">
        <f aca="true" t="shared" si="41" ref="Z67:Z79">IF(AQ67="5",BJ67,0)</f>
        <v>0</v>
      </c>
      <c r="AB67" s="6">
        <f aca="true" t="shared" si="42" ref="AB67:AB79">IF(AQ67="1",BH67,0)</f>
        <v>0</v>
      </c>
      <c r="AC67" s="6">
        <f aca="true" t="shared" si="43" ref="AC67:AC79">IF(AQ67="1",BI67,0)</f>
        <v>0</v>
      </c>
      <c r="AD67" s="6">
        <f aca="true" t="shared" si="44" ref="AD67:AD79">IF(AQ67="7",BH67,0)</f>
        <v>0</v>
      </c>
      <c r="AE67" s="6">
        <f aca="true" t="shared" si="45" ref="AE67:AE79">IF(AQ67="7",BI67,0)</f>
        <v>0</v>
      </c>
      <c r="AF67" s="6">
        <f aca="true" t="shared" si="46" ref="AF67:AF79">IF(AQ67="2",BH67,0)</f>
        <v>0</v>
      </c>
      <c r="AG67" s="6">
        <f aca="true" t="shared" si="47" ref="AG67:AG79">IF(AQ67="2",BI67,0)</f>
        <v>0</v>
      </c>
      <c r="AH67" s="6">
        <f aca="true" t="shared" si="48" ref="AH67:AH79">IF(AQ67="0",BJ67,0)</f>
        <v>0</v>
      </c>
      <c r="AI67" s="20" t="s">
        <v>318</v>
      </c>
      <c r="AJ67" s="6">
        <f aca="true" t="shared" si="49" ref="AJ67:AJ79">IF(AN67=0,L67,0)</f>
        <v>0</v>
      </c>
      <c r="AK67" s="6">
        <f aca="true" t="shared" si="50" ref="AK67:AK79">IF(AN67=15,L67,0)</f>
        <v>0</v>
      </c>
      <c r="AL67" s="6">
        <f aca="true" t="shared" si="51" ref="AL67:AL79">IF(AN67=21,L67,0)</f>
        <v>0</v>
      </c>
      <c r="AN67" s="6">
        <v>21</v>
      </c>
      <c r="AO67" s="6">
        <f>K67*0</f>
        <v>0</v>
      </c>
      <c r="AP67" s="6">
        <f>K67*(1-0)</f>
        <v>0</v>
      </c>
      <c r="AQ67" s="3" t="s">
        <v>456</v>
      </c>
      <c r="AV67" s="6">
        <f aca="true" t="shared" si="52" ref="AV67:AV79">AW67+AX67</f>
        <v>0</v>
      </c>
      <c r="AW67" s="6">
        <f aca="true" t="shared" si="53" ref="AW67:AW79">J67*AO67</f>
        <v>0</v>
      </c>
      <c r="AX67" s="6">
        <f aca="true" t="shared" si="54" ref="AX67:AX79">J67*AP67</f>
        <v>0</v>
      </c>
      <c r="AY67" s="3" t="s">
        <v>55</v>
      </c>
      <c r="AZ67" s="3" t="s">
        <v>257</v>
      </c>
      <c r="BA67" s="20" t="s">
        <v>360</v>
      </c>
      <c r="BC67" s="6">
        <f aca="true" t="shared" si="55" ref="BC67:BC79">AW67+AX67</f>
        <v>0</v>
      </c>
      <c r="BD67" s="6">
        <f aca="true" t="shared" si="56" ref="BD67:BD79">K67/(100-BE67)*100</f>
        <v>0</v>
      </c>
      <c r="BE67" s="6">
        <v>0</v>
      </c>
      <c r="BF67" s="6">
        <f>67</f>
        <v>67</v>
      </c>
      <c r="BH67" s="6">
        <f aca="true" t="shared" si="57" ref="BH67:BH79">J67*AO67</f>
        <v>0</v>
      </c>
      <c r="BI67" s="6">
        <f aca="true" t="shared" si="58" ref="BI67:BI79">J67*AP67</f>
        <v>0</v>
      </c>
      <c r="BJ67" s="6">
        <f aca="true" t="shared" si="59" ref="BJ67:BJ79">J67*K67</f>
        <v>0</v>
      </c>
      <c r="BK67" s="6"/>
      <c r="BL67" s="6">
        <v>766</v>
      </c>
    </row>
    <row r="68" spans="1:64" ht="15" customHeight="1">
      <c r="A68" s="17" t="s">
        <v>199</v>
      </c>
      <c r="B68" s="28" t="s">
        <v>0</v>
      </c>
      <c r="C68" s="52" t="s">
        <v>302</v>
      </c>
      <c r="D68" s="52"/>
      <c r="E68" s="52"/>
      <c r="F68" s="52"/>
      <c r="G68" s="52"/>
      <c r="H68" s="52"/>
      <c r="I68" s="28" t="s">
        <v>117</v>
      </c>
      <c r="J68" s="6">
        <v>13</v>
      </c>
      <c r="K68" s="6">
        <v>0</v>
      </c>
      <c r="L68" s="6">
        <f t="shared" si="40"/>
        <v>0</v>
      </c>
      <c r="M68" s="2">
        <v>0</v>
      </c>
      <c r="Z68" s="6">
        <f t="shared" si="41"/>
        <v>0</v>
      </c>
      <c r="AB68" s="6">
        <f t="shared" si="42"/>
        <v>0</v>
      </c>
      <c r="AC68" s="6">
        <f t="shared" si="43"/>
        <v>0</v>
      </c>
      <c r="AD68" s="6">
        <f t="shared" si="44"/>
        <v>0</v>
      </c>
      <c r="AE68" s="6">
        <f t="shared" si="45"/>
        <v>0</v>
      </c>
      <c r="AF68" s="6">
        <f t="shared" si="46"/>
        <v>0</v>
      </c>
      <c r="AG68" s="6">
        <f t="shared" si="47"/>
        <v>0</v>
      </c>
      <c r="AH68" s="6">
        <f t="shared" si="48"/>
        <v>0</v>
      </c>
      <c r="AI68" s="20" t="s">
        <v>318</v>
      </c>
      <c r="AJ68" s="6">
        <f t="shared" si="49"/>
        <v>0</v>
      </c>
      <c r="AK68" s="6">
        <f t="shared" si="50"/>
        <v>0</v>
      </c>
      <c r="AL68" s="6">
        <f t="shared" si="51"/>
        <v>0</v>
      </c>
      <c r="AN68" s="6">
        <v>21</v>
      </c>
      <c r="AO68" s="6">
        <f>K68*0</f>
        <v>0</v>
      </c>
      <c r="AP68" s="6">
        <f>K68*(1-0)</f>
        <v>0</v>
      </c>
      <c r="AQ68" s="3" t="s">
        <v>456</v>
      </c>
      <c r="AV68" s="6">
        <f t="shared" si="52"/>
        <v>0</v>
      </c>
      <c r="AW68" s="6">
        <f t="shared" si="53"/>
        <v>0</v>
      </c>
      <c r="AX68" s="6">
        <f t="shared" si="54"/>
        <v>0</v>
      </c>
      <c r="AY68" s="3" t="s">
        <v>55</v>
      </c>
      <c r="AZ68" s="3" t="s">
        <v>257</v>
      </c>
      <c r="BA68" s="20" t="s">
        <v>360</v>
      </c>
      <c r="BC68" s="6">
        <f t="shared" si="55"/>
        <v>0</v>
      </c>
      <c r="BD68" s="6">
        <f t="shared" si="56"/>
        <v>0</v>
      </c>
      <c r="BE68" s="6">
        <v>0</v>
      </c>
      <c r="BF68" s="6">
        <f>68</f>
        <v>68</v>
      </c>
      <c r="BH68" s="6">
        <f t="shared" si="57"/>
        <v>0</v>
      </c>
      <c r="BI68" s="6">
        <f t="shared" si="58"/>
        <v>0</v>
      </c>
      <c r="BJ68" s="6">
        <f t="shared" si="59"/>
        <v>0</v>
      </c>
      <c r="BK68" s="6"/>
      <c r="BL68" s="6">
        <v>766</v>
      </c>
    </row>
    <row r="69" spans="1:64" ht="15" customHeight="1">
      <c r="A69" s="17" t="s">
        <v>197</v>
      </c>
      <c r="B69" s="28" t="s">
        <v>158</v>
      </c>
      <c r="C69" s="52" t="s">
        <v>144</v>
      </c>
      <c r="D69" s="52"/>
      <c r="E69" s="52"/>
      <c r="F69" s="52"/>
      <c r="G69" s="52"/>
      <c r="H69" s="52"/>
      <c r="I69" s="28" t="s">
        <v>117</v>
      </c>
      <c r="J69" s="6">
        <v>9</v>
      </c>
      <c r="K69" s="6">
        <v>0</v>
      </c>
      <c r="L69" s="6">
        <f t="shared" si="40"/>
        <v>0</v>
      </c>
      <c r="M69" s="2">
        <v>0.0443</v>
      </c>
      <c r="Z69" s="6">
        <f t="shared" si="41"/>
        <v>0</v>
      </c>
      <c r="AB69" s="6">
        <f t="shared" si="42"/>
        <v>0</v>
      </c>
      <c r="AC69" s="6">
        <f t="shared" si="43"/>
        <v>0</v>
      </c>
      <c r="AD69" s="6">
        <f t="shared" si="44"/>
        <v>0</v>
      </c>
      <c r="AE69" s="6">
        <f t="shared" si="45"/>
        <v>0</v>
      </c>
      <c r="AF69" s="6">
        <f t="shared" si="46"/>
        <v>0</v>
      </c>
      <c r="AG69" s="6">
        <f t="shared" si="47"/>
        <v>0</v>
      </c>
      <c r="AH69" s="6">
        <f t="shared" si="48"/>
        <v>0</v>
      </c>
      <c r="AI69" s="20" t="s">
        <v>318</v>
      </c>
      <c r="AJ69" s="6">
        <f t="shared" si="49"/>
        <v>0</v>
      </c>
      <c r="AK69" s="6">
        <f t="shared" si="50"/>
        <v>0</v>
      </c>
      <c r="AL69" s="6">
        <f t="shared" si="51"/>
        <v>0</v>
      </c>
      <c r="AN69" s="6">
        <v>21</v>
      </c>
      <c r="AO69" s="6">
        <f>K69*1</f>
        <v>0</v>
      </c>
      <c r="AP69" s="6">
        <f>K69*(1-1)</f>
        <v>0</v>
      </c>
      <c r="AQ69" s="3" t="s">
        <v>456</v>
      </c>
      <c r="AV69" s="6">
        <f t="shared" si="52"/>
        <v>0</v>
      </c>
      <c r="AW69" s="6">
        <f t="shared" si="53"/>
        <v>0</v>
      </c>
      <c r="AX69" s="6">
        <f t="shared" si="54"/>
        <v>0</v>
      </c>
      <c r="AY69" s="3" t="s">
        <v>55</v>
      </c>
      <c r="AZ69" s="3" t="s">
        <v>257</v>
      </c>
      <c r="BA69" s="20" t="s">
        <v>360</v>
      </c>
      <c r="BC69" s="6">
        <f t="shared" si="55"/>
        <v>0</v>
      </c>
      <c r="BD69" s="6">
        <f t="shared" si="56"/>
        <v>0</v>
      </c>
      <c r="BE69" s="6">
        <v>0</v>
      </c>
      <c r="BF69" s="6">
        <f>69</f>
        <v>69</v>
      </c>
      <c r="BH69" s="6">
        <f t="shared" si="57"/>
        <v>0</v>
      </c>
      <c r="BI69" s="6">
        <f t="shared" si="58"/>
        <v>0</v>
      </c>
      <c r="BJ69" s="6">
        <f t="shared" si="59"/>
        <v>0</v>
      </c>
      <c r="BK69" s="6"/>
      <c r="BL69" s="6">
        <v>766</v>
      </c>
    </row>
    <row r="70" spans="1:64" ht="15" customHeight="1">
      <c r="A70" s="17" t="s">
        <v>227</v>
      </c>
      <c r="B70" s="28" t="s">
        <v>206</v>
      </c>
      <c r="C70" s="52" t="s">
        <v>443</v>
      </c>
      <c r="D70" s="52"/>
      <c r="E70" s="52"/>
      <c r="F70" s="52"/>
      <c r="G70" s="52"/>
      <c r="H70" s="52"/>
      <c r="I70" s="28" t="s">
        <v>117</v>
      </c>
      <c r="J70" s="6">
        <v>4</v>
      </c>
      <c r="K70" s="6">
        <v>0</v>
      </c>
      <c r="L70" s="6">
        <f t="shared" si="40"/>
        <v>0</v>
      </c>
      <c r="M70" s="2">
        <v>0.0344</v>
      </c>
      <c r="Z70" s="6">
        <f t="shared" si="41"/>
        <v>0</v>
      </c>
      <c r="AB70" s="6">
        <f t="shared" si="42"/>
        <v>0</v>
      </c>
      <c r="AC70" s="6">
        <f t="shared" si="43"/>
        <v>0</v>
      </c>
      <c r="AD70" s="6">
        <f t="shared" si="44"/>
        <v>0</v>
      </c>
      <c r="AE70" s="6">
        <f t="shared" si="45"/>
        <v>0</v>
      </c>
      <c r="AF70" s="6">
        <f t="shared" si="46"/>
        <v>0</v>
      </c>
      <c r="AG70" s="6">
        <f t="shared" si="47"/>
        <v>0</v>
      </c>
      <c r="AH70" s="6">
        <f t="shared" si="48"/>
        <v>0</v>
      </c>
      <c r="AI70" s="20" t="s">
        <v>318</v>
      </c>
      <c r="AJ70" s="6">
        <f t="shared" si="49"/>
        <v>0</v>
      </c>
      <c r="AK70" s="6">
        <f t="shared" si="50"/>
        <v>0</v>
      </c>
      <c r="AL70" s="6">
        <f t="shared" si="51"/>
        <v>0</v>
      </c>
      <c r="AN70" s="6">
        <v>21</v>
      </c>
      <c r="AO70" s="6">
        <f>K70*1</f>
        <v>0</v>
      </c>
      <c r="AP70" s="6">
        <f>K70*(1-1)</f>
        <v>0</v>
      </c>
      <c r="AQ70" s="3" t="s">
        <v>456</v>
      </c>
      <c r="AV70" s="6">
        <f t="shared" si="52"/>
        <v>0</v>
      </c>
      <c r="AW70" s="6">
        <f t="shared" si="53"/>
        <v>0</v>
      </c>
      <c r="AX70" s="6">
        <f t="shared" si="54"/>
        <v>0</v>
      </c>
      <c r="AY70" s="3" t="s">
        <v>55</v>
      </c>
      <c r="AZ70" s="3" t="s">
        <v>257</v>
      </c>
      <c r="BA70" s="20" t="s">
        <v>360</v>
      </c>
      <c r="BC70" s="6">
        <f t="shared" si="55"/>
        <v>0</v>
      </c>
      <c r="BD70" s="6">
        <f t="shared" si="56"/>
        <v>0</v>
      </c>
      <c r="BE70" s="6">
        <v>0</v>
      </c>
      <c r="BF70" s="6">
        <f>70</f>
        <v>70</v>
      </c>
      <c r="BH70" s="6">
        <f t="shared" si="57"/>
        <v>0</v>
      </c>
      <c r="BI70" s="6">
        <f t="shared" si="58"/>
        <v>0</v>
      </c>
      <c r="BJ70" s="6">
        <f t="shared" si="59"/>
        <v>0</v>
      </c>
      <c r="BK70" s="6"/>
      <c r="BL70" s="6">
        <v>766</v>
      </c>
    </row>
    <row r="71" spans="1:64" ht="15" customHeight="1">
      <c r="A71" s="17" t="s">
        <v>432</v>
      </c>
      <c r="B71" s="28" t="s">
        <v>95</v>
      </c>
      <c r="C71" s="52" t="s">
        <v>468</v>
      </c>
      <c r="D71" s="52"/>
      <c r="E71" s="52"/>
      <c r="F71" s="52"/>
      <c r="G71" s="52"/>
      <c r="H71" s="52"/>
      <c r="I71" s="28" t="s">
        <v>117</v>
      </c>
      <c r="J71" s="6">
        <v>2</v>
      </c>
      <c r="K71" s="6">
        <v>0</v>
      </c>
      <c r="L71" s="6">
        <f t="shared" si="40"/>
        <v>0</v>
      </c>
      <c r="M71" s="2">
        <v>0</v>
      </c>
      <c r="Z71" s="6">
        <f t="shared" si="41"/>
        <v>0</v>
      </c>
      <c r="AB71" s="6">
        <f t="shared" si="42"/>
        <v>0</v>
      </c>
      <c r="AC71" s="6">
        <f t="shared" si="43"/>
        <v>0</v>
      </c>
      <c r="AD71" s="6">
        <f t="shared" si="44"/>
        <v>0</v>
      </c>
      <c r="AE71" s="6">
        <f t="shared" si="45"/>
        <v>0</v>
      </c>
      <c r="AF71" s="6">
        <f t="shared" si="46"/>
        <v>0</v>
      </c>
      <c r="AG71" s="6">
        <f t="shared" si="47"/>
        <v>0</v>
      </c>
      <c r="AH71" s="6">
        <f t="shared" si="48"/>
        <v>0</v>
      </c>
      <c r="AI71" s="20" t="s">
        <v>318</v>
      </c>
      <c r="AJ71" s="6">
        <f t="shared" si="49"/>
        <v>0</v>
      </c>
      <c r="AK71" s="6">
        <f t="shared" si="50"/>
        <v>0</v>
      </c>
      <c r="AL71" s="6">
        <f t="shared" si="51"/>
        <v>0</v>
      </c>
      <c r="AN71" s="6">
        <v>21</v>
      </c>
      <c r="AO71" s="6">
        <f>K71*0</f>
        <v>0</v>
      </c>
      <c r="AP71" s="6">
        <f>K71*(1-0)</f>
        <v>0</v>
      </c>
      <c r="AQ71" s="3" t="s">
        <v>456</v>
      </c>
      <c r="AV71" s="6">
        <f t="shared" si="52"/>
        <v>0</v>
      </c>
      <c r="AW71" s="6">
        <f t="shared" si="53"/>
        <v>0</v>
      </c>
      <c r="AX71" s="6">
        <f t="shared" si="54"/>
        <v>0</v>
      </c>
      <c r="AY71" s="3" t="s">
        <v>55</v>
      </c>
      <c r="AZ71" s="3" t="s">
        <v>257</v>
      </c>
      <c r="BA71" s="20" t="s">
        <v>360</v>
      </c>
      <c r="BC71" s="6">
        <f t="shared" si="55"/>
        <v>0</v>
      </c>
      <c r="BD71" s="6">
        <f t="shared" si="56"/>
        <v>0</v>
      </c>
      <c r="BE71" s="6">
        <v>0</v>
      </c>
      <c r="BF71" s="6">
        <f>71</f>
        <v>71</v>
      </c>
      <c r="BH71" s="6">
        <f t="shared" si="57"/>
        <v>0</v>
      </c>
      <c r="BI71" s="6">
        <f t="shared" si="58"/>
        <v>0</v>
      </c>
      <c r="BJ71" s="6">
        <f t="shared" si="59"/>
        <v>0</v>
      </c>
      <c r="BK71" s="6"/>
      <c r="BL71" s="6">
        <v>766</v>
      </c>
    </row>
    <row r="72" spans="1:64" ht="15" customHeight="1">
      <c r="A72" s="17" t="s">
        <v>308</v>
      </c>
      <c r="B72" s="28" t="s">
        <v>243</v>
      </c>
      <c r="C72" s="52" t="s">
        <v>29</v>
      </c>
      <c r="D72" s="52"/>
      <c r="E72" s="52"/>
      <c r="F72" s="52"/>
      <c r="G72" s="52"/>
      <c r="H72" s="52"/>
      <c r="I72" s="28" t="s">
        <v>117</v>
      </c>
      <c r="J72" s="6">
        <v>2</v>
      </c>
      <c r="K72" s="6">
        <v>0</v>
      </c>
      <c r="L72" s="6">
        <f t="shared" si="40"/>
        <v>0</v>
      </c>
      <c r="M72" s="2">
        <v>0.06156</v>
      </c>
      <c r="Z72" s="6">
        <f t="shared" si="41"/>
        <v>0</v>
      </c>
      <c r="AB72" s="6">
        <f t="shared" si="42"/>
        <v>0</v>
      </c>
      <c r="AC72" s="6">
        <f t="shared" si="43"/>
        <v>0</v>
      </c>
      <c r="AD72" s="6">
        <f t="shared" si="44"/>
        <v>0</v>
      </c>
      <c r="AE72" s="6">
        <f t="shared" si="45"/>
        <v>0</v>
      </c>
      <c r="AF72" s="6">
        <f t="shared" si="46"/>
        <v>0</v>
      </c>
      <c r="AG72" s="6">
        <f t="shared" si="47"/>
        <v>0</v>
      </c>
      <c r="AH72" s="6">
        <f t="shared" si="48"/>
        <v>0</v>
      </c>
      <c r="AI72" s="20" t="s">
        <v>318</v>
      </c>
      <c r="AJ72" s="6">
        <f t="shared" si="49"/>
        <v>0</v>
      </c>
      <c r="AK72" s="6">
        <f t="shared" si="50"/>
        <v>0</v>
      </c>
      <c r="AL72" s="6">
        <f t="shared" si="51"/>
        <v>0</v>
      </c>
      <c r="AN72" s="6">
        <v>21</v>
      </c>
      <c r="AO72" s="6">
        <f>K72*1</f>
        <v>0</v>
      </c>
      <c r="AP72" s="6">
        <f>K72*(1-1)</f>
        <v>0</v>
      </c>
      <c r="AQ72" s="3" t="s">
        <v>456</v>
      </c>
      <c r="AV72" s="6">
        <f t="shared" si="52"/>
        <v>0</v>
      </c>
      <c r="AW72" s="6">
        <f t="shared" si="53"/>
        <v>0</v>
      </c>
      <c r="AX72" s="6">
        <f t="shared" si="54"/>
        <v>0</v>
      </c>
      <c r="AY72" s="3" t="s">
        <v>55</v>
      </c>
      <c r="AZ72" s="3" t="s">
        <v>257</v>
      </c>
      <c r="BA72" s="20" t="s">
        <v>360</v>
      </c>
      <c r="BC72" s="6">
        <f t="shared" si="55"/>
        <v>0</v>
      </c>
      <c r="BD72" s="6">
        <f t="shared" si="56"/>
        <v>0</v>
      </c>
      <c r="BE72" s="6">
        <v>0</v>
      </c>
      <c r="BF72" s="6">
        <f>72</f>
        <v>72</v>
      </c>
      <c r="BH72" s="6">
        <f t="shared" si="57"/>
        <v>0</v>
      </c>
      <c r="BI72" s="6">
        <f t="shared" si="58"/>
        <v>0</v>
      </c>
      <c r="BJ72" s="6">
        <f t="shared" si="59"/>
        <v>0</v>
      </c>
      <c r="BK72" s="6"/>
      <c r="BL72" s="6">
        <v>766</v>
      </c>
    </row>
    <row r="73" spans="1:64" ht="15" customHeight="1">
      <c r="A73" s="17" t="s">
        <v>293</v>
      </c>
      <c r="B73" s="28" t="s">
        <v>114</v>
      </c>
      <c r="C73" s="52" t="s">
        <v>149</v>
      </c>
      <c r="D73" s="52"/>
      <c r="E73" s="52"/>
      <c r="F73" s="52"/>
      <c r="G73" s="52"/>
      <c r="H73" s="52"/>
      <c r="I73" s="28" t="s">
        <v>117</v>
      </c>
      <c r="J73" s="6">
        <v>1</v>
      </c>
      <c r="K73" s="6">
        <v>0</v>
      </c>
      <c r="L73" s="6">
        <f t="shared" si="40"/>
        <v>0</v>
      </c>
      <c r="M73" s="2">
        <v>1E-05</v>
      </c>
      <c r="Z73" s="6">
        <f t="shared" si="41"/>
        <v>0</v>
      </c>
      <c r="AB73" s="6">
        <f t="shared" si="42"/>
        <v>0</v>
      </c>
      <c r="AC73" s="6">
        <f t="shared" si="43"/>
        <v>0</v>
      </c>
      <c r="AD73" s="6">
        <f t="shared" si="44"/>
        <v>0</v>
      </c>
      <c r="AE73" s="6">
        <f t="shared" si="45"/>
        <v>0</v>
      </c>
      <c r="AF73" s="6">
        <f t="shared" si="46"/>
        <v>0</v>
      </c>
      <c r="AG73" s="6">
        <f t="shared" si="47"/>
        <v>0</v>
      </c>
      <c r="AH73" s="6">
        <f t="shared" si="48"/>
        <v>0</v>
      </c>
      <c r="AI73" s="20" t="s">
        <v>318</v>
      </c>
      <c r="AJ73" s="6">
        <f t="shared" si="49"/>
        <v>0</v>
      </c>
      <c r="AK73" s="6">
        <f t="shared" si="50"/>
        <v>0</v>
      </c>
      <c r="AL73" s="6">
        <f t="shared" si="51"/>
        <v>0</v>
      </c>
      <c r="AN73" s="6">
        <v>21</v>
      </c>
      <c r="AO73" s="6">
        <f>K73*0.036027397260274</f>
        <v>0</v>
      </c>
      <c r="AP73" s="6">
        <f>K73*(1-0.036027397260274)</f>
        <v>0</v>
      </c>
      <c r="AQ73" s="3" t="s">
        <v>456</v>
      </c>
      <c r="AV73" s="6">
        <f t="shared" si="52"/>
        <v>0</v>
      </c>
      <c r="AW73" s="6">
        <f t="shared" si="53"/>
        <v>0</v>
      </c>
      <c r="AX73" s="6">
        <f t="shared" si="54"/>
        <v>0</v>
      </c>
      <c r="AY73" s="3" t="s">
        <v>55</v>
      </c>
      <c r="AZ73" s="3" t="s">
        <v>257</v>
      </c>
      <c r="BA73" s="20" t="s">
        <v>360</v>
      </c>
      <c r="BC73" s="6">
        <f t="shared" si="55"/>
        <v>0</v>
      </c>
      <c r="BD73" s="6">
        <f t="shared" si="56"/>
        <v>0</v>
      </c>
      <c r="BE73" s="6">
        <v>0</v>
      </c>
      <c r="BF73" s="6">
        <f>73</f>
        <v>73</v>
      </c>
      <c r="BH73" s="6">
        <f t="shared" si="57"/>
        <v>0</v>
      </c>
      <c r="BI73" s="6">
        <f t="shared" si="58"/>
        <v>0</v>
      </c>
      <c r="BJ73" s="6">
        <f t="shared" si="59"/>
        <v>0</v>
      </c>
      <c r="BK73" s="6"/>
      <c r="BL73" s="6">
        <v>766</v>
      </c>
    </row>
    <row r="74" spans="1:64" ht="15" customHeight="1">
      <c r="A74" s="17" t="s">
        <v>437</v>
      </c>
      <c r="B74" s="28" t="s">
        <v>328</v>
      </c>
      <c r="C74" s="52" t="s">
        <v>345</v>
      </c>
      <c r="D74" s="52"/>
      <c r="E74" s="52"/>
      <c r="F74" s="52"/>
      <c r="G74" s="52"/>
      <c r="H74" s="52"/>
      <c r="I74" s="28" t="s">
        <v>117</v>
      </c>
      <c r="J74" s="6">
        <v>1</v>
      </c>
      <c r="K74" s="6">
        <v>0</v>
      </c>
      <c r="L74" s="6">
        <f t="shared" si="40"/>
        <v>0</v>
      </c>
      <c r="M74" s="2">
        <v>0.00181</v>
      </c>
      <c r="Z74" s="6">
        <f t="shared" si="41"/>
        <v>0</v>
      </c>
      <c r="AB74" s="6">
        <f t="shared" si="42"/>
        <v>0</v>
      </c>
      <c r="AC74" s="6">
        <f t="shared" si="43"/>
        <v>0</v>
      </c>
      <c r="AD74" s="6">
        <f t="shared" si="44"/>
        <v>0</v>
      </c>
      <c r="AE74" s="6">
        <f t="shared" si="45"/>
        <v>0</v>
      </c>
      <c r="AF74" s="6">
        <f t="shared" si="46"/>
        <v>0</v>
      </c>
      <c r="AG74" s="6">
        <f t="shared" si="47"/>
        <v>0</v>
      </c>
      <c r="AH74" s="6">
        <f t="shared" si="48"/>
        <v>0</v>
      </c>
      <c r="AI74" s="20" t="s">
        <v>318</v>
      </c>
      <c r="AJ74" s="6">
        <f t="shared" si="49"/>
        <v>0</v>
      </c>
      <c r="AK74" s="6">
        <f t="shared" si="50"/>
        <v>0</v>
      </c>
      <c r="AL74" s="6">
        <f t="shared" si="51"/>
        <v>0</v>
      </c>
      <c r="AN74" s="6">
        <v>21</v>
      </c>
      <c r="AO74" s="6">
        <f>K74*1</f>
        <v>0</v>
      </c>
      <c r="AP74" s="6">
        <f>K74*(1-1)</f>
        <v>0</v>
      </c>
      <c r="AQ74" s="3" t="s">
        <v>456</v>
      </c>
      <c r="AV74" s="6">
        <f t="shared" si="52"/>
        <v>0</v>
      </c>
      <c r="AW74" s="6">
        <f t="shared" si="53"/>
        <v>0</v>
      </c>
      <c r="AX74" s="6">
        <f t="shared" si="54"/>
        <v>0</v>
      </c>
      <c r="AY74" s="3" t="s">
        <v>55</v>
      </c>
      <c r="AZ74" s="3" t="s">
        <v>257</v>
      </c>
      <c r="BA74" s="20" t="s">
        <v>360</v>
      </c>
      <c r="BC74" s="6">
        <f t="shared" si="55"/>
        <v>0</v>
      </c>
      <c r="BD74" s="6">
        <f t="shared" si="56"/>
        <v>0</v>
      </c>
      <c r="BE74" s="6">
        <v>0</v>
      </c>
      <c r="BF74" s="6">
        <f>74</f>
        <v>74</v>
      </c>
      <c r="BH74" s="6">
        <f t="shared" si="57"/>
        <v>0</v>
      </c>
      <c r="BI74" s="6">
        <f t="shared" si="58"/>
        <v>0</v>
      </c>
      <c r="BJ74" s="6">
        <f t="shared" si="59"/>
        <v>0</v>
      </c>
      <c r="BK74" s="6"/>
      <c r="BL74" s="6">
        <v>766</v>
      </c>
    </row>
    <row r="75" spans="1:64" ht="15" customHeight="1">
      <c r="A75" s="17" t="s">
        <v>271</v>
      </c>
      <c r="B75" s="28" t="s">
        <v>375</v>
      </c>
      <c r="C75" s="52" t="s">
        <v>131</v>
      </c>
      <c r="D75" s="52"/>
      <c r="E75" s="52"/>
      <c r="F75" s="52"/>
      <c r="G75" s="52"/>
      <c r="H75" s="52"/>
      <c r="I75" s="28" t="s">
        <v>117</v>
      </c>
      <c r="J75" s="6">
        <v>17</v>
      </c>
      <c r="K75" s="6">
        <v>0</v>
      </c>
      <c r="L75" s="6">
        <f t="shared" si="40"/>
        <v>0</v>
      </c>
      <c r="M75" s="2">
        <v>0</v>
      </c>
      <c r="Z75" s="6">
        <f t="shared" si="41"/>
        <v>0</v>
      </c>
      <c r="AB75" s="6">
        <f t="shared" si="42"/>
        <v>0</v>
      </c>
      <c r="AC75" s="6">
        <f t="shared" si="43"/>
        <v>0</v>
      </c>
      <c r="AD75" s="6">
        <f t="shared" si="44"/>
        <v>0</v>
      </c>
      <c r="AE75" s="6">
        <f t="shared" si="45"/>
        <v>0</v>
      </c>
      <c r="AF75" s="6">
        <f t="shared" si="46"/>
        <v>0</v>
      </c>
      <c r="AG75" s="6">
        <f t="shared" si="47"/>
        <v>0</v>
      </c>
      <c r="AH75" s="6">
        <f t="shared" si="48"/>
        <v>0</v>
      </c>
      <c r="AI75" s="20" t="s">
        <v>318</v>
      </c>
      <c r="AJ75" s="6">
        <f t="shared" si="49"/>
        <v>0</v>
      </c>
      <c r="AK75" s="6">
        <f t="shared" si="50"/>
        <v>0</v>
      </c>
      <c r="AL75" s="6">
        <f t="shared" si="51"/>
        <v>0</v>
      </c>
      <c r="AN75" s="6">
        <v>21</v>
      </c>
      <c r="AO75" s="6">
        <f>K75*0</f>
        <v>0</v>
      </c>
      <c r="AP75" s="6">
        <f>K75*(1-0)</f>
        <v>0</v>
      </c>
      <c r="AQ75" s="3" t="s">
        <v>456</v>
      </c>
      <c r="AV75" s="6">
        <f t="shared" si="52"/>
        <v>0</v>
      </c>
      <c r="AW75" s="6">
        <f t="shared" si="53"/>
        <v>0</v>
      </c>
      <c r="AX75" s="6">
        <f t="shared" si="54"/>
        <v>0</v>
      </c>
      <c r="AY75" s="3" t="s">
        <v>55</v>
      </c>
      <c r="AZ75" s="3" t="s">
        <v>257</v>
      </c>
      <c r="BA75" s="20" t="s">
        <v>360</v>
      </c>
      <c r="BC75" s="6">
        <f t="shared" si="55"/>
        <v>0</v>
      </c>
      <c r="BD75" s="6">
        <f t="shared" si="56"/>
        <v>0</v>
      </c>
      <c r="BE75" s="6">
        <v>0</v>
      </c>
      <c r="BF75" s="6">
        <f>75</f>
        <v>75</v>
      </c>
      <c r="BH75" s="6">
        <f t="shared" si="57"/>
        <v>0</v>
      </c>
      <c r="BI75" s="6">
        <f t="shared" si="58"/>
        <v>0</v>
      </c>
      <c r="BJ75" s="6">
        <f t="shared" si="59"/>
        <v>0</v>
      </c>
      <c r="BK75" s="6"/>
      <c r="BL75" s="6">
        <v>766</v>
      </c>
    </row>
    <row r="76" spans="1:64" ht="15" customHeight="1">
      <c r="A76" s="17" t="s">
        <v>215</v>
      </c>
      <c r="B76" s="28" t="s">
        <v>256</v>
      </c>
      <c r="C76" s="52" t="s">
        <v>486</v>
      </c>
      <c r="D76" s="52"/>
      <c r="E76" s="52"/>
      <c r="F76" s="52"/>
      <c r="G76" s="52"/>
      <c r="H76" s="52"/>
      <c r="I76" s="28" t="s">
        <v>117</v>
      </c>
      <c r="J76" s="6">
        <v>2</v>
      </c>
      <c r="K76" s="6">
        <v>0</v>
      </c>
      <c r="L76" s="6">
        <f t="shared" si="40"/>
        <v>0</v>
      </c>
      <c r="M76" s="2">
        <v>0.00075</v>
      </c>
      <c r="Z76" s="6">
        <f t="shared" si="41"/>
        <v>0</v>
      </c>
      <c r="AB76" s="6">
        <f t="shared" si="42"/>
        <v>0</v>
      </c>
      <c r="AC76" s="6">
        <f t="shared" si="43"/>
        <v>0</v>
      </c>
      <c r="AD76" s="6">
        <f t="shared" si="44"/>
        <v>0</v>
      </c>
      <c r="AE76" s="6">
        <f t="shared" si="45"/>
        <v>0</v>
      </c>
      <c r="AF76" s="6">
        <f t="shared" si="46"/>
        <v>0</v>
      </c>
      <c r="AG76" s="6">
        <f t="shared" si="47"/>
        <v>0</v>
      </c>
      <c r="AH76" s="6">
        <f t="shared" si="48"/>
        <v>0</v>
      </c>
      <c r="AI76" s="20" t="s">
        <v>318</v>
      </c>
      <c r="AJ76" s="6">
        <f t="shared" si="49"/>
        <v>0</v>
      </c>
      <c r="AK76" s="6">
        <f t="shared" si="50"/>
        <v>0</v>
      </c>
      <c r="AL76" s="6">
        <f t="shared" si="51"/>
        <v>0</v>
      </c>
      <c r="AN76" s="6">
        <v>21</v>
      </c>
      <c r="AO76" s="6">
        <f>K76*1</f>
        <v>0</v>
      </c>
      <c r="AP76" s="6">
        <f>K76*(1-1)</f>
        <v>0</v>
      </c>
      <c r="AQ76" s="3" t="s">
        <v>456</v>
      </c>
      <c r="AV76" s="6">
        <f t="shared" si="52"/>
        <v>0</v>
      </c>
      <c r="AW76" s="6">
        <f t="shared" si="53"/>
        <v>0</v>
      </c>
      <c r="AX76" s="6">
        <f t="shared" si="54"/>
        <v>0</v>
      </c>
      <c r="AY76" s="3" t="s">
        <v>55</v>
      </c>
      <c r="AZ76" s="3" t="s">
        <v>257</v>
      </c>
      <c r="BA76" s="20" t="s">
        <v>360</v>
      </c>
      <c r="BC76" s="6">
        <f t="shared" si="55"/>
        <v>0</v>
      </c>
      <c r="BD76" s="6">
        <f t="shared" si="56"/>
        <v>0</v>
      </c>
      <c r="BE76" s="6">
        <v>0</v>
      </c>
      <c r="BF76" s="6">
        <f>76</f>
        <v>76</v>
      </c>
      <c r="BH76" s="6">
        <f t="shared" si="57"/>
        <v>0</v>
      </c>
      <c r="BI76" s="6">
        <f t="shared" si="58"/>
        <v>0</v>
      </c>
      <c r="BJ76" s="6">
        <f t="shared" si="59"/>
        <v>0</v>
      </c>
      <c r="BK76" s="6"/>
      <c r="BL76" s="6">
        <v>766</v>
      </c>
    </row>
    <row r="77" spans="1:64" ht="15" customHeight="1">
      <c r="A77" s="17" t="s">
        <v>63</v>
      </c>
      <c r="B77" s="28" t="s">
        <v>256</v>
      </c>
      <c r="C77" s="52" t="s">
        <v>329</v>
      </c>
      <c r="D77" s="52"/>
      <c r="E77" s="52"/>
      <c r="F77" s="52"/>
      <c r="G77" s="52"/>
      <c r="H77" s="52"/>
      <c r="I77" s="28" t="s">
        <v>117</v>
      </c>
      <c r="J77" s="6">
        <v>15</v>
      </c>
      <c r="K77" s="6">
        <v>0</v>
      </c>
      <c r="L77" s="6">
        <f t="shared" si="40"/>
        <v>0</v>
      </c>
      <c r="M77" s="2">
        <v>0.00075</v>
      </c>
      <c r="Z77" s="6">
        <f t="shared" si="41"/>
        <v>0</v>
      </c>
      <c r="AB77" s="6">
        <f t="shared" si="42"/>
        <v>0</v>
      </c>
      <c r="AC77" s="6">
        <f t="shared" si="43"/>
        <v>0</v>
      </c>
      <c r="AD77" s="6">
        <f t="shared" si="44"/>
        <v>0</v>
      </c>
      <c r="AE77" s="6">
        <f t="shared" si="45"/>
        <v>0</v>
      </c>
      <c r="AF77" s="6">
        <f t="shared" si="46"/>
        <v>0</v>
      </c>
      <c r="AG77" s="6">
        <f t="shared" si="47"/>
        <v>0</v>
      </c>
      <c r="AH77" s="6">
        <f t="shared" si="48"/>
        <v>0</v>
      </c>
      <c r="AI77" s="20" t="s">
        <v>318</v>
      </c>
      <c r="AJ77" s="6">
        <f t="shared" si="49"/>
        <v>0</v>
      </c>
      <c r="AK77" s="6">
        <f t="shared" si="50"/>
        <v>0</v>
      </c>
      <c r="AL77" s="6">
        <f t="shared" si="51"/>
        <v>0</v>
      </c>
      <c r="AN77" s="6">
        <v>21</v>
      </c>
      <c r="AO77" s="6">
        <f>K77*1</f>
        <v>0</v>
      </c>
      <c r="AP77" s="6">
        <f>K77*(1-1)</f>
        <v>0</v>
      </c>
      <c r="AQ77" s="3" t="s">
        <v>456</v>
      </c>
      <c r="AV77" s="6">
        <f t="shared" si="52"/>
        <v>0</v>
      </c>
      <c r="AW77" s="6">
        <f t="shared" si="53"/>
        <v>0</v>
      </c>
      <c r="AX77" s="6">
        <f t="shared" si="54"/>
        <v>0</v>
      </c>
      <c r="AY77" s="3" t="s">
        <v>55</v>
      </c>
      <c r="AZ77" s="3" t="s">
        <v>257</v>
      </c>
      <c r="BA77" s="20" t="s">
        <v>360</v>
      </c>
      <c r="BC77" s="6">
        <f t="shared" si="55"/>
        <v>0</v>
      </c>
      <c r="BD77" s="6">
        <f t="shared" si="56"/>
        <v>0</v>
      </c>
      <c r="BE77" s="6">
        <v>0</v>
      </c>
      <c r="BF77" s="6">
        <f>77</f>
        <v>77</v>
      </c>
      <c r="BH77" s="6">
        <f t="shared" si="57"/>
        <v>0</v>
      </c>
      <c r="BI77" s="6">
        <f t="shared" si="58"/>
        <v>0</v>
      </c>
      <c r="BJ77" s="6">
        <f t="shared" si="59"/>
        <v>0</v>
      </c>
      <c r="BK77" s="6"/>
      <c r="BL77" s="6">
        <v>766</v>
      </c>
    </row>
    <row r="78" spans="1:64" ht="15" customHeight="1">
      <c r="A78" s="17" t="s">
        <v>338</v>
      </c>
      <c r="B78" s="28" t="s">
        <v>34</v>
      </c>
      <c r="C78" s="52" t="s">
        <v>377</v>
      </c>
      <c r="D78" s="52"/>
      <c r="E78" s="52"/>
      <c r="F78" s="52"/>
      <c r="G78" s="52"/>
      <c r="H78" s="52"/>
      <c r="I78" s="28" t="s">
        <v>322</v>
      </c>
      <c r="J78" s="6">
        <v>2</v>
      </c>
      <c r="K78" s="6">
        <v>0</v>
      </c>
      <c r="L78" s="6">
        <f t="shared" si="40"/>
        <v>0</v>
      </c>
      <c r="M78" s="2">
        <v>0</v>
      </c>
      <c r="Z78" s="6">
        <f t="shared" si="41"/>
        <v>0</v>
      </c>
      <c r="AB78" s="6">
        <f t="shared" si="42"/>
        <v>0</v>
      </c>
      <c r="AC78" s="6">
        <f t="shared" si="43"/>
        <v>0</v>
      </c>
      <c r="AD78" s="6">
        <f t="shared" si="44"/>
        <v>0</v>
      </c>
      <c r="AE78" s="6">
        <f t="shared" si="45"/>
        <v>0</v>
      </c>
      <c r="AF78" s="6">
        <f t="shared" si="46"/>
        <v>0</v>
      </c>
      <c r="AG78" s="6">
        <f t="shared" si="47"/>
        <v>0</v>
      </c>
      <c r="AH78" s="6">
        <f t="shared" si="48"/>
        <v>0</v>
      </c>
      <c r="AI78" s="20" t="s">
        <v>318</v>
      </c>
      <c r="AJ78" s="6">
        <f t="shared" si="49"/>
        <v>0</v>
      </c>
      <c r="AK78" s="6">
        <f t="shared" si="50"/>
        <v>0</v>
      </c>
      <c r="AL78" s="6">
        <f t="shared" si="51"/>
        <v>0</v>
      </c>
      <c r="AN78" s="6">
        <v>21</v>
      </c>
      <c r="AO78" s="6">
        <f>K78*0</f>
        <v>0</v>
      </c>
      <c r="AP78" s="6">
        <f>K78*(1-0)</f>
        <v>0</v>
      </c>
      <c r="AQ78" s="3" t="s">
        <v>456</v>
      </c>
      <c r="AV78" s="6">
        <f t="shared" si="52"/>
        <v>0</v>
      </c>
      <c r="AW78" s="6">
        <f t="shared" si="53"/>
        <v>0</v>
      </c>
      <c r="AX78" s="6">
        <f t="shared" si="54"/>
        <v>0</v>
      </c>
      <c r="AY78" s="3" t="s">
        <v>55</v>
      </c>
      <c r="AZ78" s="3" t="s">
        <v>257</v>
      </c>
      <c r="BA78" s="20" t="s">
        <v>360</v>
      </c>
      <c r="BC78" s="6">
        <f t="shared" si="55"/>
        <v>0</v>
      </c>
      <c r="BD78" s="6">
        <f t="shared" si="56"/>
        <v>0</v>
      </c>
      <c r="BE78" s="6">
        <v>0</v>
      </c>
      <c r="BF78" s="6">
        <f>78</f>
        <v>78</v>
      </c>
      <c r="BH78" s="6">
        <f t="shared" si="57"/>
        <v>0</v>
      </c>
      <c r="BI78" s="6">
        <f t="shared" si="58"/>
        <v>0</v>
      </c>
      <c r="BJ78" s="6">
        <f t="shared" si="59"/>
        <v>0</v>
      </c>
      <c r="BK78" s="6"/>
      <c r="BL78" s="6">
        <v>766</v>
      </c>
    </row>
    <row r="79" spans="1:64" ht="15" customHeight="1">
      <c r="A79" s="17" t="s">
        <v>509</v>
      </c>
      <c r="B79" s="28" t="s">
        <v>402</v>
      </c>
      <c r="C79" s="52" t="s">
        <v>382</v>
      </c>
      <c r="D79" s="52"/>
      <c r="E79" s="52"/>
      <c r="F79" s="52"/>
      <c r="G79" s="52"/>
      <c r="H79" s="52"/>
      <c r="I79" s="28" t="s">
        <v>412</v>
      </c>
      <c r="J79" s="6">
        <v>1774.01</v>
      </c>
      <c r="K79" s="6">
        <v>0</v>
      </c>
      <c r="L79" s="6">
        <f t="shared" si="40"/>
        <v>0</v>
      </c>
      <c r="M79" s="2">
        <v>0</v>
      </c>
      <c r="Z79" s="6">
        <f t="shared" si="41"/>
        <v>0</v>
      </c>
      <c r="AB79" s="6">
        <f t="shared" si="42"/>
        <v>0</v>
      </c>
      <c r="AC79" s="6">
        <f t="shared" si="43"/>
        <v>0</v>
      </c>
      <c r="AD79" s="6">
        <f t="shared" si="44"/>
        <v>0</v>
      </c>
      <c r="AE79" s="6">
        <f t="shared" si="45"/>
        <v>0</v>
      </c>
      <c r="AF79" s="6">
        <f t="shared" si="46"/>
        <v>0</v>
      </c>
      <c r="AG79" s="6">
        <f t="shared" si="47"/>
        <v>0</v>
      </c>
      <c r="AH79" s="6">
        <f t="shared" si="48"/>
        <v>0</v>
      </c>
      <c r="AI79" s="20" t="s">
        <v>318</v>
      </c>
      <c r="AJ79" s="6">
        <f t="shared" si="49"/>
        <v>0</v>
      </c>
      <c r="AK79" s="6">
        <f t="shared" si="50"/>
        <v>0</v>
      </c>
      <c r="AL79" s="6">
        <f t="shared" si="51"/>
        <v>0</v>
      </c>
      <c r="AN79" s="6">
        <v>21</v>
      </c>
      <c r="AO79" s="6">
        <f>K79*0</f>
        <v>0</v>
      </c>
      <c r="AP79" s="6">
        <f>K79*(1-0)</f>
        <v>0</v>
      </c>
      <c r="AQ79" s="3" t="s">
        <v>254</v>
      </c>
      <c r="AV79" s="6">
        <f t="shared" si="52"/>
        <v>0</v>
      </c>
      <c r="AW79" s="6">
        <f t="shared" si="53"/>
        <v>0</v>
      </c>
      <c r="AX79" s="6">
        <f t="shared" si="54"/>
        <v>0</v>
      </c>
      <c r="AY79" s="3" t="s">
        <v>55</v>
      </c>
      <c r="AZ79" s="3" t="s">
        <v>257</v>
      </c>
      <c r="BA79" s="20" t="s">
        <v>360</v>
      </c>
      <c r="BC79" s="6">
        <f t="shared" si="55"/>
        <v>0</v>
      </c>
      <c r="BD79" s="6">
        <f t="shared" si="56"/>
        <v>0</v>
      </c>
      <c r="BE79" s="6">
        <v>0</v>
      </c>
      <c r="BF79" s="6">
        <f>79</f>
        <v>79</v>
      </c>
      <c r="BH79" s="6">
        <f t="shared" si="57"/>
        <v>0</v>
      </c>
      <c r="BI79" s="6">
        <f t="shared" si="58"/>
        <v>0</v>
      </c>
      <c r="BJ79" s="6">
        <f t="shared" si="59"/>
        <v>0</v>
      </c>
      <c r="BK79" s="6"/>
      <c r="BL79" s="6">
        <v>766</v>
      </c>
    </row>
    <row r="80" spans="1:47" ht="15" customHeight="1">
      <c r="A80" s="31" t="s">
        <v>318</v>
      </c>
      <c r="B80" s="12" t="s">
        <v>500</v>
      </c>
      <c r="C80" s="97" t="s">
        <v>413</v>
      </c>
      <c r="D80" s="97"/>
      <c r="E80" s="97"/>
      <c r="F80" s="97"/>
      <c r="G80" s="97"/>
      <c r="H80" s="97"/>
      <c r="I80" s="29" t="s">
        <v>434</v>
      </c>
      <c r="J80" s="29" t="s">
        <v>434</v>
      </c>
      <c r="K80" s="29" t="s">
        <v>434</v>
      </c>
      <c r="L80" s="10">
        <f>SUM(L81:L90)</f>
        <v>0</v>
      </c>
      <c r="M80" s="19" t="s">
        <v>318</v>
      </c>
      <c r="AI80" s="20" t="s">
        <v>318</v>
      </c>
      <c r="AS80" s="10">
        <f>SUM(AJ81:AJ90)</f>
        <v>0</v>
      </c>
      <c r="AT80" s="10">
        <f>SUM(AK81:AK90)</f>
        <v>0</v>
      </c>
      <c r="AU80" s="10">
        <f>SUM(AL81:AL90)</f>
        <v>0</v>
      </c>
    </row>
    <row r="81" spans="1:64" ht="15" customHeight="1">
      <c r="A81" s="17" t="s">
        <v>105</v>
      </c>
      <c r="B81" s="28" t="s">
        <v>73</v>
      </c>
      <c r="C81" s="52" t="s">
        <v>38</v>
      </c>
      <c r="D81" s="52"/>
      <c r="E81" s="52"/>
      <c r="F81" s="52"/>
      <c r="G81" s="52"/>
      <c r="H81" s="52"/>
      <c r="I81" s="28" t="s">
        <v>449</v>
      </c>
      <c r="J81" s="6">
        <v>7.07</v>
      </c>
      <c r="K81" s="6">
        <v>0</v>
      </c>
      <c r="L81" s="6">
        <f aca="true" t="shared" si="60" ref="L81:L90">J81*K81</f>
        <v>0</v>
      </c>
      <c r="M81" s="2">
        <v>0</v>
      </c>
      <c r="Z81" s="6">
        <f aca="true" t="shared" si="61" ref="Z81:Z90">IF(AQ81="5",BJ81,0)</f>
        <v>0</v>
      </c>
      <c r="AB81" s="6">
        <f aca="true" t="shared" si="62" ref="AB81:AB90">IF(AQ81="1",BH81,0)</f>
        <v>0</v>
      </c>
      <c r="AC81" s="6">
        <f aca="true" t="shared" si="63" ref="AC81:AC90">IF(AQ81="1",BI81,0)</f>
        <v>0</v>
      </c>
      <c r="AD81" s="6">
        <f aca="true" t="shared" si="64" ref="AD81:AD90">IF(AQ81="7",BH81,0)</f>
        <v>0</v>
      </c>
      <c r="AE81" s="6">
        <f aca="true" t="shared" si="65" ref="AE81:AE90">IF(AQ81="7",BI81,0)</f>
        <v>0</v>
      </c>
      <c r="AF81" s="6">
        <f aca="true" t="shared" si="66" ref="AF81:AF90">IF(AQ81="2",BH81,0)</f>
        <v>0</v>
      </c>
      <c r="AG81" s="6">
        <f aca="true" t="shared" si="67" ref="AG81:AG90">IF(AQ81="2",BI81,0)</f>
        <v>0</v>
      </c>
      <c r="AH81" s="6">
        <f aca="true" t="shared" si="68" ref="AH81:AH90">IF(AQ81="0",BJ81,0)</f>
        <v>0</v>
      </c>
      <c r="AI81" s="20" t="s">
        <v>318</v>
      </c>
      <c r="AJ81" s="6">
        <f aca="true" t="shared" si="69" ref="AJ81:AJ90">IF(AN81=0,L81,0)</f>
        <v>0</v>
      </c>
      <c r="AK81" s="6">
        <f aca="true" t="shared" si="70" ref="AK81:AK90">IF(AN81=15,L81,0)</f>
        <v>0</v>
      </c>
      <c r="AL81" s="6">
        <f aca="true" t="shared" si="71" ref="AL81:AL90">IF(AN81=21,L81,0)</f>
        <v>0</v>
      </c>
      <c r="AN81" s="6">
        <v>21</v>
      </c>
      <c r="AO81" s="6">
        <f>K81*0</f>
        <v>0</v>
      </c>
      <c r="AP81" s="6">
        <f>K81*(1-0)</f>
        <v>0</v>
      </c>
      <c r="AQ81" s="3" t="s">
        <v>456</v>
      </c>
      <c r="AV81" s="6">
        <f aca="true" t="shared" si="72" ref="AV81:AV90">AW81+AX81</f>
        <v>0</v>
      </c>
      <c r="AW81" s="6">
        <f aca="true" t="shared" si="73" ref="AW81:AW90">J81*AO81</f>
        <v>0</v>
      </c>
      <c r="AX81" s="6">
        <f aca="true" t="shared" si="74" ref="AX81:AX90">J81*AP81</f>
        <v>0</v>
      </c>
      <c r="AY81" s="3" t="s">
        <v>469</v>
      </c>
      <c r="AZ81" s="3" t="s">
        <v>113</v>
      </c>
      <c r="BA81" s="20" t="s">
        <v>360</v>
      </c>
      <c r="BC81" s="6">
        <f aca="true" t="shared" si="75" ref="BC81:BC90">AW81+AX81</f>
        <v>0</v>
      </c>
      <c r="BD81" s="6">
        <f aca="true" t="shared" si="76" ref="BD81:BD90">K81/(100-BE81)*100</f>
        <v>0</v>
      </c>
      <c r="BE81" s="6">
        <v>0</v>
      </c>
      <c r="BF81" s="6">
        <f>81</f>
        <v>81</v>
      </c>
      <c r="BH81" s="6">
        <f aca="true" t="shared" si="77" ref="BH81:BH90">J81*AO81</f>
        <v>0</v>
      </c>
      <c r="BI81" s="6">
        <f aca="true" t="shared" si="78" ref="BI81:BI90">J81*AP81</f>
        <v>0</v>
      </c>
      <c r="BJ81" s="6">
        <f aca="true" t="shared" si="79" ref="BJ81:BJ90">J81*K81</f>
        <v>0</v>
      </c>
      <c r="BK81" s="6"/>
      <c r="BL81" s="6">
        <v>771</v>
      </c>
    </row>
    <row r="82" spans="1:64" ht="15" customHeight="1">
      <c r="A82" s="17" t="s">
        <v>238</v>
      </c>
      <c r="B82" s="28" t="s">
        <v>118</v>
      </c>
      <c r="C82" s="52" t="s">
        <v>488</v>
      </c>
      <c r="D82" s="52"/>
      <c r="E82" s="52"/>
      <c r="F82" s="52"/>
      <c r="G82" s="52"/>
      <c r="H82" s="52"/>
      <c r="I82" s="28" t="s">
        <v>449</v>
      </c>
      <c r="J82" s="6">
        <v>14.8</v>
      </c>
      <c r="K82" s="6">
        <v>0</v>
      </c>
      <c r="L82" s="6">
        <f t="shared" si="60"/>
        <v>0</v>
      </c>
      <c r="M82" s="2">
        <v>0</v>
      </c>
      <c r="Z82" s="6">
        <f t="shared" si="61"/>
        <v>0</v>
      </c>
      <c r="AB82" s="6">
        <f t="shared" si="62"/>
        <v>0</v>
      </c>
      <c r="AC82" s="6">
        <f t="shared" si="63"/>
        <v>0</v>
      </c>
      <c r="AD82" s="6">
        <f t="shared" si="64"/>
        <v>0</v>
      </c>
      <c r="AE82" s="6">
        <f t="shared" si="65"/>
        <v>0</v>
      </c>
      <c r="AF82" s="6">
        <f t="shared" si="66"/>
        <v>0</v>
      </c>
      <c r="AG82" s="6">
        <f t="shared" si="67"/>
        <v>0</v>
      </c>
      <c r="AH82" s="6">
        <f t="shared" si="68"/>
        <v>0</v>
      </c>
      <c r="AI82" s="20" t="s">
        <v>318</v>
      </c>
      <c r="AJ82" s="6">
        <f t="shared" si="69"/>
        <v>0</v>
      </c>
      <c r="AK82" s="6">
        <f t="shared" si="70"/>
        <v>0</v>
      </c>
      <c r="AL82" s="6">
        <f t="shared" si="71"/>
        <v>0</v>
      </c>
      <c r="AN82" s="6">
        <v>21</v>
      </c>
      <c r="AO82" s="6">
        <f>K82*0</f>
        <v>0</v>
      </c>
      <c r="AP82" s="6">
        <f>K82*(1-0)</f>
        <v>0</v>
      </c>
      <c r="AQ82" s="3" t="s">
        <v>456</v>
      </c>
      <c r="AV82" s="6">
        <f t="shared" si="72"/>
        <v>0</v>
      </c>
      <c r="AW82" s="6">
        <f t="shared" si="73"/>
        <v>0</v>
      </c>
      <c r="AX82" s="6">
        <f t="shared" si="74"/>
        <v>0</v>
      </c>
      <c r="AY82" s="3" t="s">
        <v>469</v>
      </c>
      <c r="AZ82" s="3" t="s">
        <v>113</v>
      </c>
      <c r="BA82" s="20" t="s">
        <v>360</v>
      </c>
      <c r="BC82" s="6">
        <f t="shared" si="75"/>
        <v>0</v>
      </c>
      <c r="BD82" s="6">
        <f t="shared" si="76"/>
        <v>0</v>
      </c>
      <c r="BE82" s="6">
        <v>0</v>
      </c>
      <c r="BF82" s="6">
        <f>82</f>
        <v>82</v>
      </c>
      <c r="BH82" s="6">
        <f t="shared" si="77"/>
        <v>0</v>
      </c>
      <c r="BI82" s="6">
        <f t="shared" si="78"/>
        <v>0</v>
      </c>
      <c r="BJ82" s="6">
        <f t="shared" si="79"/>
        <v>0</v>
      </c>
      <c r="BK82" s="6"/>
      <c r="BL82" s="6">
        <v>771</v>
      </c>
    </row>
    <row r="83" spans="1:64" ht="15" customHeight="1">
      <c r="A83" s="17" t="s">
        <v>506</v>
      </c>
      <c r="B83" s="28" t="s">
        <v>339</v>
      </c>
      <c r="C83" s="52" t="s">
        <v>18</v>
      </c>
      <c r="D83" s="52"/>
      <c r="E83" s="52"/>
      <c r="F83" s="52"/>
      <c r="G83" s="52"/>
      <c r="H83" s="52"/>
      <c r="I83" s="28" t="s">
        <v>449</v>
      </c>
      <c r="J83" s="6">
        <v>21.11</v>
      </c>
      <c r="K83" s="6">
        <v>0</v>
      </c>
      <c r="L83" s="6">
        <f t="shared" si="60"/>
        <v>0</v>
      </c>
      <c r="M83" s="2">
        <v>0.00021</v>
      </c>
      <c r="Z83" s="6">
        <f t="shared" si="61"/>
        <v>0</v>
      </c>
      <c r="AB83" s="6">
        <f t="shared" si="62"/>
        <v>0</v>
      </c>
      <c r="AC83" s="6">
        <f t="shared" si="63"/>
        <v>0</v>
      </c>
      <c r="AD83" s="6">
        <f t="shared" si="64"/>
        <v>0</v>
      </c>
      <c r="AE83" s="6">
        <f t="shared" si="65"/>
        <v>0</v>
      </c>
      <c r="AF83" s="6">
        <f t="shared" si="66"/>
        <v>0</v>
      </c>
      <c r="AG83" s="6">
        <f t="shared" si="67"/>
        <v>0</v>
      </c>
      <c r="AH83" s="6">
        <f t="shared" si="68"/>
        <v>0</v>
      </c>
      <c r="AI83" s="20" t="s">
        <v>318</v>
      </c>
      <c r="AJ83" s="6">
        <f t="shared" si="69"/>
        <v>0</v>
      </c>
      <c r="AK83" s="6">
        <f t="shared" si="70"/>
        <v>0</v>
      </c>
      <c r="AL83" s="6">
        <f t="shared" si="71"/>
        <v>0</v>
      </c>
      <c r="AN83" s="6">
        <v>21</v>
      </c>
      <c r="AO83" s="6">
        <f>K83*0.479564130434783</f>
        <v>0</v>
      </c>
      <c r="AP83" s="6">
        <f>K83*(1-0.479564130434783)</f>
        <v>0</v>
      </c>
      <c r="AQ83" s="3" t="s">
        <v>456</v>
      </c>
      <c r="AV83" s="6">
        <f t="shared" si="72"/>
        <v>0</v>
      </c>
      <c r="AW83" s="6">
        <f t="shared" si="73"/>
        <v>0</v>
      </c>
      <c r="AX83" s="6">
        <f t="shared" si="74"/>
        <v>0</v>
      </c>
      <c r="AY83" s="3" t="s">
        <v>469</v>
      </c>
      <c r="AZ83" s="3" t="s">
        <v>113</v>
      </c>
      <c r="BA83" s="20" t="s">
        <v>360</v>
      </c>
      <c r="BC83" s="6">
        <f t="shared" si="75"/>
        <v>0</v>
      </c>
      <c r="BD83" s="6">
        <f t="shared" si="76"/>
        <v>0</v>
      </c>
      <c r="BE83" s="6">
        <v>0</v>
      </c>
      <c r="BF83" s="6">
        <f>83</f>
        <v>83</v>
      </c>
      <c r="BH83" s="6">
        <f t="shared" si="77"/>
        <v>0</v>
      </c>
      <c r="BI83" s="6">
        <f t="shared" si="78"/>
        <v>0</v>
      </c>
      <c r="BJ83" s="6">
        <f t="shared" si="79"/>
        <v>0</v>
      </c>
      <c r="BK83" s="6"/>
      <c r="BL83" s="6">
        <v>771</v>
      </c>
    </row>
    <row r="84" spans="1:64" ht="15" customHeight="1">
      <c r="A84" s="17" t="s">
        <v>478</v>
      </c>
      <c r="B84" s="28" t="s">
        <v>222</v>
      </c>
      <c r="C84" s="52" t="s">
        <v>428</v>
      </c>
      <c r="D84" s="52"/>
      <c r="E84" s="52"/>
      <c r="F84" s="52"/>
      <c r="G84" s="52"/>
      <c r="H84" s="52"/>
      <c r="I84" s="28" t="s">
        <v>394</v>
      </c>
      <c r="J84" s="6">
        <v>2</v>
      </c>
      <c r="K84" s="6">
        <v>0</v>
      </c>
      <c r="L84" s="6">
        <f t="shared" si="60"/>
        <v>0</v>
      </c>
      <c r="M84" s="2">
        <v>0</v>
      </c>
      <c r="Z84" s="6">
        <f t="shared" si="61"/>
        <v>0</v>
      </c>
      <c r="AB84" s="6">
        <f t="shared" si="62"/>
        <v>0</v>
      </c>
      <c r="AC84" s="6">
        <f t="shared" si="63"/>
        <v>0</v>
      </c>
      <c r="AD84" s="6">
        <f t="shared" si="64"/>
        <v>0</v>
      </c>
      <c r="AE84" s="6">
        <f t="shared" si="65"/>
        <v>0</v>
      </c>
      <c r="AF84" s="6">
        <f t="shared" si="66"/>
        <v>0</v>
      </c>
      <c r="AG84" s="6">
        <f t="shared" si="67"/>
        <v>0</v>
      </c>
      <c r="AH84" s="6">
        <f t="shared" si="68"/>
        <v>0</v>
      </c>
      <c r="AI84" s="20" t="s">
        <v>318</v>
      </c>
      <c r="AJ84" s="6">
        <f t="shared" si="69"/>
        <v>0</v>
      </c>
      <c r="AK84" s="6">
        <f t="shared" si="70"/>
        <v>0</v>
      </c>
      <c r="AL84" s="6">
        <f t="shared" si="71"/>
        <v>0</v>
      </c>
      <c r="AN84" s="6">
        <v>21</v>
      </c>
      <c r="AO84" s="6">
        <f>K84*0</f>
        <v>0</v>
      </c>
      <c r="AP84" s="6">
        <f>K84*(1-0)</f>
        <v>0</v>
      </c>
      <c r="AQ84" s="3" t="s">
        <v>456</v>
      </c>
      <c r="AV84" s="6">
        <f t="shared" si="72"/>
        <v>0</v>
      </c>
      <c r="AW84" s="6">
        <f t="shared" si="73"/>
        <v>0</v>
      </c>
      <c r="AX84" s="6">
        <f t="shared" si="74"/>
        <v>0</v>
      </c>
      <c r="AY84" s="3" t="s">
        <v>469</v>
      </c>
      <c r="AZ84" s="3" t="s">
        <v>113</v>
      </c>
      <c r="BA84" s="20" t="s">
        <v>360</v>
      </c>
      <c r="BC84" s="6">
        <f t="shared" si="75"/>
        <v>0</v>
      </c>
      <c r="BD84" s="6">
        <f t="shared" si="76"/>
        <v>0</v>
      </c>
      <c r="BE84" s="6">
        <v>0</v>
      </c>
      <c r="BF84" s="6">
        <f>84</f>
        <v>84</v>
      </c>
      <c r="BH84" s="6">
        <f t="shared" si="77"/>
        <v>0</v>
      </c>
      <c r="BI84" s="6">
        <f t="shared" si="78"/>
        <v>0</v>
      </c>
      <c r="BJ84" s="6">
        <f t="shared" si="79"/>
        <v>0</v>
      </c>
      <c r="BK84" s="6"/>
      <c r="BL84" s="6">
        <v>771</v>
      </c>
    </row>
    <row r="85" spans="1:64" ht="15" customHeight="1">
      <c r="A85" s="17" t="s">
        <v>9</v>
      </c>
      <c r="B85" s="28" t="s">
        <v>450</v>
      </c>
      <c r="C85" s="52" t="s">
        <v>344</v>
      </c>
      <c r="D85" s="52"/>
      <c r="E85" s="52"/>
      <c r="F85" s="52"/>
      <c r="G85" s="52"/>
      <c r="H85" s="52"/>
      <c r="I85" s="28" t="s">
        <v>394</v>
      </c>
      <c r="J85" s="6">
        <v>2.4</v>
      </c>
      <c r="K85" s="6">
        <v>0</v>
      </c>
      <c r="L85" s="6">
        <f t="shared" si="60"/>
        <v>0</v>
      </c>
      <c r="M85" s="2">
        <v>0</v>
      </c>
      <c r="Z85" s="6">
        <f t="shared" si="61"/>
        <v>0</v>
      </c>
      <c r="AB85" s="6">
        <f t="shared" si="62"/>
        <v>0</v>
      </c>
      <c r="AC85" s="6">
        <f t="shared" si="63"/>
        <v>0</v>
      </c>
      <c r="AD85" s="6">
        <f t="shared" si="64"/>
        <v>0</v>
      </c>
      <c r="AE85" s="6">
        <f t="shared" si="65"/>
        <v>0</v>
      </c>
      <c r="AF85" s="6">
        <f t="shared" si="66"/>
        <v>0</v>
      </c>
      <c r="AG85" s="6">
        <f t="shared" si="67"/>
        <v>0</v>
      </c>
      <c r="AH85" s="6">
        <f t="shared" si="68"/>
        <v>0</v>
      </c>
      <c r="AI85" s="20" t="s">
        <v>318</v>
      </c>
      <c r="AJ85" s="6">
        <f t="shared" si="69"/>
        <v>0</v>
      </c>
      <c r="AK85" s="6">
        <f t="shared" si="70"/>
        <v>0</v>
      </c>
      <c r="AL85" s="6">
        <f t="shared" si="71"/>
        <v>0</v>
      </c>
      <c r="AN85" s="6">
        <v>21</v>
      </c>
      <c r="AO85" s="6">
        <f>K85*0.355263157894737</f>
        <v>0</v>
      </c>
      <c r="AP85" s="6">
        <f>K85*(1-0.355263157894737)</f>
        <v>0</v>
      </c>
      <c r="AQ85" s="3" t="s">
        <v>456</v>
      </c>
      <c r="AV85" s="6">
        <f t="shared" si="72"/>
        <v>0</v>
      </c>
      <c r="AW85" s="6">
        <f t="shared" si="73"/>
        <v>0</v>
      </c>
      <c r="AX85" s="6">
        <f t="shared" si="74"/>
        <v>0</v>
      </c>
      <c r="AY85" s="3" t="s">
        <v>469</v>
      </c>
      <c r="AZ85" s="3" t="s">
        <v>113</v>
      </c>
      <c r="BA85" s="20" t="s">
        <v>360</v>
      </c>
      <c r="BC85" s="6">
        <f t="shared" si="75"/>
        <v>0</v>
      </c>
      <c r="BD85" s="6">
        <f t="shared" si="76"/>
        <v>0</v>
      </c>
      <c r="BE85" s="6">
        <v>0</v>
      </c>
      <c r="BF85" s="6">
        <f>85</f>
        <v>85</v>
      </c>
      <c r="BH85" s="6">
        <f t="shared" si="77"/>
        <v>0</v>
      </c>
      <c r="BI85" s="6">
        <f t="shared" si="78"/>
        <v>0</v>
      </c>
      <c r="BJ85" s="6">
        <f t="shared" si="79"/>
        <v>0</v>
      </c>
      <c r="BK85" s="6"/>
      <c r="BL85" s="6">
        <v>771</v>
      </c>
    </row>
    <row r="86" spans="1:64" ht="15" customHeight="1">
      <c r="A86" s="17" t="s">
        <v>80</v>
      </c>
      <c r="B86" s="28" t="s">
        <v>154</v>
      </c>
      <c r="C86" s="52" t="s">
        <v>155</v>
      </c>
      <c r="D86" s="52"/>
      <c r="E86" s="52"/>
      <c r="F86" s="52"/>
      <c r="G86" s="52"/>
      <c r="H86" s="52"/>
      <c r="I86" s="28" t="s">
        <v>449</v>
      </c>
      <c r="J86" s="6">
        <v>21.11</v>
      </c>
      <c r="K86" s="6">
        <v>0</v>
      </c>
      <c r="L86" s="6">
        <f t="shared" si="60"/>
        <v>0</v>
      </c>
      <c r="M86" s="2">
        <v>0.00399</v>
      </c>
      <c r="Z86" s="6">
        <f t="shared" si="61"/>
        <v>0</v>
      </c>
      <c r="AB86" s="6">
        <f t="shared" si="62"/>
        <v>0</v>
      </c>
      <c r="AC86" s="6">
        <f t="shared" si="63"/>
        <v>0</v>
      </c>
      <c r="AD86" s="6">
        <f t="shared" si="64"/>
        <v>0</v>
      </c>
      <c r="AE86" s="6">
        <f t="shared" si="65"/>
        <v>0</v>
      </c>
      <c r="AF86" s="6">
        <f t="shared" si="66"/>
        <v>0</v>
      </c>
      <c r="AG86" s="6">
        <f t="shared" si="67"/>
        <v>0</v>
      </c>
      <c r="AH86" s="6">
        <f t="shared" si="68"/>
        <v>0</v>
      </c>
      <c r="AI86" s="20" t="s">
        <v>318</v>
      </c>
      <c r="AJ86" s="6">
        <f t="shared" si="69"/>
        <v>0</v>
      </c>
      <c r="AK86" s="6">
        <f t="shared" si="70"/>
        <v>0</v>
      </c>
      <c r="AL86" s="6">
        <f t="shared" si="71"/>
        <v>0</v>
      </c>
      <c r="AN86" s="6">
        <v>21</v>
      </c>
      <c r="AO86" s="6">
        <f>K86*0.353901932759461</f>
        <v>0</v>
      </c>
      <c r="AP86" s="6">
        <f>K86*(1-0.353901932759461)</f>
        <v>0</v>
      </c>
      <c r="AQ86" s="3" t="s">
        <v>456</v>
      </c>
      <c r="AV86" s="6">
        <f t="shared" si="72"/>
        <v>0</v>
      </c>
      <c r="AW86" s="6">
        <f t="shared" si="73"/>
        <v>0</v>
      </c>
      <c r="AX86" s="6">
        <f t="shared" si="74"/>
        <v>0</v>
      </c>
      <c r="AY86" s="3" t="s">
        <v>469</v>
      </c>
      <c r="AZ86" s="3" t="s">
        <v>113</v>
      </c>
      <c r="BA86" s="20" t="s">
        <v>360</v>
      </c>
      <c r="BC86" s="6">
        <f t="shared" si="75"/>
        <v>0</v>
      </c>
      <c r="BD86" s="6">
        <f t="shared" si="76"/>
        <v>0</v>
      </c>
      <c r="BE86" s="6">
        <v>0</v>
      </c>
      <c r="BF86" s="6">
        <f>86</f>
        <v>86</v>
      </c>
      <c r="BH86" s="6">
        <f t="shared" si="77"/>
        <v>0</v>
      </c>
      <c r="BI86" s="6">
        <f t="shared" si="78"/>
        <v>0</v>
      </c>
      <c r="BJ86" s="6">
        <f t="shared" si="79"/>
        <v>0</v>
      </c>
      <c r="BK86" s="6"/>
      <c r="BL86" s="6">
        <v>771</v>
      </c>
    </row>
    <row r="87" spans="1:64" ht="15" customHeight="1">
      <c r="A87" s="17" t="s">
        <v>98</v>
      </c>
      <c r="B87" s="28" t="s">
        <v>53</v>
      </c>
      <c r="C87" s="52" t="s">
        <v>277</v>
      </c>
      <c r="D87" s="52"/>
      <c r="E87" s="52"/>
      <c r="F87" s="52"/>
      <c r="G87" s="52"/>
      <c r="H87" s="52"/>
      <c r="I87" s="28" t="s">
        <v>394</v>
      </c>
      <c r="J87" s="6">
        <v>28.44</v>
      </c>
      <c r="K87" s="6">
        <v>0</v>
      </c>
      <c r="L87" s="6">
        <f t="shared" si="60"/>
        <v>0</v>
      </c>
      <c r="M87" s="2">
        <v>4E-05</v>
      </c>
      <c r="Z87" s="6">
        <f t="shared" si="61"/>
        <v>0</v>
      </c>
      <c r="AB87" s="6">
        <f t="shared" si="62"/>
        <v>0</v>
      </c>
      <c r="AC87" s="6">
        <f t="shared" si="63"/>
        <v>0</v>
      </c>
      <c r="AD87" s="6">
        <f t="shared" si="64"/>
        <v>0</v>
      </c>
      <c r="AE87" s="6">
        <f t="shared" si="65"/>
        <v>0</v>
      </c>
      <c r="AF87" s="6">
        <f t="shared" si="66"/>
        <v>0</v>
      </c>
      <c r="AG87" s="6">
        <f t="shared" si="67"/>
        <v>0</v>
      </c>
      <c r="AH87" s="6">
        <f t="shared" si="68"/>
        <v>0</v>
      </c>
      <c r="AI87" s="20" t="s">
        <v>318</v>
      </c>
      <c r="AJ87" s="6">
        <f t="shared" si="69"/>
        <v>0</v>
      </c>
      <c r="AK87" s="6">
        <f t="shared" si="70"/>
        <v>0</v>
      </c>
      <c r="AL87" s="6">
        <f t="shared" si="71"/>
        <v>0</v>
      </c>
      <c r="AN87" s="6">
        <v>21</v>
      </c>
      <c r="AO87" s="6">
        <f>K87*0.415715846090194</f>
        <v>0</v>
      </c>
      <c r="AP87" s="6">
        <f>K87*(1-0.415715846090194)</f>
        <v>0</v>
      </c>
      <c r="AQ87" s="3" t="s">
        <v>456</v>
      </c>
      <c r="AV87" s="6">
        <f t="shared" si="72"/>
        <v>0</v>
      </c>
      <c r="AW87" s="6">
        <f t="shared" si="73"/>
        <v>0</v>
      </c>
      <c r="AX87" s="6">
        <f t="shared" si="74"/>
        <v>0</v>
      </c>
      <c r="AY87" s="3" t="s">
        <v>469</v>
      </c>
      <c r="AZ87" s="3" t="s">
        <v>113</v>
      </c>
      <c r="BA87" s="20" t="s">
        <v>360</v>
      </c>
      <c r="BC87" s="6">
        <f t="shared" si="75"/>
        <v>0</v>
      </c>
      <c r="BD87" s="6">
        <f t="shared" si="76"/>
        <v>0</v>
      </c>
      <c r="BE87" s="6">
        <v>0</v>
      </c>
      <c r="BF87" s="6">
        <f>87</f>
        <v>87</v>
      </c>
      <c r="BH87" s="6">
        <f t="shared" si="77"/>
        <v>0</v>
      </c>
      <c r="BI87" s="6">
        <f t="shared" si="78"/>
        <v>0</v>
      </c>
      <c r="BJ87" s="6">
        <f t="shared" si="79"/>
        <v>0</v>
      </c>
      <c r="BK87" s="6"/>
      <c r="BL87" s="6">
        <v>771</v>
      </c>
    </row>
    <row r="88" spans="1:64" ht="15" customHeight="1">
      <c r="A88" s="17" t="s">
        <v>373</v>
      </c>
      <c r="B88" s="28" t="s">
        <v>140</v>
      </c>
      <c r="C88" s="52" t="s">
        <v>435</v>
      </c>
      <c r="D88" s="52"/>
      <c r="E88" s="52"/>
      <c r="F88" s="52"/>
      <c r="G88" s="52"/>
      <c r="H88" s="52"/>
      <c r="I88" s="28" t="s">
        <v>449</v>
      </c>
      <c r="J88" s="6">
        <v>21.11</v>
      </c>
      <c r="K88" s="6">
        <v>0</v>
      </c>
      <c r="L88" s="6">
        <f t="shared" si="60"/>
        <v>0</v>
      </c>
      <c r="M88" s="2">
        <v>0.0012</v>
      </c>
      <c r="Z88" s="6">
        <f t="shared" si="61"/>
        <v>0</v>
      </c>
      <c r="AB88" s="6">
        <f t="shared" si="62"/>
        <v>0</v>
      </c>
      <c r="AC88" s="6">
        <f t="shared" si="63"/>
        <v>0</v>
      </c>
      <c r="AD88" s="6">
        <f t="shared" si="64"/>
        <v>0</v>
      </c>
      <c r="AE88" s="6">
        <f t="shared" si="65"/>
        <v>0</v>
      </c>
      <c r="AF88" s="6">
        <f t="shared" si="66"/>
        <v>0</v>
      </c>
      <c r="AG88" s="6">
        <f t="shared" si="67"/>
        <v>0</v>
      </c>
      <c r="AH88" s="6">
        <f t="shared" si="68"/>
        <v>0</v>
      </c>
      <c r="AI88" s="20" t="s">
        <v>318</v>
      </c>
      <c r="AJ88" s="6">
        <f t="shared" si="69"/>
        <v>0</v>
      </c>
      <c r="AK88" s="6">
        <f t="shared" si="70"/>
        <v>0</v>
      </c>
      <c r="AL88" s="6">
        <f t="shared" si="71"/>
        <v>0</v>
      </c>
      <c r="AN88" s="6">
        <v>21</v>
      </c>
      <c r="AO88" s="6">
        <f>K88*0.998955357142857</f>
        <v>0</v>
      </c>
      <c r="AP88" s="6">
        <f>K88*(1-0.998955357142857)</f>
        <v>0</v>
      </c>
      <c r="AQ88" s="3" t="s">
        <v>456</v>
      </c>
      <c r="AV88" s="6">
        <f t="shared" si="72"/>
        <v>0</v>
      </c>
      <c r="AW88" s="6">
        <f t="shared" si="73"/>
        <v>0</v>
      </c>
      <c r="AX88" s="6">
        <f t="shared" si="74"/>
        <v>0</v>
      </c>
      <c r="AY88" s="3" t="s">
        <v>469</v>
      </c>
      <c r="AZ88" s="3" t="s">
        <v>113</v>
      </c>
      <c r="BA88" s="20" t="s">
        <v>360</v>
      </c>
      <c r="BC88" s="6">
        <f t="shared" si="75"/>
        <v>0</v>
      </c>
      <c r="BD88" s="6">
        <f t="shared" si="76"/>
        <v>0</v>
      </c>
      <c r="BE88" s="6">
        <v>0</v>
      </c>
      <c r="BF88" s="6">
        <f>88</f>
        <v>88</v>
      </c>
      <c r="BH88" s="6">
        <f t="shared" si="77"/>
        <v>0</v>
      </c>
      <c r="BI88" s="6">
        <f t="shared" si="78"/>
        <v>0</v>
      </c>
      <c r="BJ88" s="6">
        <f t="shared" si="79"/>
        <v>0</v>
      </c>
      <c r="BK88" s="6"/>
      <c r="BL88" s="6">
        <v>771</v>
      </c>
    </row>
    <row r="89" spans="1:64" ht="15" customHeight="1">
      <c r="A89" s="17" t="s">
        <v>46</v>
      </c>
      <c r="B89" s="28" t="s">
        <v>51</v>
      </c>
      <c r="C89" s="52" t="s">
        <v>269</v>
      </c>
      <c r="D89" s="52"/>
      <c r="E89" s="52"/>
      <c r="F89" s="52"/>
      <c r="G89" s="52"/>
      <c r="H89" s="52"/>
      <c r="I89" s="28" t="s">
        <v>449</v>
      </c>
      <c r="J89" s="6">
        <v>23.22</v>
      </c>
      <c r="K89" s="6">
        <v>0</v>
      </c>
      <c r="L89" s="6">
        <f t="shared" si="60"/>
        <v>0</v>
      </c>
      <c r="M89" s="2">
        <v>0.0192</v>
      </c>
      <c r="Z89" s="6">
        <f t="shared" si="61"/>
        <v>0</v>
      </c>
      <c r="AB89" s="6">
        <f t="shared" si="62"/>
        <v>0</v>
      </c>
      <c r="AC89" s="6">
        <f t="shared" si="63"/>
        <v>0</v>
      </c>
      <c r="AD89" s="6">
        <f t="shared" si="64"/>
        <v>0</v>
      </c>
      <c r="AE89" s="6">
        <f t="shared" si="65"/>
        <v>0</v>
      </c>
      <c r="AF89" s="6">
        <f t="shared" si="66"/>
        <v>0</v>
      </c>
      <c r="AG89" s="6">
        <f t="shared" si="67"/>
        <v>0</v>
      </c>
      <c r="AH89" s="6">
        <f t="shared" si="68"/>
        <v>0</v>
      </c>
      <c r="AI89" s="20" t="s">
        <v>318</v>
      </c>
      <c r="AJ89" s="6">
        <f t="shared" si="69"/>
        <v>0</v>
      </c>
      <c r="AK89" s="6">
        <f t="shared" si="70"/>
        <v>0</v>
      </c>
      <c r="AL89" s="6">
        <f t="shared" si="71"/>
        <v>0</v>
      </c>
      <c r="AN89" s="6">
        <v>21</v>
      </c>
      <c r="AO89" s="6">
        <f>K89*1</f>
        <v>0</v>
      </c>
      <c r="AP89" s="6">
        <f>K89*(1-1)</f>
        <v>0</v>
      </c>
      <c r="AQ89" s="3" t="s">
        <v>456</v>
      </c>
      <c r="AV89" s="6">
        <f t="shared" si="72"/>
        <v>0</v>
      </c>
      <c r="AW89" s="6">
        <f t="shared" si="73"/>
        <v>0</v>
      </c>
      <c r="AX89" s="6">
        <f t="shared" si="74"/>
        <v>0</v>
      </c>
      <c r="AY89" s="3" t="s">
        <v>469</v>
      </c>
      <c r="AZ89" s="3" t="s">
        <v>113</v>
      </c>
      <c r="BA89" s="20" t="s">
        <v>360</v>
      </c>
      <c r="BC89" s="6">
        <f t="shared" si="75"/>
        <v>0</v>
      </c>
      <c r="BD89" s="6">
        <f t="shared" si="76"/>
        <v>0</v>
      </c>
      <c r="BE89" s="6">
        <v>0</v>
      </c>
      <c r="BF89" s="6">
        <f>89</f>
        <v>89</v>
      </c>
      <c r="BH89" s="6">
        <f t="shared" si="77"/>
        <v>0</v>
      </c>
      <c r="BI89" s="6">
        <f t="shared" si="78"/>
        <v>0</v>
      </c>
      <c r="BJ89" s="6">
        <f t="shared" si="79"/>
        <v>0</v>
      </c>
      <c r="BK89" s="6"/>
      <c r="BL89" s="6">
        <v>771</v>
      </c>
    </row>
    <row r="90" spans="1:64" ht="15" customHeight="1">
      <c r="A90" s="17" t="s">
        <v>366</v>
      </c>
      <c r="B90" s="28" t="s">
        <v>283</v>
      </c>
      <c r="C90" s="52" t="s">
        <v>363</v>
      </c>
      <c r="D90" s="52"/>
      <c r="E90" s="52"/>
      <c r="F90" s="52"/>
      <c r="G90" s="52"/>
      <c r="H90" s="52"/>
      <c r="I90" s="28" t="s">
        <v>412</v>
      </c>
      <c r="J90" s="6">
        <v>411.4</v>
      </c>
      <c r="K90" s="6">
        <v>0</v>
      </c>
      <c r="L90" s="6">
        <f t="shared" si="60"/>
        <v>0</v>
      </c>
      <c r="M90" s="2">
        <v>0</v>
      </c>
      <c r="Z90" s="6">
        <f t="shared" si="61"/>
        <v>0</v>
      </c>
      <c r="AB90" s="6">
        <f t="shared" si="62"/>
        <v>0</v>
      </c>
      <c r="AC90" s="6">
        <f t="shared" si="63"/>
        <v>0</v>
      </c>
      <c r="AD90" s="6">
        <f t="shared" si="64"/>
        <v>0</v>
      </c>
      <c r="AE90" s="6">
        <f t="shared" si="65"/>
        <v>0</v>
      </c>
      <c r="AF90" s="6">
        <f t="shared" si="66"/>
        <v>0</v>
      </c>
      <c r="AG90" s="6">
        <f t="shared" si="67"/>
        <v>0</v>
      </c>
      <c r="AH90" s="6">
        <f t="shared" si="68"/>
        <v>0</v>
      </c>
      <c r="AI90" s="20" t="s">
        <v>318</v>
      </c>
      <c r="AJ90" s="6">
        <f t="shared" si="69"/>
        <v>0</v>
      </c>
      <c r="AK90" s="6">
        <f t="shared" si="70"/>
        <v>0</v>
      </c>
      <c r="AL90" s="6">
        <f t="shared" si="71"/>
        <v>0</v>
      </c>
      <c r="AN90" s="6">
        <v>21</v>
      </c>
      <c r="AO90" s="6">
        <f>K90*0</f>
        <v>0</v>
      </c>
      <c r="AP90" s="6">
        <f>K90*(1-0)</f>
        <v>0</v>
      </c>
      <c r="AQ90" s="3" t="s">
        <v>254</v>
      </c>
      <c r="AV90" s="6">
        <f t="shared" si="72"/>
        <v>0</v>
      </c>
      <c r="AW90" s="6">
        <f t="shared" si="73"/>
        <v>0</v>
      </c>
      <c r="AX90" s="6">
        <f t="shared" si="74"/>
        <v>0</v>
      </c>
      <c r="AY90" s="3" t="s">
        <v>469</v>
      </c>
      <c r="AZ90" s="3" t="s">
        <v>113</v>
      </c>
      <c r="BA90" s="20" t="s">
        <v>360</v>
      </c>
      <c r="BC90" s="6">
        <f t="shared" si="75"/>
        <v>0</v>
      </c>
      <c r="BD90" s="6">
        <f t="shared" si="76"/>
        <v>0</v>
      </c>
      <c r="BE90" s="6">
        <v>0</v>
      </c>
      <c r="BF90" s="6">
        <f>90</f>
        <v>90</v>
      </c>
      <c r="BH90" s="6">
        <f t="shared" si="77"/>
        <v>0</v>
      </c>
      <c r="BI90" s="6">
        <f t="shared" si="78"/>
        <v>0</v>
      </c>
      <c r="BJ90" s="6">
        <f t="shared" si="79"/>
        <v>0</v>
      </c>
      <c r="BK90" s="6"/>
      <c r="BL90" s="6">
        <v>771</v>
      </c>
    </row>
    <row r="91" spans="1:47" ht="15" customHeight="1">
      <c r="A91" s="31" t="s">
        <v>318</v>
      </c>
      <c r="B91" s="12" t="s">
        <v>384</v>
      </c>
      <c r="C91" s="97" t="s">
        <v>203</v>
      </c>
      <c r="D91" s="97"/>
      <c r="E91" s="97"/>
      <c r="F91" s="97"/>
      <c r="G91" s="97"/>
      <c r="H91" s="97"/>
      <c r="I91" s="29" t="s">
        <v>434</v>
      </c>
      <c r="J91" s="29" t="s">
        <v>434</v>
      </c>
      <c r="K91" s="29" t="s">
        <v>434</v>
      </c>
      <c r="L91" s="10">
        <f>SUM(L92:L101)</f>
        <v>0</v>
      </c>
      <c r="M91" s="19" t="s">
        <v>318</v>
      </c>
      <c r="AI91" s="20" t="s">
        <v>318</v>
      </c>
      <c r="AS91" s="10">
        <f>SUM(AJ92:AJ101)</f>
        <v>0</v>
      </c>
      <c r="AT91" s="10">
        <f>SUM(AK92:AK101)</f>
        <v>0</v>
      </c>
      <c r="AU91" s="10">
        <f>SUM(AL92:AL101)</f>
        <v>0</v>
      </c>
    </row>
    <row r="92" spans="1:64" ht="15" customHeight="1">
      <c r="A92" s="17" t="s">
        <v>290</v>
      </c>
      <c r="B92" s="28" t="s">
        <v>127</v>
      </c>
      <c r="C92" s="52" t="s">
        <v>261</v>
      </c>
      <c r="D92" s="52"/>
      <c r="E92" s="52"/>
      <c r="F92" s="52"/>
      <c r="G92" s="52"/>
      <c r="H92" s="52"/>
      <c r="I92" s="28" t="s">
        <v>449</v>
      </c>
      <c r="J92" s="6">
        <v>56.95</v>
      </c>
      <c r="K92" s="6">
        <v>0</v>
      </c>
      <c r="L92" s="6">
        <f aca="true" t="shared" si="80" ref="L92:L101">J92*K92</f>
        <v>0</v>
      </c>
      <c r="M92" s="2">
        <v>0.00016</v>
      </c>
      <c r="Z92" s="6">
        <f aca="true" t="shared" si="81" ref="Z92:Z101">IF(AQ92="5",BJ92,0)</f>
        <v>0</v>
      </c>
      <c r="AB92" s="6">
        <f aca="true" t="shared" si="82" ref="AB92:AB101">IF(AQ92="1",BH92,0)</f>
        <v>0</v>
      </c>
      <c r="AC92" s="6">
        <f aca="true" t="shared" si="83" ref="AC92:AC101">IF(AQ92="1",BI92,0)</f>
        <v>0</v>
      </c>
      <c r="AD92" s="6">
        <f aca="true" t="shared" si="84" ref="AD92:AD101">IF(AQ92="7",BH92,0)</f>
        <v>0</v>
      </c>
      <c r="AE92" s="6">
        <f aca="true" t="shared" si="85" ref="AE92:AE101">IF(AQ92="7",BI92,0)</f>
        <v>0</v>
      </c>
      <c r="AF92" s="6">
        <f aca="true" t="shared" si="86" ref="AF92:AF101">IF(AQ92="2",BH92,0)</f>
        <v>0</v>
      </c>
      <c r="AG92" s="6">
        <f aca="true" t="shared" si="87" ref="AG92:AG101">IF(AQ92="2",BI92,0)</f>
        <v>0</v>
      </c>
      <c r="AH92" s="6">
        <f aca="true" t="shared" si="88" ref="AH92:AH101">IF(AQ92="0",BJ92,0)</f>
        <v>0</v>
      </c>
      <c r="AI92" s="20" t="s">
        <v>318</v>
      </c>
      <c r="AJ92" s="6">
        <f aca="true" t="shared" si="89" ref="AJ92:AJ101">IF(AN92=0,L92,0)</f>
        <v>0</v>
      </c>
      <c r="AK92" s="6">
        <f aca="true" t="shared" si="90" ref="AK92:AK101">IF(AN92=15,L92,0)</f>
        <v>0</v>
      </c>
      <c r="AL92" s="6">
        <f aca="true" t="shared" si="91" ref="AL92:AL101">IF(AN92=21,L92,0)</f>
        <v>0</v>
      </c>
      <c r="AN92" s="6">
        <v>21</v>
      </c>
      <c r="AO92" s="6">
        <f>K92*0.408431488549618</f>
        <v>0</v>
      </c>
      <c r="AP92" s="6">
        <f>K92*(1-0.408431488549618)</f>
        <v>0</v>
      </c>
      <c r="AQ92" s="3" t="s">
        <v>456</v>
      </c>
      <c r="AV92" s="6">
        <f aca="true" t="shared" si="92" ref="AV92:AV101">AW92+AX92</f>
        <v>0</v>
      </c>
      <c r="AW92" s="6">
        <f aca="true" t="shared" si="93" ref="AW92:AW101">J92*AO92</f>
        <v>0</v>
      </c>
      <c r="AX92" s="6">
        <f aca="true" t="shared" si="94" ref="AX92:AX101">J92*AP92</f>
        <v>0</v>
      </c>
      <c r="AY92" s="3" t="s">
        <v>213</v>
      </c>
      <c r="AZ92" s="3" t="s">
        <v>207</v>
      </c>
      <c r="BA92" s="20" t="s">
        <v>360</v>
      </c>
      <c r="BC92" s="6">
        <f aca="true" t="shared" si="95" ref="BC92:BC101">AW92+AX92</f>
        <v>0</v>
      </c>
      <c r="BD92" s="6">
        <f aca="true" t="shared" si="96" ref="BD92:BD101">K92/(100-BE92)*100</f>
        <v>0</v>
      </c>
      <c r="BE92" s="6">
        <v>0</v>
      </c>
      <c r="BF92" s="6">
        <f>92</f>
        <v>92</v>
      </c>
      <c r="BH92" s="6">
        <f aca="true" t="shared" si="97" ref="BH92:BH101">J92*AO92</f>
        <v>0</v>
      </c>
      <c r="BI92" s="6">
        <f aca="true" t="shared" si="98" ref="BI92:BI101">J92*AP92</f>
        <v>0</v>
      </c>
      <c r="BJ92" s="6">
        <f aca="true" t="shared" si="99" ref="BJ92:BJ101">J92*K92</f>
        <v>0</v>
      </c>
      <c r="BK92" s="6"/>
      <c r="BL92" s="6">
        <v>781</v>
      </c>
    </row>
    <row r="93" spans="1:64" ht="15" customHeight="1">
      <c r="A93" s="17" t="s">
        <v>459</v>
      </c>
      <c r="B93" s="28" t="s">
        <v>130</v>
      </c>
      <c r="C93" s="52" t="s">
        <v>188</v>
      </c>
      <c r="D93" s="52"/>
      <c r="E93" s="52"/>
      <c r="F93" s="52"/>
      <c r="G93" s="52"/>
      <c r="H93" s="52"/>
      <c r="I93" s="28" t="s">
        <v>117</v>
      </c>
      <c r="J93" s="6">
        <v>10</v>
      </c>
      <c r="K93" s="6">
        <v>0</v>
      </c>
      <c r="L93" s="6">
        <f t="shared" si="80"/>
        <v>0</v>
      </c>
      <c r="M93" s="2">
        <v>0</v>
      </c>
      <c r="Z93" s="6">
        <f t="shared" si="81"/>
        <v>0</v>
      </c>
      <c r="AB93" s="6">
        <f t="shared" si="82"/>
        <v>0</v>
      </c>
      <c r="AC93" s="6">
        <f t="shared" si="83"/>
        <v>0</v>
      </c>
      <c r="AD93" s="6">
        <f t="shared" si="84"/>
        <v>0</v>
      </c>
      <c r="AE93" s="6">
        <f t="shared" si="85"/>
        <v>0</v>
      </c>
      <c r="AF93" s="6">
        <f t="shared" si="86"/>
        <v>0</v>
      </c>
      <c r="AG93" s="6">
        <f t="shared" si="87"/>
        <v>0</v>
      </c>
      <c r="AH93" s="6">
        <f t="shared" si="88"/>
        <v>0</v>
      </c>
      <c r="AI93" s="20" t="s">
        <v>318</v>
      </c>
      <c r="AJ93" s="6">
        <f t="shared" si="89"/>
        <v>0</v>
      </c>
      <c r="AK93" s="6">
        <f t="shared" si="90"/>
        <v>0</v>
      </c>
      <c r="AL93" s="6">
        <f t="shared" si="91"/>
        <v>0</v>
      </c>
      <c r="AN93" s="6">
        <v>21</v>
      </c>
      <c r="AO93" s="6">
        <f>K93*0.0182278481012658</f>
        <v>0</v>
      </c>
      <c r="AP93" s="6">
        <f>K93*(1-0.0182278481012658)</f>
        <v>0</v>
      </c>
      <c r="AQ93" s="3" t="s">
        <v>456</v>
      </c>
      <c r="AV93" s="6">
        <f t="shared" si="92"/>
        <v>0</v>
      </c>
      <c r="AW93" s="6">
        <f t="shared" si="93"/>
        <v>0</v>
      </c>
      <c r="AX93" s="6">
        <f t="shared" si="94"/>
        <v>0</v>
      </c>
      <c r="AY93" s="3" t="s">
        <v>213</v>
      </c>
      <c r="AZ93" s="3" t="s">
        <v>207</v>
      </c>
      <c r="BA93" s="20" t="s">
        <v>360</v>
      </c>
      <c r="BC93" s="6">
        <f t="shared" si="95"/>
        <v>0</v>
      </c>
      <c r="BD93" s="6">
        <f t="shared" si="96"/>
        <v>0</v>
      </c>
      <c r="BE93" s="6">
        <v>0</v>
      </c>
      <c r="BF93" s="6">
        <f>93</f>
        <v>93</v>
      </c>
      <c r="BH93" s="6">
        <f t="shared" si="97"/>
        <v>0</v>
      </c>
      <c r="BI93" s="6">
        <f t="shared" si="98"/>
        <v>0</v>
      </c>
      <c r="BJ93" s="6">
        <f t="shared" si="99"/>
        <v>0</v>
      </c>
      <c r="BK93" s="6"/>
      <c r="BL93" s="6">
        <v>781</v>
      </c>
    </row>
    <row r="94" spans="1:64" ht="15" customHeight="1">
      <c r="A94" s="17" t="s">
        <v>431</v>
      </c>
      <c r="B94" s="28" t="s">
        <v>419</v>
      </c>
      <c r="C94" s="52" t="s">
        <v>122</v>
      </c>
      <c r="D94" s="52"/>
      <c r="E94" s="52"/>
      <c r="F94" s="52"/>
      <c r="G94" s="52"/>
      <c r="H94" s="52"/>
      <c r="I94" s="28" t="s">
        <v>117</v>
      </c>
      <c r="J94" s="6">
        <v>5</v>
      </c>
      <c r="K94" s="6">
        <v>0</v>
      </c>
      <c r="L94" s="6">
        <f t="shared" si="80"/>
        <v>0</v>
      </c>
      <c r="M94" s="2">
        <v>0</v>
      </c>
      <c r="Z94" s="6">
        <f t="shared" si="81"/>
        <v>0</v>
      </c>
      <c r="AB94" s="6">
        <f t="shared" si="82"/>
        <v>0</v>
      </c>
      <c r="AC94" s="6">
        <f t="shared" si="83"/>
        <v>0</v>
      </c>
      <c r="AD94" s="6">
        <f t="shared" si="84"/>
        <v>0</v>
      </c>
      <c r="AE94" s="6">
        <f t="shared" si="85"/>
        <v>0</v>
      </c>
      <c r="AF94" s="6">
        <f t="shared" si="86"/>
        <v>0</v>
      </c>
      <c r="AG94" s="6">
        <f t="shared" si="87"/>
        <v>0</v>
      </c>
      <c r="AH94" s="6">
        <f t="shared" si="88"/>
        <v>0</v>
      </c>
      <c r="AI94" s="20" t="s">
        <v>318</v>
      </c>
      <c r="AJ94" s="6">
        <f t="shared" si="89"/>
        <v>0</v>
      </c>
      <c r="AK94" s="6">
        <f t="shared" si="90"/>
        <v>0</v>
      </c>
      <c r="AL94" s="6">
        <f t="shared" si="91"/>
        <v>0</v>
      </c>
      <c r="AN94" s="6">
        <v>21</v>
      </c>
      <c r="AO94" s="6">
        <f>K94*0.0599290780141844</f>
        <v>0</v>
      </c>
      <c r="AP94" s="6">
        <f>K94*(1-0.0599290780141844)</f>
        <v>0</v>
      </c>
      <c r="AQ94" s="3" t="s">
        <v>456</v>
      </c>
      <c r="AV94" s="6">
        <f t="shared" si="92"/>
        <v>0</v>
      </c>
      <c r="AW94" s="6">
        <f t="shared" si="93"/>
        <v>0</v>
      </c>
      <c r="AX94" s="6">
        <f t="shared" si="94"/>
        <v>0</v>
      </c>
      <c r="AY94" s="3" t="s">
        <v>213</v>
      </c>
      <c r="AZ94" s="3" t="s">
        <v>207</v>
      </c>
      <c r="BA94" s="20" t="s">
        <v>360</v>
      </c>
      <c r="BC94" s="6">
        <f t="shared" si="95"/>
        <v>0</v>
      </c>
      <c r="BD94" s="6">
        <f t="shared" si="96"/>
        <v>0</v>
      </c>
      <c r="BE94" s="6">
        <v>0</v>
      </c>
      <c r="BF94" s="6">
        <f>94</f>
        <v>94</v>
      </c>
      <c r="BH94" s="6">
        <f t="shared" si="97"/>
        <v>0</v>
      </c>
      <c r="BI94" s="6">
        <f t="shared" si="98"/>
        <v>0</v>
      </c>
      <c r="BJ94" s="6">
        <f t="shared" si="99"/>
        <v>0</v>
      </c>
      <c r="BK94" s="6"/>
      <c r="BL94" s="6">
        <v>781</v>
      </c>
    </row>
    <row r="95" spans="1:64" ht="15" customHeight="1">
      <c r="A95" s="17" t="s">
        <v>310</v>
      </c>
      <c r="B95" s="28" t="s">
        <v>386</v>
      </c>
      <c r="C95" s="52" t="s">
        <v>137</v>
      </c>
      <c r="D95" s="52"/>
      <c r="E95" s="52"/>
      <c r="F95" s="52"/>
      <c r="G95" s="52"/>
      <c r="H95" s="52"/>
      <c r="I95" s="28" t="s">
        <v>394</v>
      </c>
      <c r="J95" s="6">
        <v>32.74</v>
      </c>
      <c r="K95" s="6">
        <v>0</v>
      </c>
      <c r="L95" s="6">
        <f t="shared" si="80"/>
        <v>0</v>
      </c>
      <c r="M95" s="2">
        <v>0</v>
      </c>
      <c r="Z95" s="6">
        <f t="shared" si="81"/>
        <v>0</v>
      </c>
      <c r="AB95" s="6">
        <f t="shared" si="82"/>
        <v>0</v>
      </c>
      <c r="AC95" s="6">
        <f t="shared" si="83"/>
        <v>0</v>
      </c>
      <c r="AD95" s="6">
        <f t="shared" si="84"/>
        <v>0</v>
      </c>
      <c r="AE95" s="6">
        <f t="shared" si="85"/>
        <v>0</v>
      </c>
      <c r="AF95" s="6">
        <f t="shared" si="86"/>
        <v>0</v>
      </c>
      <c r="AG95" s="6">
        <f t="shared" si="87"/>
        <v>0</v>
      </c>
      <c r="AH95" s="6">
        <f t="shared" si="88"/>
        <v>0</v>
      </c>
      <c r="AI95" s="20" t="s">
        <v>318</v>
      </c>
      <c r="AJ95" s="6">
        <f t="shared" si="89"/>
        <v>0</v>
      </c>
      <c r="AK95" s="6">
        <f t="shared" si="90"/>
        <v>0</v>
      </c>
      <c r="AL95" s="6">
        <f t="shared" si="91"/>
        <v>0</v>
      </c>
      <c r="AN95" s="6">
        <v>21</v>
      </c>
      <c r="AO95" s="6">
        <f>K95*0</f>
        <v>0</v>
      </c>
      <c r="AP95" s="6">
        <f>K95*(1-0)</f>
        <v>0</v>
      </c>
      <c r="AQ95" s="3" t="s">
        <v>456</v>
      </c>
      <c r="AV95" s="6">
        <f t="shared" si="92"/>
        <v>0</v>
      </c>
      <c r="AW95" s="6">
        <f t="shared" si="93"/>
        <v>0</v>
      </c>
      <c r="AX95" s="6">
        <f t="shared" si="94"/>
        <v>0</v>
      </c>
      <c r="AY95" s="3" t="s">
        <v>213</v>
      </c>
      <c r="AZ95" s="3" t="s">
        <v>207</v>
      </c>
      <c r="BA95" s="20" t="s">
        <v>360</v>
      </c>
      <c r="BC95" s="6">
        <f t="shared" si="95"/>
        <v>0</v>
      </c>
      <c r="BD95" s="6">
        <f t="shared" si="96"/>
        <v>0</v>
      </c>
      <c r="BE95" s="6">
        <v>0</v>
      </c>
      <c r="BF95" s="6">
        <f>95</f>
        <v>95</v>
      </c>
      <c r="BH95" s="6">
        <f t="shared" si="97"/>
        <v>0</v>
      </c>
      <c r="BI95" s="6">
        <f t="shared" si="98"/>
        <v>0</v>
      </c>
      <c r="BJ95" s="6">
        <f t="shared" si="99"/>
        <v>0</v>
      </c>
      <c r="BK95" s="6"/>
      <c r="BL95" s="6">
        <v>781</v>
      </c>
    </row>
    <row r="96" spans="1:64" ht="15" customHeight="1">
      <c r="A96" s="17" t="s">
        <v>244</v>
      </c>
      <c r="B96" s="28" t="s">
        <v>184</v>
      </c>
      <c r="C96" s="52" t="s">
        <v>246</v>
      </c>
      <c r="D96" s="52"/>
      <c r="E96" s="52"/>
      <c r="F96" s="52"/>
      <c r="G96" s="52"/>
      <c r="H96" s="52"/>
      <c r="I96" s="28" t="s">
        <v>449</v>
      </c>
      <c r="J96" s="6">
        <v>56.95</v>
      </c>
      <c r="K96" s="6">
        <v>0</v>
      </c>
      <c r="L96" s="6">
        <f t="shared" si="80"/>
        <v>0</v>
      </c>
      <c r="M96" s="2">
        <v>0.04277</v>
      </c>
      <c r="Z96" s="6">
        <f t="shared" si="81"/>
        <v>0</v>
      </c>
      <c r="AB96" s="6">
        <f t="shared" si="82"/>
        <v>0</v>
      </c>
      <c r="AC96" s="6">
        <f t="shared" si="83"/>
        <v>0</v>
      </c>
      <c r="AD96" s="6">
        <f t="shared" si="84"/>
        <v>0</v>
      </c>
      <c r="AE96" s="6">
        <f t="shared" si="85"/>
        <v>0</v>
      </c>
      <c r="AF96" s="6">
        <f t="shared" si="86"/>
        <v>0</v>
      </c>
      <c r="AG96" s="6">
        <f t="shared" si="87"/>
        <v>0</v>
      </c>
      <c r="AH96" s="6">
        <f t="shared" si="88"/>
        <v>0</v>
      </c>
      <c r="AI96" s="20" t="s">
        <v>318</v>
      </c>
      <c r="AJ96" s="6">
        <f t="shared" si="89"/>
        <v>0</v>
      </c>
      <c r="AK96" s="6">
        <f t="shared" si="90"/>
        <v>0</v>
      </c>
      <c r="AL96" s="6">
        <f t="shared" si="91"/>
        <v>0</v>
      </c>
      <c r="AN96" s="6">
        <v>21</v>
      </c>
      <c r="AO96" s="6">
        <f>K96*0.0741747913966299</f>
        <v>0</v>
      </c>
      <c r="AP96" s="6">
        <f>K96*(1-0.0741747913966299)</f>
        <v>0</v>
      </c>
      <c r="AQ96" s="3" t="s">
        <v>456</v>
      </c>
      <c r="AV96" s="6">
        <f t="shared" si="92"/>
        <v>0</v>
      </c>
      <c r="AW96" s="6">
        <f t="shared" si="93"/>
        <v>0</v>
      </c>
      <c r="AX96" s="6">
        <f t="shared" si="94"/>
        <v>0</v>
      </c>
      <c r="AY96" s="3" t="s">
        <v>213</v>
      </c>
      <c r="AZ96" s="3" t="s">
        <v>207</v>
      </c>
      <c r="BA96" s="20" t="s">
        <v>360</v>
      </c>
      <c r="BC96" s="6">
        <f t="shared" si="95"/>
        <v>0</v>
      </c>
      <c r="BD96" s="6">
        <f t="shared" si="96"/>
        <v>0</v>
      </c>
      <c r="BE96" s="6">
        <v>0</v>
      </c>
      <c r="BF96" s="6">
        <f>96</f>
        <v>96</v>
      </c>
      <c r="BH96" s="6">
        <f t="shared" si="97"/>
        <v>0</v>
      </c>
      <c r="BI96" s="6">
        <f t="shared" si="98"/>
        <v>0</v>
      </c>
      <c r="BJ96" s="6">
        <f t="shared" si="99"/>
        <v>0</v>
      </c>
      <c r="BK96" s="6"/>
      <c r="BL96" s="6">
        <v>781</v>
      </c>
    </row>
    <row r="97" spans="1:64" ht="15" customHeight="1">
      <c r="A97" s="17" t="s">
        <v>102</v>
      </c>
      <c r="B97" s="28" t="s">
        <v>42</v>
      </c>
      <c r="C97" s="52" t="s">
        <v>119</v>
      </c>
      <c r="D97" s="52"/>
      <c r="E97" s="52"/>
      <c r="F97" s="52"/>
      <c r="G97" s="52"/>
      <c r="H97" s="52"/>
      <c r="I97" s="28" t="s">
        <v>394</v>
      </c>
      <c r="J97" s="6">
        <v>16.75</v>
      </c>
      <c r="K97" s="6">
        <v>0</v>
      </c>
      <c r="L97" s="6">
        <f t="shared" si="80"/>
        <v>0</v>
      </c>
      <c r="M97" s="2">
        <v>0</v>
      </c>
      <c r="Z97" s="6">
        <f t="shared" si="81"/>
        <v>0</v>
      </c>
      <c r="AB97" s="6">
        <f t="shared" si="82"/>
        <v>0</v>
      </c>
      <c r="AC97" s="6">
        <f t="shared" si="83"/>
        <v>0</v>
      </c>
      <c r="AD97" s="6">
        <f t="shared" si="84"/>
        <v>0</v>
      </c>
      <c r="AE97" s="6">
        <f t="shared" si="85"/>
        <v>0</v>
      </c>
      <c r="AF97" s="6">
        <f t="shared" si="86"/>
        <v>0</v>
      </c>
      <c r="AG97" s="6">
        <f t="shared" si="87"/>
        <v>0</v>
      </c>
      <c r="AH97" s="6">
        <f t="shared" si="88"/>
        <v>0</v>
      </c>
      <c r="AI97" s="20" t="s">
        <v>318</v>
      </c>
      <c r="AJ97" s="6">
        <f t="shared" si="89"/>
        <v>0</v>
      </c>
      <c r="AK97" s="6">
        <f t="shared" si="90"/>
        <v>0</v>
      </c>
      <c r="AL97" s="6">
        <f t="shared" si="91"/>
        <v>0</v>
      </c>
      <c r="AN97" s="6">
        <v>21</v>
      </c>
      <c r="AO97" s="6">
        <f>K97*0.423565032987747</f>
        <v>0</v>
      </c>
      <c r="AP97" s="6">
        <f>K97*(1-0.423565032987747)</f>
        <v>0</v>
      </c>
      <c r="AQ97" s="3" t="s">
        <v>456</v>
      </c>
      <c r="AV97" s="6">
        <f t="shared" si="92"/>
        <v>0</v>
      </c>
      <c r="AW97" s="6">
        <f t="shared" si="93"/>
        <v>0</v>
      </c>
      <c r="AX97" s="6">
        <f t="shared" si="94"/>
        <v>0</v>
      </c>
      <c r="AY97" s="3" t="s">
        <v>213</v>
      </c>
      <c r="AZ97" s="3" t="s">
        <v>207</v>
      </c>
      <c r="BA97" s="20" t="s">
        <v>360</v>
      </c>
      <c r="BC97" s="6">
        <f t="shared" si="95"/>
        <v>0</v>
      </c>
      <c r="BD97" s="6">
        <f t="shared" si="96"/>
        <v>0</v>
      </c>
      <c r="BE97" s="6">
        <v>0</v>
      </c>
      <c r="BF97" s="6">
        <f>97</f>
        <v>97</v>
      </c>
      <c r="BH97" s="6">
        <f t="shared" si="97"/>
        <v>0</v>
      </c>
      <c r="BI97" s="6">
        <f t="shared" si="98"/>
        <v>0</v>
      </c>
      <c r="BJ97" s="6">
        <f t="shared" si="99"/>
        <v>0</v>
      </c>
      <c r="BK97" s="6"/>
      <c r="BL97" s="6">
        <v>781</v>
      </c>
    </row>
    <row r="98" spans="1:64" ht="15" customHeight="1">
      <c r="A98" s="17" t="s">
        <v>45</v>
      </c>
      <c r="B98" s="28" t="s">
        <v>495</v>
      </c>
      <c r="C98" s="52" t="s">
        <v>132</v>
      </c>
      <c r="D98" s="52"/>
      <c r="E98" s="52"/>
      <c r="F98" s="52"/>
      <c r="G98" s="52"/>
      <c r="H98" s="52"/>
      <c r="I98" s="28" t="s">
        <v>449</v>
      </c>
      <c r="J98" s="6">
        <v>62.65</v>
      </c>
      <c r="K98" s="6">
        <v>0</v>
      </c>
      <c r="L98" s="6">
        <f t="shared" si="80"/>
        <v>0</v>
      </c>
      <c r="M98" s="2">
        <v>0.0105</v>
      </c>
      <c r="Z98" s="6">
        <f t="shared" si="81"/>
        <v>0</v>
      </c>
      <c r="AB98" s="6">
        <f t="shared" si="82"/>
        <v>0</v>
      </c>
      <c r="AC98" s="6">
        <f t="shared" si="83"/>
        <v>0</v>
      </c>
      <c r="AD98" s="6">
        <f t="shared" si="84"/>
        <v>0</v>
      </c>
      <c r="AE98" s="6">
        <f t="shared" si="85"/>
        <v>0</v>
      </c>
      <c r="AF98" s="6">
        <f t="shared" si="86"/>
        <v>0</v>
      </c>
      <c r="AG98" s="6">
        <f t="shared" si="87"/>
        <v>0</v>
      </c>
      <c r="AH98" s="6">
        <f t="shared" si="88"/>
        <v>0</v>
      </c>
      <c r="AI98" s="20" t="s">
        <v>318</v>
      </c>
      <c r="AJ98" s="6">
        <f t="shared" si="89"/>
        <v>0</v>
      </c>
      <c r="AK98" s="6">
        <f t="shared" si="90"/>
        <v>0</v>
      </c>
      <c r="AL98" s="6">
        <f t="shared" si="91"/>
        <v>0</v>
      </c>
      <c r="AN98" s="6">
        <v>21</v>
      </c>
      <c r="AO98" s="6">
        <f>K98*1</f>
        <v>0</v>
      </c>
      <c r="AP98" s="6">
        <f>K98*(1-1)</f>
        <v>0</v>
      </c>
      <c r="AQ98" s="3" t="s">
        <v>456</v>
      </c>
      <c r="AV98" s="6">
        <f t="shared" si="92"/>
        <v>0</v>
      </c>
      <c r="AW98" s="6">
        <f t="shared" si="93"/>
        <v>0</v>
      </c>
      <c r="AX98" s="6">
        <f t="shared" si="94"/>
        <v>0</v>
      </c>
      <c r="AY98" s="3" t="s">
        <v>213</v>
      </c>
      <c r="AZ98" s="3" t="s">
        <v>207</v>
      </c>
      <c r="BA98" s="20" t="s">
        <v>360</v>
      </c>
      <c r="BC98" s="6">
        <f t="shared" si="95"/>
        <v>0</v>
      </c>
      <c r="BD98" s="6">
        <f t="shared" si="96"/>
        <v>0</v>
      </c>
      <c r="BE98" s="6">
        <v>0</v>
      </c>
      <c r="BF98" s="6">
        <f>98</f>
        <v>98</v>
      </c>
      <c r="BH98" s="6">
        <f t="shared" si="97"/>
        <v>0</v>
      </c>
      <c r="BI98" s="6">
        <f t="shared" si="98"/>
        <v>0</v>
      </c>
      <c r="BJ98" s="6">
        <f t="shared" si="99"/>
        <v>0</v>
      </c>
      <c r="BK98" s="6"/>
      <c r="BL98" s="6">
        <v>781</v>
      </c>
    </row>
    <row r="99" spans="1:64" ht="15" customHeight="1">
      <c r="A99" s="17" t="s">
        <v>448</v>
      </c>
      <c r="B99" s="28" t="s">
        <v>14</v>
      </c>
      <c r="C99" s="52" t="s">
        <v>56</v>
      </c>
      <c r="D99" s="52"/>
      <c r="E99" s="52"/>
      <c r="F99" s="52"/>
      <c r="G99" s="52"/>
      <c r="H99" s="52"/>
      <c r="I99" s="28" t="s">
        <v>449</v>
      </c>
      <c r="J99" s="6">
        <v>56.95</v>
      </c>
      <c r="K99" s="6">
        <v>0</v>
      </c>
      <c r="L99" s="6">
        <f t="shared" si="80"/>
        <v>0</v>
      </c>
      <c r="M99" s="2">
        <v>0.0004</v>
      </c>
      <c r="Z99" s="6">
        <f t="shared" si="81"/>
        <v>0</v>
      </c>
      <c r="AB99" s="6">
        <f t="shared" si="82"/>
        <v>0</v>
      </c>
      <c r="AC99" s="6">
        <f t="shared" si="83"/>
        <v>0</v>
      </c>
      <c r="AD99" s="6">
        <f t="shared" si="84"/>
        <v>0</v>
      </c>
      <c r="AE99" s="6">
        <f t="shared" si="85"/>
        <v>0</v>
      </c>
      <c r="AF99" s="6">
        <f t="shared" si="86"/>
        <v>0</v>
      </c>
      <c r="AG99" s="6">
        <f t="shared" si="87"/>
        <v>0</v>
      </c>
      <c r="AH99" s="6">
        <f t="shared" si="88"/>
        <v>0</v>
      </c>
      <c r="AI99" s="20" t="s">
        <v>318</v>
      </c>
      <c r="AJ99" s="6">
        <f t="shared" si="89"/>
        <v>0</v>
      </c>
      <c r="AK99" s="6">
        <f t="shared" si="90"/>
        <v>0</v>
      </c>
      <c r="AL99" s="6">
        <f t="shared" si="91"/>
        <v>0</v>
      </c>
      <c r="AN99" s="6">
        <v>21</v>
      </c>
      <c r="AO99" s="6">
        <f>K99*0.999122807017544</f>
        <v>0</v>
      </c>
      <c r="AP99" s="6">
        <f>K99*(1-0.999122807017544)</f>
        <v>0</v>
      </c>
      <c r="AQ99" s="3" t="s">
        <v>456</v>
      </c>
      <c r="AV99" s="6">
        <f t="shared" si="92"/>
        <v>0</v>
      </c>
      <c r="AW99" s="6">
        <f t="shared" si="93"/>
        <v>0</v>
      </c>
      <c r="AX99" s="6">
        <f t="shared" si="94"/>
        <v>0</v>
      </c>
      <c r="AY99" s="3" t="s">
        <v>213</v>
      </c>
      <c r="AZ99" s="3" t="s">
        <v>207</v>
      </c>
      <c r="BA99" s="20" t="s">
        <v>360</v>
      </c>
      <c r="BC99" s="6">
        <f t="shared" si="95"/>
        <v>0</v>
      </c>
      <c r="BD99" s="6">
        <f t="shared" si="96"/>
        <v>0</v>
      </c>
      <c r="BE99" s="6">
        <v>0</v>
      </c>
      <c r="BF99" s="6">
        <f>99</f>
        <v>99</v>
      </c>
      <c r="BH99" s="6">
        <f t="shared" si="97"/>
        <v>0</v>
      </c>
      <c r="BI99" s="6">
        <f t="shared" si="98"/>
        <v>0</v>
      </c>
      <c r="BJ99" s="6">
        <f t="shared" si="99"/>
        <v>0</v>
      </c>
      <c r="BK99" s="6"/>
      <c r="BL99" s="6">
        <v>781</v>
      </c>
    </row>
    <row r="100" spans="1:64" ht="15" customHeight="1">
      <c r="A100" s="17" t="s">
        <v>81</v>
      </c>
      <c r="B100" s="28" t="s">
        <v>279</v>
      </c>
      <c r="C100" s="52" t="s">
        <v>337</v>
      </c>
      <c r="D100" s="52"/>
      <c r="E100" s="52"/>
      <c r="F100" s="52"/>
      <c r="G100" s="52"/>
      <c r="H100" s="52"/>
      <c r="I100" s="28" t="s">
        <v>394</v>
      </c>
      <c r="J100" s="6">
        <v>24.44</v>
      </c>
      <c r="K100" s="6">
        <v>0</v>
      </c>
      <c r="L100" s="6">
        <f t="shared" si="80"/>
        <v>0</v>
      </c>
      <c r="M100" s="2">
        <v>0.00022</v>
      </c>
      <c r="Z100" s="6">
        <f t="shared" si="81"/>
        <v>0</v>
      </c>
      <c r="AB100" s="6">
        <f t="shared" si="82"/>
        <v>0</v>
      </c>
      <c r="AC100" s="6">
        <f t="shared" si="83"/>
        <v>0</v>
      </c>
      <c r="AD100" s="6">
        <f t="shared" si="84"/>
        <v>0</v>
      </c>
      <c r="AE100" s="6">
        <f t="shared" si="85"/>
        <v>0</v>
      </c>
      <c r="AF100" s="6">
        <f t="shared" si="86"/>
        <v>0</v>
      </c>
      <c r="AG100" s="6">
        <f t="shared" si="87"/>
        <v>0</v>
      </c>
      <c r="AH100" s="6">
        <f t="shared" si="88"/>
        <v>0</v>
      </c>
      <c r="AI100" s="20" t="s">
        <v>318</v>
      </c>
      <c r="AJ100" s="6">
        <f t="shared" si="89"/>
        <v>0</v>
      </c>
      <c r="AK100" s="6">
        <f t="shared" si="90"/>
        <v>0</v>
      </c>
      <c r="AL100" s="6">
        <f t="shared" si="91"/>
        <v>0</v>
      </c>
      <c r="AN100" s="6">
        <v>21</v>
      </c>
      <c r="AO100" s="6">
        <f>K100*0.157806419131529</f>
        <v>0</v>
      </c>
      <c r="AP100" s="6">
        <f>K100*(1-0.157806419131529)</f>
        <v>0</v>
      </c>
      <c r="AQ100" s="3" t="s">
        <v>456</v>
      </c>
      <c r="AV100" s="6">
        <f t="shared" si="92"/>
        <v>0</v>
      </c>
      <c r="AW100" s="6">
        <f t="shared" si="93"/>
        <v>0</v>
      </c>
      <c r="AX100" s="6">
        <f t="shared" si="94"/>
        <v>0</v>
      </c>
      <c r="AY100" s="3" t="s">
        <v>213</v>
      </c>
      <c r="AZ100" s="3" t="s">
        <v>207</v>
      </c>
      <c r="BA100" s="20" t="s">
        <v>360</v>
      </c>
      <c r="BC100" s="6">
        <f t="shared" si="95"/>
        <v>0</v>
      </c>
      <c r="BD100" s="6">
        <f t="shared" si="96"/>
        <v>0</v>
      </c>
      <c r="BE100" s="6">
        <v>0</v>
      </c>
      <c r="BF100" s="6">
        <f>100</f>
        <v>100</v>
      </c>
      <c r="BH100" s="6">
        <f t="shared" si="97"/>
        <v>0</v>
      </c>
      <c r="BI100" s="6">
        <f t="shared" si="98"/>
        <v>0</v>
      </c>
      <c r="BJ100" s="6">
        <f t="shared" si="99"/>
        <v>0</v>
      </c>
      <c r="BK100" s="6"/>
      <c r="BL100" s="6">
        <v>781</v>
      </c>
    </row>
    <row r="101" spans="1:64" ht="15" customHeight="1">
      <c r="A101" s="17" t="s">
        <v>89</v>
      </c>
      <c r="B101" s="28" t="s">
        <v>405</v>
      </c>
      <c r="C101" s="52" t="s">
        <v>26</v>
      </c>
      <c r="D101" s="52"/>
      <c r="E101" s="52"/>
      <c r="F101" s="52"/>
      <c r="G101" s="52"/>
      <c r="H101" s="52"/>
      <c r="I101" s="28" t="s">
        <v>412</v>
      </c>
      <c r="J101" s="6">
        <v>904.1</v>
      </c>
      <c r="K101" s="6">
        <v>0</v>
      </c>
      <c r="L101" s="6">
        <f t="shared" si="80"/>
        <v>0</v>
      </c>
      <c r="M101" s="2">
        <v>0</v>
      </c>
      <c r="Z101" s="6">
        <f t="shared" si="81"/>
        <v>0</v>
      </c>
      <c r="AB101" s="6">
        <f t="shared" si="82"/>
        <v>0</v>
      </c>
      <c r="AC101" s="6">
        <f t="shared" si="83"/>
        <v>0</v>
      </c>
      <c r="AD101" s="6">
        <f t="shared" si="84"/>
        <v>0</v>
      </c>
      <c r="AE101" s="6">
        <f t="shared" si="85"/>
        <v>0</v>
      </c>
      <c r="AF101" s="6">
        <f t="shared" si="86"/>
        <v>0</v>
      </c>
      <c r="AG101" s="6">
        <f t="shared" si="87"/>
        <v>0</v>
      </c>
      <c r="AH101" s="6">
        <f t="shared" si="88"/>
        <v>0</v>
      </c>
      <c r="AI101" s="20" t="s">
        <v>318</v>
      </c>
      <c r="AJ101" s="6">
        <f t="shared" si="89"/>
        <v>0</v>
      </c>
      <c r="AK101" s="6">
        <f t="shared" si="90"/>
        <v>0</v>
      </c>
      <c r="AL101" s="6">
        <f t="shared" si="91"/>
        <v>0</v>
      </c>
      <c r="AN101" s="6">
        <v>21</v>
      </c>
      <c r="AO101" s="6">
        <f>K101*0</f>
        <v>0</v>
      </c>
      <c r="AP101" s="6">
        <f>K101*(1-0)</f>
        <v>0</v>
      </c>
      <c r="AQ101" s="3" t="s">
        <v>254</v>
      </c>
      <c r="AV101" s="6">
        <f t="shared" si="92"/>
        <v>0</v>
      </c>
      <c r="AW101" s="6">
        <f t="shared" si="93"/>
        <v>0</v>
      </c>
      <c r="AX101" s="6">
        <f t="shared" si="94"/>
        <v>0</v>
      </c>
      <c r="AY101" s="3" t="s">
        <v>213</v>
      </c>
      <c r="AZ101" s="3" t="s">
        <v>207</v>
      </c>
      <c r="BA101" s="20" t="s">
        <v>360</v>
      </c>
      <c r="BC101" s="6">
        <f t="shared" si="95"/>
        <v>0</v>
      </c>
      <c r="BD101" s="6">
        <f t="shared" si="96"/>
        <v>0</v>
      </c>
      <c r="BE101" s="6">
        <v>0</v>
      </c>
      <c r="BF101" s="6">
        <f>101</f>
        <v>101</v>
      </c>
      <c r="BH101" s="6">
        <f t="shared" si="97"/>
        <v>0</v>
      </c>
      <c r="BI101" s="6">
        <f t="shared" si="98"/>
        <v>0</v>
      </c>
      <c r="BJ101" s="6">
        <f t="shared" si="99"/>
        <v>0</v>
      </c>
      <c r="BK101" s="6"/>
      <c r="BL101" s="6">
        <v>781</v>
      </c>
    </row>
    <row r="102" spans="1:47" ht="15" customHeight="1">
      <c r="A102" s="31" t="s">
        <v>318</v>
      </c>
      <c r="B102" s="12" t="s">
        <v>267</v>
      </c>
      <c r="C102" s="97" t="s">
        <v>379</v>
      </c>
      <c r="D102" s="97"/>
      <c r="E102" s="97"/>
      <c r="F102" s="97"/>
      <c r="G102" s="97"/>
      <c r="H102" s="97"/>
      <c r="I102" s="29" t="s">
        <v>434</v>
      </c>
      <c r="J102" s="29" t="s">
        <v>434</v>
      </c>
      <c r="K102" s="29" t="s">
        <v>434</v>
      </c>
      <c r="L102" s="10">
        <f>SUM(L103:L105)</f>
        <v>0</v>
      </c>
      <c r="M102" s="19" t="s">
        <v>318</v>
      </c>
      <c r="AI102" s="20" t="s">
        <v>318</v>
      </c>
      <c r="AS102" s="10">
        <f>SUM(AJ103:AJ105)</f>
        <v>0</v>
      </c>
      <c r="AT102" s="10">
        <f>SUM(AK103:AK105)</f>
        <v>0</v>
      </c>
      <c r="AU102" s="10">
        <f>SUM(AL103:AL105)</f>
        <v>0</v>
      </c>
    </row>
    <row r="103" spans="1:64" ht="15" customHeight="1">
      <c r="A103" s="17" t="s">
        <v>466</v>
      </c>
      <c r="B103" s="28" t="s">
        <v>391</v>
      </c>
      <c r="C103" s="52" t="s">
        <v>336</v>
      </c>
      <c r="D103" s="52"/>
      <c r="E103" s="52"/>
      <c r="F103" s="52"/>
      <c r="G103" s="52"/>
      <c r="H103" s="52"/>
      <c r="I103" s="28" t="s">
        <v>322</v>
      </c>
      <c r="J103" s="6">
        <v>16</v>
      </c>
      <c r="K103" s="6">
        <v>0</v>
      </c>
      <c r="L103" s="6">
        <f>J103*K103</f>
        <v>0</v>
      </c>
      <c r="M103" s="2">
        <v>0.00028</v>
      </c>
      <c r="Z103" s="6">
        <f>IF(AQ103="5",BJ103,0)</f>
        <v>0</v>
      </c>
      <c r="AB103" s="6">
        <f>IF(AQ103="1",BH103,0)</f>
        <v>0</v>
      </c>
      <c r="AC103" s="6">
        <f>IF(AQ103="1",BI103,0)</f>
        <v>0</v>
      </c>
      <c r="AD103" s="6">
        <f>IF(AQ103="7",BH103,0)</f>
        <v>0</v>
      </c>
      <c r="AE103" s="6">
        <f>IF(AQ103="7",BI103,0)</f>
        <v>0</v>
      </c>
      <c r="AF103" s="6">
        <f>IF(AQ103="2",BH103,0)</f>
        <v>0</v>
      </c>
      <c r="AG103" s="6">
        <f>IF(AQ103="2",BI103,0)</f>
        <v>0</v>
      </c>
      <c r="AH103" s="6">
        <f>IF(AQ103="0",BJ103,0)</f>
        <v>0</v>
      </c>
      <c r="AI103" s="20" t="s">
        <v>318</v>
      </c>
      <c r="AJ103" s="6">
        <f>IF(AN103=0,L103,0)</f>
        <v>0</v>
      </c>
      <c r="AK103" s="6">
        <f>IF(AN103=15,L103,0)</f>
        <v>0</v>
      </c>
      <c r="AL103" s="6">
        <f>IF(AN103=21,L103,0)</f>
        <v>0</v>
      </c>
      <c r="AN103" s="6">
        <v>21</v>
      </c>
      <c r="AO103" s="6">
        <f>K103*0.225626666666667</f>
        <v>0</v>
      </c>
      <c r="AP103" s="6">
        <f>K103*(1-0.225626666666667)</f>
        <v>0</v>
      </c>
      <c r="AQ103" s="3" t="s">
        <v>456</v>
      </c>
      <c r="AV103" s="6">
        <f>AW103+AX103</f>
        <v>0</v>
      </c>
      <c r="AW103" s="6">
        <f>J103*AO103</f>
        <v>0</v>
      </c>
      <c r="AX103" s="6">
        <f>J103*AP103</f>
        <v>0</v>
      </c>
      <c r="AY103" s="3" t="s">
        <v>110</v>
      </c>
      <c r="AZ103" s="3" t="s">
        <v>207</v>
      </c>
      <c r="BA103" s="20" t="s">
        <v>360</v>
      </c>
      <c r="BC103" s="6">
        <f>AW103+AX103</f>
        <v>0</v>
      </c>
      <c r="BD103" s="6">
        <f>K103/(100-BE103)*100</f>
        <v>0</v>
      </c>
      <c r="BE103" s="6">
        <v>0</v>
      </c>
      <c r="BF103" s="6">
        <f>103</f>
        <v>103</v>
      </c>
      <c r="BH103" s="6">
        <f>J103*AO103</f>
        <v>0</v>
      </c>
      <c r="BI103" s="6">
        <f>J103*AP103</f>
        <v>0</v>
      </c>
      <c r="BJ103" s="6">
        <f>J103*K103</f>
        <v>0</v>
      </c>
      <c r="BK103" s="6"/>
      <c r="BL103" s="6">
        <v>783</v>
      </c>
    </row>
    <row r="104" spans="1:64" ht="15" customHeight="1">
      <c r="A104" s="17" t="s">
        <v>278</v>
      </c>
      <c r="B104" s="28" t="s">
        <v>250</v>
      </c>
      <c r="C104" s="52" t="s">
        <v>472</v>
      </c>
      <c r="D104" s="52"/>
      <c r="E104" s="52"/>
      <c r="F104" s="52"/>
      <c r="G104" s="52"/>
      <c r="H104" s="52"/>
      <c r="I104" s="28" t="s">
        <v>322</v>
      </c>
      <c r="J104" s="6">
        <v>2</v>
      </c>
      <c r="K104" s="6">
        <v>0</v>
      </c>
      <c r="L104" s="6">
        <f>J104*K104</f>
        <v>0</v>
      </c>
      <c r="M104" s="2">
        <v>0.00024</v>
      </c>
      <c r="Z104" s="6">
        <f>IF(AQ104="5",BJ104,0)</f>
        <v>0</v>
      </c>
      <c r="AB104" s="6">
        <f>IF(AQ104="1",BH104,0)</f>
        <v>0</v>
      </c>
      <c r="AC104" s="6">
        <f>IF(AQ104="1",BI104,0)</f>
        <v>0</v>
      </c>
      <c r="AD104" s="6">
        <f>IF(AQ104="7",BH104,0)</f>
        <v>0</v>
      </c>
      <c r="AE104" s="6">
        <f>IF(AQ104="7",BI104,0)</f>
        <v>0</v>
      </c>
      <c r="AF104" s="6">
        <f>IF(AQ104="2",BH104,0)</f>
        <v>0</v>
      </c>
      <c r="AG104" s="6">
        <f>IF(AQ104="2",BI104,0)</f>
        <v>0</v>
      </c>
      <c r="AH104" s="6">
        <f>IF(AQ104="0",BJ104,0)</f>
        <v>0</v>
      </c>
      <c r="AI104" s="20" t="s">
        <v>318</v>
      </c>
      <c r="AJ104" s="6">
        <f>IF(AN104=0,L104,0)</f>
        <v>0</v>
      </c>
      <c r="AK104" s="6">
        <f>IF(AN104=15,L104,0)</f>
        <v>0</v>
      </c>
      <c r="AL104" s="6">
        <f>IF(AN104=21,L104,0)</f>
        <v>0</v>
      </c>
      <c r="AN104" s="6">
        <v>21</v>
      </c>
      <c r="AO104" s="6">
        <f>K104*0.410573033707865</f>
        <v>0</v>
      </c>
      <c r="AP104" s="6">
        <f>K104*(1-0.410573033707865)</f>
        <v>0</v>
      </c>
      <c r="AQ104" s="3" t="s">
        <v>456</v>
      </c>
      <c r="AV104" s="6">
        <f>AW104+AX104</f>
        <v>0</v>
      </c>
      <c r="AW104" s="6">
        <f>J104*AO104</f>
        <v>0</v>
      </c>
      <c r="AX104" s="6">
        <f>J104*AP104</f>
        <v>0</v>
      </c>
      <c r="AY104" s="3" t="s">
        <v>110</v>
      </c>
      <c r="AZ104" s="3" t="s">
        <v>207</v>
      </c>
      <c r="BA104" s="20" t="s">
        <v>360</v>
      </c>
      <c r="BC104" s="6">
        <f>AW104+AX104</f>
        <v>0</v>
      </c>
      <c r="BD104" s="6">
        <f>K104/(100-BE104)*100</f>
        <v>0</v>
      </c>
      <c r="BE104" s="6">
        <v>0</v>
      </c>
      <c r="BF104" s="6">
        <f>104</f>
        <v>104</v>
      </c>
      <c r="BH104" s="6">
        <f>J104*AO104</f>
        <v>0</v>
      </c>
      <c r="BI104" s="6">
        <f>J104*AP104</f>
        <v>0</v>
      </c>
      <c r="BJ104" s="6">
        <f>J104*K104</f>
        <v>0</v>
      </c>
      <c r="BK104" s="6"/>
      <c r="BL104" s="6">
        <v>783</v>
      </c>
    </row>
    <row r="105" spans="1:64" ht="15" customHeight="1">
      <c r="A105" s="17" t="s">
        <v>235</v>
      </c>
      <c r="B105" s="28" t="s">
        <v>107</v>
      </c>
      <c r="C105" s="52" t="s">
        <v>82</v>
      </c>
      <c r="D105" s="52"/>
      <c r="E105" s="52"/>
      <c r="F105" s="52"/>
      <c r="G105" s="52"/>
      <c r="H105" s="52"/>
      <c r="I105" s="28" t="s">
        <v>361</v>
      </c>
      <c r="J105" s="6">
        <v>1</v>
      </c>
      <c r="K105" s="6">
        <v>0</v>
      </c>
      <c r="L105" s="6">
        <f>J105*K105</f>
        <v>0</v>
      </c>
      <c r="M105" s="2">
        <v>0.00026</v>
      </c>
      <c r="Z105" s="6">
        <f>IF(AQ105="5",BJ105,0)</f>
        <v>0</v>
      </c>
      <c r="AB105" s="6">
        <f>IF(AQ105="1",BH105,0)</f>
        <v>0</v>
      </c>
      <c r="AC105" s="6">
        <f>IF(AQ105="1",BI105,0)</f>
        <v>0</v>
      </c>
      <c r="AD105" s="6">
        <f>IF(AQ105="7",BH105,0)</f>
        <v>0</v>
      </c>
      <c r="AE105" s="6">
        <f>IF(AQ105="7",BI105,0)</f>
        <v>0</v>
      </c>
      <c r="AF105" s="6">
        <f>IF(AQ105="2",BH105,0)</f>
        <v>0</v>
      </c>
      <c r="AG105" s="6">
        <f>IF(AQ105="2",BI105,0)</f>
        <v>0</v>
      </c>
      <c r="AH105" s="6">
        <f>IF(AQ105="0",BJ105,0)</f>
        <v>0</v>
      </c>
      <c r="AI105" s="20" t="s">
        <v>318</v>
      </c>
      <c r="AJ105" s="6">
        <f>IF(AN105=0,L105,0)</f>
        <v>0</v>
      </c>
      <c r="AK105" s="6">
        <f>IF(AN105=15,L105,0)</f>
        <v>0</v>
      </c>
      <c r="AL105" s="6">
        <f>IF(AN105=21,L105,0)</f>
        <v>0</v>
      </c>
      <c r="AN105" s="6">
        <v>21</v>
      </c>
      <c r="AO105" s="6">
        <f>K105*0.150533333333333</f>
        <v>0</v>
      </c>
      <c r="AP105" s="6">
        <f>K105*(1-0.150533333333333)</f>
        <v>0</v>
      </c>
      <c r="AQ105" s="3" t="s">
        <v>456</v>
      </c>
      <c r="AV105" s="6">
        <f>AW105+AX105</f>
        <v>0</v>
      </c>
      <c r="AW105" s="6">
        <f>J105*AO105</f>
        <v>0</v>
      </c>
      <c r="AX105" s="6">
        <f>J105*AP105</f>
        <v>0</v>
      </c>
      <c r="AY105" s="3" t="s">
        <v>110</v>
      </c>
      <c r="AZ105" s="3" t="s">
        <v>207</v>
      </c>
      <c r="BA105" s="20" t="s">
        <v>360</v>
      </c>
      <c r="BC105" s="6">
        <f>AW105+AX105</f>
        <v>0</v>
      </c>
      <c r="BD105" s="6">
        <f>K105/(100-BE105)*100</f>
        <v>0</v>
      </c>
      <c r="BE105" s="6">
        <v>0</v>
      </c>
      <c r="BF105" s="6">
        <f>105</f>
        <v>105</v>
      </c>
      <c r="BH105" s="6">
        <f>J105*AO105</f>
        <v>0</v>
      </c>
      <c r="BI105" s="6">
        <f>J105*AP105</f>
        <v>0</v>
      </c>
      <c r="BJ105" s="6">
        <f>J105*K105</f>
        <v>0</v>
      </c>
      <c r="BK105" s="6"/>
      <c r="BL105" s="6">
        <v>783</v>
      </c>
    </row>
    <row r="106" spans="1:47" ht="15" customHeight="1">
      <c r="A106" s="31" t="s">
        <v>318</v>
      </c>
      <c r="B106" s="12" t="s">
        <v>262</v>
      </c>
      <c r="C106" s="97" t="s">
        <v>13</v>
      </c>
      <c r="D106" s="97"/>
      <c r="E106" s="97"/>
      <c r="F106" s="97"/>
      <c r="G106" s="97"/>
      <c r="H106" s="97"/>
      <c r="I106" s="29" t="s">
        <v>434</v>
      </c>
      <c r="J106" s="29" t="s">
        <v>434</v>
      </c>
      <c r="K106" s="29" t="s">
        <v>434</v>
      </c>
      <c r="L106" s="10">
        <f>SUM(L107:L110)</f>
        <v>0</v>
      </c>
      <c r="M106" s="19" t="s">
        <v>318</v>
      </c>
      <c r="AI106" s="20" t="s">
        <v>318</v>
      </c>
      <c r="AS106" s="10">
        <f>SUM(AJ107:AJ110)</f>
        <v>0</v>
      </c>
      <c r="AT106" s="10">
        <f>SUM(AK107:AK110)</f>
        <v>0</v>
      </c>
      <c r="AU106" s="10">
        <f>SUM(AL107:AL110)</f>
        <v>0</v>
      </c>
    </row>
    <row r="107" spans="1:64" ht="15" customHeight="1">
      <c r="A107" s="17" t="s">
        <v>306</v>
      </c>
      <c r="B107" s="28" t="s">
        <v>230</v>
      </c>
      <c r="C107" s="52" t="s">
        <v>141</v>
      </c>
      <c r="D107" s="52"/>
      <c r="E107" s="52"/>
      <c r="F107" s="52"/>
      <c r="G107" s="52"/>
      <c r="H107" s="52"/>
      <c r="I107" s="28" t="s">
        <v>361</v>
      </c>
      <c r="J107" s="6">
        <v>1</v>
      </c>
      <c r="K107" s="6">
        <v>0</v>
      </c>
      <c r="L107" s="6">
        <f>J107*K107</f>
        <v>0</v>
      </c>
      <c r="M107" s="2">
        <v>2E-05</v>
      </c>
      <c r="Z107" s="6">
        <f>IF(AQ107="5",BJ107,0)</f>
        <v>0</v>
      </c>
      <c r="AB107" s="6">
        <f>IF(AQ107="1",BH107,0)</f>
        <v>0</v>
      </c>
      <c r="AC107" s="6">
        <f>IF(AQ107="1",BI107,0)</f>
        <v>0</v>
      </c>
      <c r="AD107" s="6">
        <f>IF(AQ107="7",BH107,0)</f>
        <v>0</v>
      </c>
      <c r="AE107" s="6">
        <f>IF(AQ107="7",BI107,0)</f>
        <v>0</v>
      </c>
      <c r="AF107" s="6">
        <f>IF(AQ107="2",BH107,0)</f>
        <v>0</v>
      </c>
      <c r="AG107" s="6">
        <f>IF(AQ107="2",BI107,0)</f>
        <v>0</v>
      </c>
      <c r="AH107" s="6">
        <f>IF(AQ107="0",BJ107,0)</f>
        <v>0</v>
      </c>
      <c r="AI107" s="20" t="s">
        <v>318</v>
      </c>
      <c r="AJ107" s="6">
        <f>IF(AN107=0,L107,0)</f>
        <v>0</v>
      </c>
      <c r="AK107" s="6">
        <f>IF(AN107=15,L107,0)</f>
        <v>0</v>
      </c>
      <c r="AL107" s="6">
        <f>IF(AN107=21,L107,0)</f>
        <v>0</v>
      </c>
      <c r="AN107" s="6">
        <v>21</v>
      </c>
      <c r="AO107" s="6">
        <f>K107*0.255826666666667</f>
        <v>0</v>
      </c>
      <c r="AP107" s="6">
        <f>K107*(1-0.255826666666667)</f>
        <v>0</v>
      </c>
      <c r="AQ107" s="3" t="s">
        <v>456</v>
      </c>
      <c r="AV107" s="6">
        <f>AW107+AX107</f>
        <v>0</v>
      </c>
      <c r="AW107" s="6">
        <f>J107*AO107</f>
        <v>0</v>
      </c>
      <c r="AX107" s="6">
        <f>J107*AP107</f>
        <v>0</v>
      </c>
      <c r="AY107" s="3" t="s">
        <v>416</v>
      </c>
      <c r="AZ107" s="3" t="s">
        <v>207</v>
      </c>
      <c r="BA107" s="20" t="s">
        <v>360</v>
      </c>
      <c r="BC107" s="6">
        <f>AW107+AX107</f>
        <v>0</v>
      </c>
      <c r="BD107" s="6">
        <f>K107/(100-BE107)*100</f>
        <v>0</v>
      </c>
      <c r="BE107" s="6">
        <v>0</v>
      </c>
      <c r="BF107" s="6">
        <f>107</f>
        <v>107</v>
      </c>
      <c r="BH107" s="6">
        <f>J107*AO107</f>
        <v>0</v>
      </c>
      <c r="BI107" s="6">
        <f>J107*AP107</f>
        <v>0</v>
      </c>
      <c r="BJ107" s="6">
        <f>J107*K107</f>
        <v>0</v>
      </c>
      <c r="BK107" s="6"/>
      <c r="BL107" s="6">
        <v>784</v>
      </c>
    </row>
    <row r="108" spans="1:64" ht="15" customHeight="1">
      <c r="A108" s="17" t="s">
        <v>22</v>
      </c>
      <c r="B108" s="28" t="s">
        <v>177</v>
      </c>
      <c r="C108" s="52" t="s">
        <v>165</v>
      </c>
      <c r="D108" s="52"/>
      <c r="E108" s="52"/>
      <c r="F108" s="52"/>
      <c r="G108" s="52"/>
      <c r="H108" s="52"/>
      <c r="I108" s="28" t="s">
        <v>449</v>
      </c>
      <c r="J108" s="6">
        <v>120.78</v>
      </c>
      <c r="K108" s="6">
        <v>0</v>
      </c>
      <c r="L108" s="6">
        <f>J108*K108</f>
        <v>0</v>
      </c>
      <c r="M108" s="2">
        <v>0.0004</v>
      </c>
      <c r="Z108" s="6">
        <f>IF(AQ108="5",BJ108,0)</f>
        <v>0</v>
      </c>
      <c r="AB108" s="6">
        <f>IF(AQ108="1",BH108,0)</f>
        <v>0</v>
      </c>
      <c r="AC108" s="6">
        <f>IF(AQ108="1",BI108,0)</f>
        <v>0</v>
      </c>
      <c r="AD108" s="6">
        <f>IF(AQ108="7",BH108,0)</f>
        <v>0</v>
      </c>
      <c r="AE108" s="6">
        <f>IF(AQ108="7",BI108,0)</f>
        <v>0</v>
      </c>
      <c r="AF108" s="6">
        <f>IF(AQ108="2",BH108,0)</f>
        <v>0</v>
      </c>
      <c r="AG108" s="6">
        <f>IF(AQ108="2",BI108,0)</f>
        <v>0</v>
      </c>
      <c r="AH108" s="6">
        <f>IF(AQ108="0",BJ108,0)</f>
        <v>0</v>
      </c>
      <c r="AI108" s="20" t="s">
        <v>318</v>
      </c>
      <c r="AJ108" s="6">
        <f>IF(AN108=0,L108,0)</f>
        <v>0</v>
      </c>
      <c r="AK108" s="6">
        <f>IF(AN108=15,L108,0)</f>
        <v>0</v>
      </c>
      <c r="AL108" s="6">
        <f>IF(AN108=21,L108,0)</f>
        <v>0</v>
      </c>
      <c r="AN108" s="6">
        <v>21</v>
      </c>
      <c r="AO108" s="6">
        <f>K108*0.373553755174453</f>
        <v>0</v>
      </c>
      <c r="AP108" s="6">
        <f>K108*(1-0.373553755174453)</f>
        <v>0</v>
      </c>
      <c r="AQ108" s="3" t="s">
        <v>456</v>
      </c>
      <c r="AV108" s="6">
        <f>AW108+AX108</f>
        <v>0</v>
      </c>
      <c r="AW108" s="6">
        <f>J108*AO108</f>
        <v>0</v>
      </c>
      <c r="AX108" s="6">
        <f>J108*AP108</f>
        <v>0</v>
      </c>
      <c r="AY108" s="3" t="s">
        <v>416</v>
      </c>
      <c r="AZ108" s="3" t="s">
        <v>207</v>
      </c>
      <c r="BA108" s="20" t="s">
        <v>360</v>
      </c>
      <c r="BC108" s="6">
        <f>AW108+AX108</f>
        <v>0</v>
      </c>
      <c r="BD108" s="6">
        <f>K108/(100-BE108)*100</f>
        <v>0</v>
      </c>
      <c r="BE108" s="6">
        <v>0</v>
      </c>
      <c r="BF108" s="6">
        <f>108</f>
        <v>108</v>
      </c>
      <c r="BH108" s="6">
        <f>J108*AO108</f>
        <v>0</v>
      </c>
      <c r="BI108" s="6">
        <f>J108*AP108</f>
        <v>0</v>
      </c>
      <c r="BJ108" s="6">
        <f>J108*K108</f>
        <v>0</v>
      </c>
      <c r="BK108" s="6"/>
      <c r="BL108" s="6">
        <v>784</v>
      </c>
    </row>
    <row r="109" spans="1:64" ht="15" customHeight="1">
      <c r="A109" s="17" t="s">
        <v>491</v>
      </c>
      <c r="B109" s="28" t="s">
        <v>504</v>
      </c>
      <c r="C109" s="52" t="s">
        <v>280</v>
      </c>
      <c r="D109" s="52"/>
      <c r="E109" s="52"/>
      <c r="F109" s="52"/>
      <c r="G109" s="52"/>
      <c r="H109" s="52"/>
      <c r="I109" s="28" t="s">
        <v>449</v>
      </c>
      <c r="J109" s="6">
        <v>120.78</v>
      </c>
      <c r="K109" s="6">
        <v>0</v>
      </c>
      <c r="L109" s="6">
        <f>J109*K109</f>
        <v>0</v>
      </c>
      <c r="M109" s="2">
        <v>0.00015</v>
      </c>
      <c r="Z109" s="6">
        <f>IF(AQ109="5",BJ109,0)</f>
        <v>0</v>
      </c>
      <c r="AB109" s="6">
        <f>IF(AQ109="1",BH109,0)</f>
        <v>0</v>
      </c>
      <c r="AC109" s="6">
        <f>IF(AQ109="1",BI109,0)</f>
        <v>0</v>
      </c>
      <c r="AD109" s="6">
        <f>IF(AQ109="7",BH109,0)</f>
        <v>0</v>
      </c>
      <c r="AE109" s="6">
        <f>IF(AQ109="7",BI109,0)</f>
        <v>0</v>
      </c>
      <c r="AF109" s="6">
        <f>IF(AQ109="2",BH109,0)</f>
        <v>0</v>
      </c>
      <c r="AG109" s="6">
        <f>IF(AQ109="2",BI109,0)</f>
        <v>0</v>
      </c>
      <c r="AH109" s="6">
        <f>IF(AQ109="0",BJ109,0)</f>
        <v>0</v>
      </c>
      <c r="AI109" s="20" t="s">
        <v>318</v>
      </c>
      <c r="AJ109" s="6">
        <f>IF(AN109=0,L109,0)</f>
        <v>0</v>
      </c>
      <c r="AK109" s="6">
        <f>IF(AN109=15,L109,0)</f>
        <v>0</v>
      </c>
      <c r="AL109" s="6">
        <f>IF(AN109=21,L109,0)</f>
        <v>0</v>
      </c>
      <c r="AN109" s="6">
        <v>21</v>
      </c>
      <c r="AO109" s="6">
        <f>K109*0.107870863836018</f>
        <v>0</v>
      </c>
      <c r="AP109" s="6">
        <f>K109*(1-0.107870863836018)</f>
        <v>0</v>
      </c>
      <c r="AQ109" s="3" t="s">
        <v>456</v>
      </c>
      <c r="AV109" s="6">
        <f>AW109+AX109</f>
        <v>0</v>
      </c>
      <c r="AW109" s="6">
        <f>J109*AO109</f>
        <v>0</v>
      </c>
      <c r="AX109" s="6">
        <f>J109*AP109</f>
        <v>0</v>
      </c>
      <c r="AY109" s="3" t="s">
        <v>416</v>
      </c>
      <c r="AZ109" s="3" t="s">
        <v>207</v>
      </c>
      <c r="BA109" s="20" t="s">
        <v>360</v>
      </c>
      <c r="BC109" s="6">
        <f>AW109+AX109</f>
        <v>0</v>
      </c>
      <c r="BD109" s="6">
        <f>K109/(100-BE109)*100</f>
        <v>0</v>
      </c>
      <c r="BE109" s="6">
        <v>0</v>
      </c>
      <c r="BF109" s="6">
        <f>109</f>
        <v>109</v>
      </c>
      <c r="BH109" s="6">
        <f>J109*AO109</f>
        <v>0</v>
      </c>
      <c r="BI109" s="6">
        <f>J109*AP109</f>
        <v>0</v>
      </c>
      <c r="BJ109" s="6">
        <f>J109*K109</f>
        <v>0</v>
      </c>
      <c r="BK109" s="6"/>
      <c r="BL109" s="6">
        <v>784</v>
      </c>
    </row>
    <row r="110" spans="1:64" ht="15" customHeight="1">
      <c r="A110" s="17" t="s">
        <v>487</v>
      </c>
      <c r="B110" s="28" t="s">
        <v>156</v>
      </c>
      <c r="C110" s="52" t="s">
        <v>62</v>
      </c>
      <c r="D110" s="52"/>
      <c r="E110" s="52"/>
      <c r="F110" s="52"/>
      <c r="G110" s="52"/>
      <c r="H110" s="52"/>
      <c r="I110" s="28" t="s">
        <v>394</v>
      </c>
      <c r="J110" s="6">
        <v>20</v>
      </c>
      <c r="K110" s="6">
        <v>0</v>
      </c>
      <c r="L110" s="6">
        <f>J110*K110</f>
        <v>0</v>
      </c>
      <c r="M110" s="2">
        <v>0</v>
      </c>
      <c r="Z110" s="6">
        <f>IF(AQ110="5",BJ110,0)</f>
        <v>0</v>
      </c>
      <c r="AB110" s="6">
        <f>IF(AQ110="1",BH110,0)</f>
        <v>0</v>
      </c>
      <c r="AC110" s="6">
        <f>IF(AQ110="1",BI110,0)</f>
        <v>0</v>
      </c>
      <c r="AD110" s="6">
        <f>IF(AQ110="7",BH110,0)</f>
        <v>0</v>
      </c>
      <c r="AE110" s="6">
        <f>IF(AQ110="7",BI110,0)</f>
        <v>0</v>
      </c>
      <c r="AF110" s="6">
        <f>IF(AQ110="2",BH110,0)</f>
        <v>0</v>
      </c>
      <c r="AG110" s="6">
        <f>IF(AQ110="2",BI110,0)</f>
        <v>0</v>
      </c>
      <c r="AH110" s="6">
        <f>IF(AQ110="0",BJ110,0)</f>
        <v>0</v>
      </c>
      <c r="AI110" s="20" t="s">
        <v>318</v>
      </c>
      <c r="AJ110" s="6">
        <f>IF(AN110=0,L110,0)</f>
        <v>0</v>
      </c>
      <c r="AK110" s="6">
        <f>IF(AN110=15,L110,0)</f>
        <v>0</v>
      </c>
      <c r="AL110" s="6">
        <f>IF(AN110=21,L110,0)</f>
        <v>0</v>
      </c>
      <c r="AN110" s="6">
        <v>21</v>
      </c>
      <c r="AO110" s="6">
        <f>K110*0.130344827586207</f>
        <v>0</v>
      </c>
      <c r="AP110" s="6">
        <f>K110*(1-0.130344827586207)</f>
        <v>0</v>
      </c>
      <c r="AQ110" s="3" t="s">
        <v>456</v>
      </c>
      <c r="AV110" s="6">
        <f>AW110+AX110</f>
        <v>0</v>
      </c>
      <c r="AW110" s="6">
        <f>J110*AO110</f>
        <v>0</v>
      </c>
      <c r="AX110" s="6">
        <f>J110*AP110</f>
        <v>0</v>
      </c>
      <c r="AY110" s="3" t="s">
        <v>416</v>
      </c>
      <c r="AZ110" s="3" t="s">
        <v>207</v>
      </c>
      <c r="BA110" s="20" t="s">
        <v>360</v>
      </c>
      <c r="BC110" s="6">
        <f>AW110+AX110</f>
        <v>0</v>
      </c>
      <c r="BD110" s="6">
        <f>K110/(100-BE110)*100</f>
        <v>0</v>
      </c>
      <c r="BE110" s="6">
        <v>0</v>
      </c>
      <c r="BF110" s="6">
        <f>110</f>
        <v>110</v>
      </c>
      <c r="BH110" s="6">
        <f>J110*AO110</f>
        <v>0</v>
      </c>
      <c r="BI110" s="6">
        <f>J110*AP110</f>
        <v>0</v>
      </c>
      <c r="BJ110" s="6">
        <f>J110*K110</f>
        <v>0</v>
      </c>
      <c r="BK110" s="6"/>
      <c r="BL110" s="6">
        <v>784</v>
      </c>
    </row>
    <row r="111" spans="1:47" ht="15" customHeight="1">
      <c r="A111" s="31" t="s">
        <v>318</v>
      </c>
      <c r="B111" s="12" t="s">
        <v>485</v>
      </c>
      <c r="C111" s="97" t="s">
        <v>148</v>
      </c>
      <c r="D111" s="97"/>
      <c r="E111" s="97"/>
      <c r="F111" s="97"/>
      <c r="G111" s="97"/>
      <c r="H111" s="97"/>
      <c r="I111" s="29" t="s">
        <v>434</v>
      </c>
      <c r="J111" s="29" t="s">
        <v>434</v>
      </c>
      <c r="K111" s="29" t="s">
        <v>434</v>
      </c>
      <c r="L111" s="10">
        <f>SUM(L112:L112)</f>
        <v>0</v>
      </c>
      <c r="M111" s="19" t="s">
        <v>318</v>
      </c>
      <c r="AI111" s="20" t="s">
        <v>318</v>
      </c>
      <c r="AS111" s="10">
        <f>SUM(AJ112:AJ112)</f>
        <v>0</v>
      </c>
      <c r="AT111" s="10">
        <f>SUM(AK112:AK112)</f>
        <v>0</v>
      </c>
      <c r="AU111" s="10">
        <f>SUM(AL112:AL112)</f>
        <v>0</v>
      </c>
    </row>
    <row r="112" spans="1:64" ht="15" customHeight="1">
      <c r="A112" s="17" t="s">
        <v>485</v>
      </c>
      <c r="B112" s="28" t="s">
        <v>67</v>
      </c>
      <c r="C112" s="52" t="s">
        <v>166</v>
      </c>
      <c r="D112" s="52"/>
      <c r="E112" s="52"/>
      <c r="F112" s="52"/>
      <c r="G112" s="52"/>
      <c r="H112" s="52"/>
      <c r="I112" s="28" t="s">
        <v>208</v>
      </c>
      <c r="J112" s="6">
        <v>24</v>
      </c>
      <c r="K112" s="6">
        <v>0</v>
      </c>
      <c r="L112" s="6">
        <f>J112*K112</f>
        <v>0</v>
      </c>
      <c r="M112" s="2">
        <v>0</v>
      </c>
      <c r="Z112" s="6">
        <f>IF(AQ112="5",BJ112,0)</f>
        <v>0</v>
      </c>
      <c r="AB112" s="6">
        <f>IF(AQ112="1",BH112,0)</f>
        <v>0</v>
      </c>
      <c r="AC112" s="6">
        <f>IF(AQ112="1",BI112,0)</f>
        <v>0</v>
      </c>
      <c r="AD112" s="6">
        <f>IF(AQ112="7",BH112,0)</f>
        <v>0</v>
      </c>
      <c r="AE112" s="6">
        <f>IF(AQ112="7",BI112,0)</f>
        <v>0</v>
      </c>
      <c r="AF112" s="6">
        <f>IF(AQ112="2",BH112,0)</f>
        <v>0</v>
      </c>
      <c r="AG112" s="6">
        <f>IF(AQ112="2",BI112,0)</f>
        <v>0</v>
      </c>
      <c r="AH112" s="6">
        <f>IF(AQ112="0",BJ112,0)</f>
        <v>0</v>
      </c>
      <c r="AI112" s="20" t="s">
        <v>318</v>
      </c>
      <c r="AJ112" s="6">
        <f>IF(AN112=0,L112,0)</f>
        <v>0</v>
      </c>
      <c r="AK112" s="6">
        <f>IF(AN112=15,L112,0)</f>
        <v>0</v>
      </c>
      <c r="AL112" s="6">
        <f>IF(AN112=21,L112,0)</f>
        <v>0</v>
      </c>
      <c r="AN112" s="6">
        <v>21</v>
      </c>
      <c r="AO112" s="6">
        <f>K112*0</f>
        <v>0</v>
      </c>
      <c r="AP112" s="6">
        <f>K112*(1-0)</f>
        <v>0</v>
      </c>
      <c r="AQ112" s="3" t="s">
        <v>455</v>
      </c>
      <c r="AV112" s="6">
        <f>AW112+AX112</f>
        <v>0</v>
      </c>
      <c r="AW112" s="6">
        <f>J112*AO112</f>
        <v>0</v>
      </c>
      <c r="AX112" s="6">
        <f>J112*AP112</f>
        <v>0</v>
      </c>
      <c r="AY112" s="3" t="s">
        <v>135</v>
      </c>
      <c r="AZ112" s="3" t="s">
        <v>167</v>
      </c>
      <c r="BA112" s="20" t="s">
        <v>360</v>
      </c>
      <c r="BC112" s="6">
        <f>AW112+AX112</f>
        <v>0</v>
      </c>
      <c r="BD112" s="6">
        <f>K112/(100-BE112)*100</f>
        <v>0</v>
      </c>
      <c r="BE112" s="6">
        <v>0</v>
      </c>
      <c r="BF112" s="6">
        <f>112</f>
        <v>112</v>
      </c>
      <c r="BH112" s="6">
        <f>J112*AO112</f>
        <v>0</v>
      </c>
      <c r="BI112" s="6">
        <f>J112*AP112</f>
        <v>0</v>
      </c>
      <c r="BJ112" s="6">
        <f>J112*K112</f>
        <v>0</v>
      </c>
      <c r="BK112" s="6"/>
      <c r="BL112" s="6">
        <v>90</v>
      </c>
    </row>
    <row r="113" spans="1:47" ht="15" customHeight="1">
      <c r="A113" s="31" t="s">
        <v>318</v>
      </c>
      <c r="B113" s="12" t="s">
        <v>187</v>
      </c>
      <c r="C113" s="97" t="s">
        <v>349</v>
      </c>
      <c r="D113" s="97"/>
      <c r="E113" s="97"/>
      <c r="F113" s="97"/>
      <c r="G113" s="97"/>
      <c r="H113" s="97"/>
      <c r="I113" s="29" t="s">
        <v>434</v>
      </c>
      <c r="J113" s="29" t="s">
        <v>434</v>
      </c>
      <c r="K113" s="29" t="s">
        <v>434</v>
      </c>
      <c r="L113" s="10">
        <f>SUM(L114:L114)</f>
        <v>0</v>
      </c>
      <c r="M113" s="19" t="s">
        <v>318</v>
      </c>
      <c r="AI113" s="20" t="s">
        <v>318</v>
      </c>
      <c r="AS113" s="10">
        <f>SUM(AJ114:AJ114)</f>
        <v>0</v>
      </c>
      <c r="AT113" s="10">
        <f>SUM(AK114:AK114)</f>
        <v>0</v>
      </c>
      <c r="AU113" s="10">
        <f>SUM(AL114:AL114)</f>
        <v>0</v>
      </c>
    </row>
    <row r="114" spans="1:64" ht="15" customHeight="1">
      <c r="A114" s="17" t="s">
        <v>21</v>
      </c>
      <c r="B114" s="28" t="s">
        <v>415</v>
      </c>
      <c r="C114" s="52" t="s">
        <v>145</v>
      </c>
      <c r="D114" s="52"/>
      <c r="E114" s="52"/>
      <c r="F114" s="52"/>
      <c r="G114" s="52"/>
      <c r="H114" s="52"/>
      <c r="I114" s="28" t="s">
        <v>449</v>
      </c>
      <c r="J114" s="6">
        <v>40.08</v>
      </c>
      <c r="K114" s="6">
        <v>0</v>
      </c>
      <c r="L114" s="6">
        <f>J114*K114</f>
        <v>0</v>
      </c>
      <c r="M114" s="2">
        <v>4E-05</v>
      </c>
      <c r="Z114" s="6">
        <f>IF(AQ114="5",BJ114,0)</f>
        <v>0</v>
      </c>
      <c r="AB114" s="6">
        <f>IF(AQ114="1",BH114,0)</f>
        <v>0</v>
      </c>
      <c r="AC114" s="6">
        <f>IF(AQ114="1",BI114,0)</f>
        <v>0</v>
      </c>
      <c r="AD114" s="6">
        <f>IF(AQ114="7",BH114,0)</f>
        <v>0</v>
      </c>
      <c r="AE114" s="6">
        <f>IF(AQ114="7",BI114,0)</f>
        <v>0</v>
      </c>
      <c r="AF114" s="6">
        <f>IF(AQ114="2",BH114,0)</f>
        <v>0</v>
      </c>
      <c r="AG114" s="6">
        <f>IF(AQ114="2",BI114,0)</f>
        <v>0</v>
      </c>
      <c r="AH114" s="6">
        <f>IF(AQ114="0",BJ114,0)</f>
        <v>0</v>
      </c>
      <c r="AI114" s="20" t="s">
        <v>318</v>
      </c>
      <c r="AJ114" s="6">
        <f>IF(AN114=0,L114,0)</f>
        <v>0</v>
      </c>
      <c r="AK114" s="6">
        <f>IF(AN114=15,L114,0)</f>
        <v>0</v>
      </c>
      <c r="AL114" s="6">
        <f>IF(AN114=21,L114,0)</f>
        <v>0</v>
      </c>
      <c r="AN114" s="6">
        <v>21</v>
      </c>
      <c r="AO114" s="6">
        <f>K114*0.0135309961046188</f>
        <v>0</v>
      </c>
      <c r="AP114" s="6">
        <f>K114*(1-0.0135309961046188)</f>
        <v>0</v>
      </c>
      <c r="AQ114" s="3" t="s">
        <v>455</v>
      </c>
      <c r="AV114" s="6">
        <f>AW114+AX114</f>
        <v>0</v>
      </c>
      <c r="AW114" s="6">
        <f>J114*AO114</f>
        <v>0</v>
      </c>
      <c r="AX114" s="6">
        <f>J114*AP114</f>
        <v>0</v>
      </c>
      <c r="AY114" s="3" t="s">
        <v>288</v>
      </c>
      <c r="AZ114" s="3" t="s">
        <v>167</v>
      </c>
      <c r="BA114" s="20" t="s">
        <v>360</v>
      </c>
      <c r="BC114" s="6">
        <f>AW114+AX114</f>
        <v>0</v>
      </c>
      <c r="BD114" s="6">
        <f>K114/(100-BE114)*100</f>
        <v>0</v>
      </c>
      <c r="BE114" s="6">
        <v>0</v>
      </c>
      <c r="BF114" s="6">
        <f>114</f>
        <v>114</v>
      </c>
      <c r="BH114" s="6">
        <f>J114*AO114</f>
        <v>0</v>
      </c>
      <c r="BI114" s="6">
        <f>J114*AP114</f>
        <v>0</v>
      </c>
      <c r="BJ114" s="6">
        <f>J114*K114</f>
        <v>0</v>
      </c>
      <c r="BK114" s="6"/>
      <c r="BL114" s="6">
        <v>95</v>
      </c>
    </row>
    <row r="115" spans="1:47" ht="15" customHeight="1">
      <c r="A115" s="31" t="s">
        <v>318</v>
      </c>
      <c r="B115" s="12" t="s">
        <v>263</v>
      </c>
      <c r="C115" s="97" t="s">
        <v>350</v>
      </c>
      <c r="D115" s="97"/>
      <c r="E115" s="97"/>
      <c r="F115" s="97"/>
      <c r="G115" s="97"/>
      <c r="H115" s="97"/>
      <c r="I115" s="29" t="s">
        <v>434</v>
      </c>
      <c r="J115" s="29" t="s">
        <v>434</v>
      </c>
      <c r="K115" s="29" t="s">
        <v>434</v>
      </c>
      <c r="L115" s="10">
        <f>SUM(L116:L136)</f>
        <v>0</v>
      </c>
      <c r="M115" s="19" t="s">
        <v>318</v>
      </c>
      <c r="AI115" s="20" t="s">
        <v>318</v>
      </c>
      <c r="AS115" s="10">
        <f>SUM(AJ116:AJ136)</f>
        <v>0</v>
      </c>
      <c r="AT115" s="10">
        <f>SUM(AK116:AK136)</f>
        <v>0</v>
      </c>
      <c r="AU115" s="10">
        <f>SUM(AL116:AL136)</f>
        <v>0</v>
      </c>
    </row>
    <row r="116" spans="1:64" ht="15" customHeight="1">
      <c r="A116" s="17" t="s">
        <v>2</v>
      </c>
      <c r="B116" s="28" t="s">
        <v>139</v>
      </c>
      <c r="C116" s="52" t="s">
        <v>471</v>
      </c>
      <c r="D116" s="52"/>
      <c r="E116" s="52"/>
      <c r="F116" s="52"/>
      <c r="G116" s="52"/>
      <c r="H116" s="52"/>
      <c r="I116" s="28" t="s">
        <v>117</v>
      </c>
      <c r="J116" s="6">
        <v>1</v>
      </c>
      <c r="K116" s="6">
        <v>0</v>
      </c>
      <c r="L116" s="6">
        <f aca="true" t="shared" si="100" ref="L116:L136">J116*K116</f>
        <v>0</v>
      </c>
      <c r="M116" s="2">
        <v>0.002</v>
      </c>
      <c r="Z116" s="6">
        <f aca="true" t="shared" si="101" ref="Z116:Z136">IF(AQ116="5",BJ116,0)</f>
        <v>0</v>
      </c>
      <c r="AB116" s="6">
        <f aca="true" t="shared" si="102" ref="AB116:AB136">IF(AQ116="1",BH116,0)</f>
        <v>0</v>
      </c>
      <c r="AC116" s="6">
        <f aca="true" t="shared" si="103" ref="AC116:AC136">IF(AQ116="1",BI116,0)</f>
        <v>0</v>
      </c>
      <c r="AD116" s="6">
        <f aca="true" t="shared" si="104" ref="AD116:AD136">IF(AQ116="7",BH116,0)</f>
        <v>0</v>
      </c>
      <c r="AE116" s="6">
        <f aca="true" t="shared" si="105" ref="AE116:AE136">IF(AQ116="7",BI116,0)</f>
        <v>0</v>
      </c>
      <c r="AF116" s="6">
        <f aca="true" t="shared" si="106" ref="AF116:AF136">IF(AQ116="2",BH116,0)</f>
        <v>0</v>
      </c>
      <c r="AG116" s="6">
        <f aca="true" t="shared" si="107" ref="AG116:AG136">IF(AQ116="2",BI116,0)</f>
        <v>0</v>
      </c>
      <c r="AH116" s="6">
        <f aca="true" t="shared" si="108" ref="AH116:AH136">IF(AQ116="0",BJ116,0)</f>
        <v>0</v>
      </c>
      <c r="AI116" s="20" t="s">
        <v>318</v>
      </c>
      <c r="AJ116" s="6">
        <f aca="true" t="shared" si="109" ref="AJ116:AJ136">IF(AN116=0,L116,0)</f>
        <v>0</v>
      </c>
      <c r="AK116" s="6">
        <f aca="true" t="shared" si="110" ref="AK116:AK136">IF(AN116=15,L116,0)</f>
        <v>0</v>
      </c>
      <c r="AL116" s="6">
        <f aca="true" t="shared" si="111" ref="AL116:AL136">IF(AN116=21,L116,0)</f>
        <v>0</v>
      </c>
      <c r="AN116" s="6">
        <v>21</v>
      </c>
      <c r="AO116" s="6">
        <f>K116*0</f>
        <v>0</v>
      </c>
      <c r="AP116" s="6">
        <f>K116*(1-0)</f>
        <v>0</v>
      </c>
      <c r="AQ116" s="3" t="s">
        <v>455</v>
      </c>
      <c r="AV116" s="6">
        <f aca="true" t="shared" si="112" ref="AV116:AV136">AW116+AX116</f>
        <v>0</v>
      </c>
      <c r="AW116" s="6">
        <f aca="true" t="shared" si="113" ref="AW116:AW136">J116*AO116</f>
        <v>0</v>
      </c>
      <c r="AX116" s="6">
        <f aca="true" t="shared" si="114" ref="AX116:AX136">J116*AP116</f>
        <v>0</v>
      </c>
      <c r="AY116" s="3" t="s">
        <v>414</v>
      </c>
      <c r="AZ116" s="3" t="s">
        <v>167</v>
      </c>
      <c r="BA116" s="20" t="s">
        <v>360</v>
      </c>
      <c r="BC116" s="6">
        <f aca="true" t="shared" si="115" ref="BC116:BC136">AW116+AX116</f>
        <v>0</v>
      </c>
      <c r="BD116" s="6">
        <f aca="true" t="shared" si="116" ref="BD116:BD136">K116/(100-BE116)*100</f>
        <v>0</v>
      </c>
      <c r="BE116" s="6">
        <v>0</v>
      </c>
      <c r="BF116" s="6">
        <f>116</f>
        <v>116</v>
      </c>
      <c r="BH116" s="6">
        <f aca="true" t="shared" si="117" ref="BH116:BH136">J116*AO116</f>
        <v>0</v>
      </c>
      <c r="BI116" s="6">
        <f aca="true" t="shared" si="118" ref="BI116:BI136">J116*AP116</f>
        <v>0</v>
      </c>
      <c r="BJ116" s="6">
        <f aca="true" t="shared" si="119" ref="BJ116:BJ136">J116*K116</f>
        <v>0</v>
      </c>
      <c r="BK116" s="6"/>
      <c r="BL116" s="6">
        <v>96</v>
      </c>
    </row>
    <row r="117" spans="1:64" ht="15" customHeight="1">
      <c r="A117" s="17" t="s">
        <v>425</v>
      </c>
      <c r="B117" s="28" t="s">
        <v>320</v>
      </c>
      <c r="C117" s="52" t="s">
        <v>209</v>
      </c>
      <c r="D117" s="52"/>
      <c r="E117" s="52"/>
      <c r="F117" s="52"/>
      <c r="G117" s="52"/>
      <c r="H117" s="52"/>
      <c r="I117" s="28" t="s">
        <v>117</v>
      </c>
      <c r="J117" s="6">
        <v>6</v>
      </c>
      <c r="K117" s="6">
        <v>0</v>
      </c>
      <c r="L117" s="6">
        <f t="shared" si="100"/>
        <v>0</v>
      </c>
      <c r="M117" s="2">
        <v>0.025</v>
      </c>
      <c r="Z117" s="6">
        <f t="shared" si="101"/>
        <v>0</v>
      </c>
      <c r="AB117" s="6">
        <f t="shared" si="102"/>
        <v>0</v>
      </c>
      <c r="AC117" s="6">
        <f t="shared" si="103"/>
        <v>0</v>
      </c>
      <c r="AD117" s="6">
        <f t="shared" si="104"/>
        <v>0</v>
      </c>
      <c r="AE117" s="6">
        <f t="shared" si="105"/>
        <v>0</v>
      </c>
      <c r="AF117" s="6">
        <f t="shared" si="106"/>
        <v>0</v>
      </c>
      <c r="AG117" s="6">
        <f t="shared" si="107"/>
        <v>0</v>
      </c>
      <c r="AH117" s="6">
        <f t="shared" si="108"/>
        <v>0</v>
      </c>
      <c r="AI117" s="20" t="s">
        <v>318</v>
      </c>
      <c r="AJ117" s="6">
        <f t="shared" si="109"/>
        <v>0</v>
      </c>
      <c r="AK117" s="6">
        <f t="shared" si="110"/>
        <v>0</v>
      </c>
      <c r="AL117" s="6">
        <f t="shared" si="111"/>
        <v>0</v>
      </c>
      <c r="AN117" s="6">
        <v>21</v>
      </c>
      <c r="AO117" s="6">
        <f>K117*0</f>
        <v>0</v>
      </c>
      <c r="AP117" s="6">
        <f>K117*(1-0)</f>
        <v>0</v>
      </c>
      <c r="AQ117" s="3" t="s">
        <v>455</v>
      </c>
      <c r="AV117" s="6">
        <f t="shared" si="112"/>
        <v>0</v>
      </c>
      <c r="AW117" s="6">
        <f t="shared" si="113"/>
        <v>0</v>
      </c>
      <c r="AX117" s="6">
        <f t="shared" si="114"/>
        <v>0</v>
      </c>
      <c r="AY117" s="3" t="s">
        <v>414</v>
      </c>
      <c r="AZ117" s="3" t="s">
        <v>167</v>
      </c>
      <c r="BA117" s="20" t="s">
        <v>360</v>
      </c>
      <c r="BC117" s="6">
        <f t="shared" si="115"/>
        <v>0</v>
      </c>
      <c r="BD117" s="6">
        <f t="shared" si="116"/>
        <v>0</v>
      </c>
      <c r="BE117" s="6">
        <v>0</v>
      </c>
      <c r="BF117" s="6">
        <f>117</f>
        <v>117</v>
      </c>
      <c r="BH117" s="6">
        <f t="shared" si="117"/>
        <v>0</v>
      </c>
      <c r="BI117" s="6">
        <f t="shared" si="118"/>
        <v>0</v>
      </c>
      <c r="BJ117" s="6">
        <f t="shared" si="119"/>
        <v>0</v>
      </c>
      <c r="BK117" s="6"/>
      <c r="BL117" s="6">
        <v>96</v>
      </c>
    </row>
    <row r="118" spans="1:64" ht="15" customHeight="1">
      <c r="A118" s="17" t="s">
        <v>61</v>
      </c>
      <c r="B118" s="28" t="s">
        <v>355</v>
      </c>
      <c r="C118" s="52" t="s">
        <v>4</v>
      </c>
      <c r="D118" s="52"/>
      <c r="E118" s="52"/>
      <c r="F118" s="52"/>
      <c r="G118" s="52"/>
      <c r="H118" s="52"/>
      <c r="I118" s="28" t="s">
        <v>117</v>
      </c>
      <c r="J118" s="6">
        <v>13</v>
      </c>
      <c r="K118" s="6">
        <v>0</v>
      </c>
      <c r="L118" s="6">
        <f t="shared" si="100"/>
        <v>0</v>
      </c>
      <c r="M118" s="2">
        <v>0.015</v>
      </c>
      <c r="Z118" s="6">
        <f t="shared" si="101"/>
        <v>0</v>
      </c>
      <c r="AB118" s="6">
        <f t="shared" si="102"/>
        <v>0</v>
      </c>
      <c r="AC118" s="6">
        <f t="shared" si="103"/>
        <v>0</v>
      </c>
      <c r="AD118" s="6">
        <f t="shared" si="104"/>
        <v>0</v>
      </c>
      <c r="AE118" s="6">
        <f t="shared" si="105"/>
        <v>0</v>
      </c>
      <c r="AF118" s="6">
        <f t="shared" si="106"/>
        <v>0</v>
      </c>
      <c r="AG118" s="6">
        <f t="shared" si="107"/>
        <v>0</v>
      </c>
      <c r="AH118" s="6">
        <f t="shared" si="108"/>
        <v>0</v>
      </c>
      <c r="AI118" s="20" t="s">
        <v>318</v>
      </c>
      <c r="AJ118" s="6">
        <f t="shared" si="109"/>
        <v>0</v>
      </c>
      <c r="AK118" s="6">
        <f t="shared" si="110"/>
        <v>0</v>
      </c>
      <c r="AL118" s="6">
        <f t="shared" si="111"/>
        <v>0</v>
      </c>
      <c r="AN118" s="6">
        <v>21</v>
      </c>
      <c r="AO118" s="6">
        <f>K118*0</f>
        <v>0</v>
      </c>
      <c r="AP118" s="6">
        <f>K118*(1-0)</f>
        <v>0</v>
      </c>
      <c r="AQ118" s="3" t="s">
        <v>455</v>
      </c>
      <c r="AV118" s="6">
        <f t="shared" si="112"/>
        <v>0</v>
      </c>
      <c r="AW118" s="6">
        <f t="shared" si="113"/>
        <v>0</v>
      </c>
      <c r="AX118" s="6">
        <f t="shared" si="114"/>
        <v>0</v>
      </c>
      <c r="AY118" s="3" t="s">
        <v>414</v>
      </c>
      <c r="AZ118" s="3" t="s">
        <v>167</v>
      </c>
      <c r="BA118" s="20" t="s">
        <v>360</v>
      </c>
      <c r="BC118" s="6">
        <f t="shared" si="115"/>
        <v>0</v>
      </c>
      <c r="BD118" s="6">
        <f t="shared" si="116"/>
        <v>0</v>
      </c>
      <c r="BE118" s="6">
        <v>0</v>
      </c>
      <c r="BF118" s="6">
        <f>118</f>
        <v>118</v>
      </c>
      <c r="BH118" s="6">
        <f t="shared" si="117"/>
        <v>0</v>
      </c>
      <c r="BI118" s="6">
        <f t="shared" si="118"/>
        <v>0</v>
      </c>
      <c r="BJ118" s="6">
        <f t="shared" si="119"/>
        <v>0</v>
      </c>
      <c r="BK118" s="6"/>
      <c r="BL118" s="6">
        <v>96</v>
      </c>
    </row>
    <row r="119" spans="1:64" ht="15" customHeight="1">
      <c r="A119" s="17" t="s">
        <v>187</v>
      </c>
      <c r="B119" s="28" t="s">
        <v>476</v>
      </c>
      <c r="C119" s="52" t="s">
        <v>240</v>
      </c>
      <c r="D119" s="52"/>
      <c r="E119" s="52"/>
      <c r="F119" s="52"/>
      <c r="G119" s="52"/>
      <c r="H119" s="52"/>
      <c r="I119" s="28" t="s">
        <v>449</v>
      </c>
      <c r="J119" s="6">
        <v>3.25</v>
      </c>
      <c r="K119" s="6">
        <v>0</v>
      </c>
      <c r="L119" s="6">
        <f t="shared" si="100"/>
        <v>0</v>
      </c>
      <c r="M119" s="2">
        <v>0.068</v>
      </c>
      <c r="Z119" s="6">
        <f t="shared" si="101"/>
        <v>0</v>
      </c>
      <c r="AB119" s="6">
        <f t="shared" si="102"/>
        <v>0</v>
      </c>
      <c r="AC119" s="6">
        <f t="shared" si="103"/>
        <v>0</v>
      </c>
      <c r="AD119" s="6">
        <f t="shared" si="104"/>
        <v>0</v>
      </c>
      <c r="AE119" s="6">
        <f t="shared" si="105"/>
        <v>0</v>
      </c>
      <c r="AF119" s="6">
        <f t="shared" si="106"/>
        <v>0</v>
      </c>
      <c r="AG119" s="6">
        <f t="shared" si="107"/>
        <v>0</v>
      </c>
      <c r="AH119" s="6">
        <f t="shared" si="108"/>
        <v>0</v>
      </c>
      <c r="AI119" s="20" t="s">
        <v>318</v>
      </c>
      <c r="AJ119" s="6">
        <f t="shared" si="109"/>
        <v>0</v>
      </c>
      <c r="AK119" s="6">
        <f t="shared" si="110"/>
        <v>0</v>
      </c>
      <c r="AL119" s="6">
        <f t="shared" si="111"/>
        <v>0</v>
      </c>
      <c r="AN119" s="6">
        <v>21</v>
      </c>
      <c r="AO119" s="6">
        <f>K119*0.111142857142857</f>
        <v>0</v>
      </c>
      <c r="AP119" s="6">
        <f>K119*(1-0.111142857142857)</f>
        <v>0</v>
      </c>
      <c r="AQ119" s="3" t="s">
        <v>455</v>
      </c>
      <c r="AV119" s="6">
        <f t="shared" si="112"/>
        <v>0</v>
      </c>
      <c r="AW119" s="6">
        <f t="shared" si="113"/>
        <v>0</v>
      </c>
      <c r="AX119" s="6">
        <f t="shared" si="114"/>
        <v>0</v>
      </c>
      <c r="AY119" s="3" t="s">
        <v>414</v>
      </c>
      <c r="AZ119" s="3" t="s">
        <v>167</v>
      </c>
      <c r="BA119" s="20" t="s">
        <v>360</v>
      </c>
      <c r="BC119" s="6">
        <f t="shared" si="115"/>
        <v>0</v>
      </c>
      <c r="BD119" s="6">
        <f t="shared" si="116"/>
        <v>0</v>
      </c>
      <c r="BE119" s="6">
        <v>0</v>
      </c>
      <c r="BF119" s="6">
        <f>119</f>
        <v>119</v>
      </c>
      <c r="BH119" s="6">
        <f t="shared" si="117"/>
        <v>0</v>
      </c>
      <c r="BI119" s="6">
        <f t="shared" si="118"/>
        <v>0</v>
      </c>
      <c r="BJ119" s="6">
        <f t="shared" si="119"/>
        <v>0</v>
      </c>
      <c r="BK119" s="6"/>
      <c r="BL119" s="6">
        <v>96</v>
      </c>
    </row>
    <row r="120" spans="1:64" ht="15" customHeight="1">
      <c r="A120" s="17" t="s">
        <v>263</v>
      </c>
      <c r="B120" s="28" t="s">
        <v>311</v>
      </c>
      <c r="C120" s="52" t="s">
        <v>211</v>
      </c>
      <c r="D120" s="52"/>
      <c r="E120" s="52"/>
      <c r="F120" s="52"/>
      <c r="G120" s="52"/>
      <c r="H120" s="52"/>
      <c r="I120" s="28" t="s">
        <v>117</v>
      </c>
      <c r="J120" s="6">
        <v>2</v>
      </c>
      <c r="K120" s="6">
        <v>0</v>
      </c>
      <c r="L120" s="6">
        <f t="shared" si="100"/>
        <v>0</v>
      </c>
      <c r="M120" s="2">
        <v>0.02027</v>
      </c>
      <c r="Z120" s="6">
        <f t="shared" si="101"/>
        <v>0</v>
      </c>
      <c r="AB120" s="6">
        <f t="shared" si="102"/>
        <v>0</v>
      </c>
      <c r="AC120" s="6">
        <f t="shared" si="103"/>
        <v>0</v>
      </c>
      <c r="AD120" s="6">
        <f t="shared" si="104"/>
        <v>0</v>
      </c>
      <c r="AE120" s="6">
        <f t="shared" si="105"/>
        <v>0</v>
      </c>
      <c r="AF120" s="6">
        <f t="shared" si="106"/>
        <v>0</v>
      </c>
      <c r="AG120" s="6">
        <f t="shared" si="107"/>
        <v>0</v>
      </c>
      <c r="AH120" s="6">
        <f t="shared" si="108"/>
        <v>0</v>
      </c>
      <c r="AI120" s="20" t="s">
        <v>318</v>
      </c>
      <c r="AJ120" s="6">
        <f t="shared" si="109"/>
        <v>0</v>
      </c>
      <c r="AK120" s="6">
        <f t="shared" si="110"/>
        <v>0</v>
      </c>
      <c r="AL120" s="6">
        <f t="shared" si="111"/>
        <v>0</v>
      </c>
      <c r="AN120" s="6">
        <v>21</v>
      </c>
      <c r="AO120" s="6">
        <f aca="true" t="shared" si="120" ref="AO120:AO129">K120*0</f>
        <v>0</v>
      </c>
      <c r="AP120" s="6">
        <f aca="true" t="shared" si="121" ref="AP120:AP129">K120*(1-0)</f>
        <v>0</v>
      </c>
      <c r="AQ120" s="3" t="s">
        <v>455</v>
      </c>
      <c r="AV120" s="6">
        <f t="shared" si="112"/>
        <v>0</v>
      </c>
      <c r="AW120" s="6">
        <f t="shared" si="113"/>
        <v>0</v>
      </c>
      <c r="AX120" s="6">
        <f t="shared" si="114"/>
        <v>0</v>
      </c>
      <c r="AY120" s="3" t="s">
        <v>414</v>
      </c>
      <c r="AZ120" s="3" t="s">
        <v>167</v>
      </c>
      <c r="BA120" s="20" t="s">
        <v>360</v>
      </c>
      <c r="BC120" s="6">
        <f t="shared" si="115"/>
        <v>0</v>
      </c>
      <c r="BD120" s="6">
        <f t="shared" si="116"/>
        <v>0</v>
      </c>
      <c r="BE120" s="6">
        <v>0</v>
      </c>
      <c r="BF120" s="6">
        <f>120</f>
        <v>120</v>
      </c>
      <c r="BH120" s="6">
        <f t="shared" si="117"/>
        <v>0</v>
      </c>
      <c r="BI120" s="6">
        <f t="shared" si="118"/>
        <v>0</v>
      </c>
      <c r="BJ120" s="6">
        <f t="shared" si="119"/>
        <v>0</v>
      </c>
      <c r="BK120" s="6"/>
      <c r="BL120" s="6">
        <v>96</v>
      </c>
    </row>
    <row r="121" spans="1:64" ht="15" customHeight="1">
      <c r="A121" s="17" t="s">
        <v>59</v>
      </c>
      <c r="B121" s="28" t="s">
        <v>224</v>
      </c>
      <c r="C121" s="52" t="s">
        <v>172</v>
      </c>
      <c r="D121" s="52"/>
      <c r="E121" s="52"/>
      <c r="F121" s="52"/>
      <c r="G121" s="52"/>
      <c r="H121" s="52"/>
      <c r="I121" s="28" t="s">
        <v>117</v>
      </c>
      <c r="J121" s="6">
        <v>1</v>
      </c>
      <c r="K121" s="6">
        <v>0</v>
      </c>
      <c r="L121" s="6">
        <f t="shared" si="100"/>
        <v>0</v>
      </c>
      <c r="M121" s="2">
        <v>0.082</v>
      </c>
      <c r="Z121" s="6">
        <f t="shared" si="101"/>
        <v>0</v>
      </c>
      <c r="AB121" s="6">
        <f t="shared" si="102"/>
        <v>0</v>
      </c>
      <c r="AC121" s="6">
        <f t="shared" si="103"/>
        <v>0</v>
      </c>
      <c r="AD121" s="6">
        <f t="shared" si="104"/>
        <v>0</v>
      </c>
      <c r="AE121" s="6">
        <f t="shared" si="105"/>
        <v>0</v>
      </c>
      <c r="AF121" s="6">
        <f t="shared" si="106"/>
        <v>0</v>
      </c>
      <c r="AG121" s="6">
        <f t="shared" si="107"/>
        <v>0</v>
      </c>
      <c r="AH121" s="6">
        <f t="shared" si="108"/>
        <v>0</v>
      </c>
      <c r="AI121" s="20" t="s">
        <v>318</v>
      </c>
      <c r="AJ121" s="6">
        <f t="shared" si="109"/>
        <v>0</v>
      </c>
      <c r="AK121" s="6">
        <f t="shared" si="110"/>
        <v>0</v>
      </c>
      <c r="AL121" s="6">
        <f t="shared" si="111"/>
        <v>0</v>
      </c>
      <c r="AN121" s="6">
        <v>21</v>
      </c>
      <c r="AO121" s="6">
        <f t="shared" si="120"/>
        <v>0</v>
      </c>
      <c r="AP121" s="6">
        <f t="shared" si="121"/>
        <v>0</v>
      </c>
      <c r="AQ121" s="3" t="s">
        <v>455</v>
      </c>
      <c r="AV121" s="6">
        <f t="shared" si="112"/>
        <v>0</v>
      </c>
      <c r="AW121" s="6">
        <f t="shared" si="113"/>
        <v>0</v>
      </c>
      <c r="AX121" s="6">
        <f t="shared" si="114"/>
        <v>0</v>
      </c>
      <c r="AY121" s="3" t="s">
        <v>414</v>
      </c>
      <c r="AZ121" s="3" t="s">
        <v>167</v>
      </c>
      <c r="BA121" s="20" t="s">
        <v>360</v>
      </c>
      <c r="BC121" s="6">
        <f t="shared" si="115"/>
        <v>0</v>
      </c>
      <c r="BD121" s="6">
        <f t="shared" si="116"/>
        <v>0</v>
      </c>
      <c r="BE121" s="6">
        <v>0</v>
      </c>
      <c r="BF121" s="6">
        <f>121</f>
        <v>121</v>
      </c>
      <c r="BH121" s="6">
        <f t="shared" si="117"/>
        <v>0</v>
      </c>
      <c r="BI121" s="6">
        <f t="shared" si="118"/>
        <v>0</v>
      </c>
      <c r="BJ121" s="6">
        <f t="shared" si="119"/>
        <v>0</v>
      </c>
      <c r="BK121" s="6"/>
      <c r="BL121" s="6">
        <v>96</v>
      </c>
    </row>
    <row r="122" spans="1:64" ht="15" customHeight="1">
      <c r="A122" s="17" t="s">
        <v>324</v>
      </c>
      <c r="B122" s="28" t="s">
        <v>19</v>
      </c>
      <c r="C122" s="52" t="s">
        <v>66</v>
      </c>
      <c r="D122" s="52"/>
      <c r="E122" s="52"/>
      <c r="F122" s="52"/>
      <c r="G122" s="52"/>
      <c r="H122" s="52"/>
      <c r="I122" s="28" t="s">
        <v>160</v>
      </c>
      <c r="J122" s="6">
        <v>4</v>
      </c>
      <c r="K122" s="6">
        <v>0</v>
      </c>
      <c r="L122" s="6">
        <f t="shared" si="100"/>
        <v>0</v>
      </c>
      <c r="M122" s="2">
        <v>0.00156</v>
      </c>
      <c r="Z122" s="6">
        <f t="shared" si="101"/>
        <v>0</v>
      </c>
      <c r="AB122" s="6">
        <f t="shared" si="102"/>
        <v>0</v>
      </c>
      <c r="AC122" s="6">
        <f t="shared" si="103"/>
        <v>0</v>
      </c>
      <c r="AD122" s="6">
        <f t="shared" si="104"/>
        <v>0</v>
      </c>
      <c r="AE122" s="6">
        <f t="shared" si="105"/>
        <v>0</v>
      </c>
      <c r="AF122" s="6">
        <f t="shared" si="106"/>
        <v>0</v>
      </c>
      <c r="AG122" s="6">
        <f t="shared" si="107"/>
        <v>0</v>
      </c>
      <c r="AH122" s="6">
        <f t="shared" si="108"/>
        <v>0</v>
      </c>
      <c r="AI122" s="20" t="s">
        <v>318</v>
      </c>
      <c r="AJ122" s="6">
        <f t="shared" si="109"/>
        <v>0</v>
      </c>
      <c r="AK122" s="6">
        <f t="shared" si="110"/>
        <v>0</v>
      </c>
      <c r="AL122" s="6">
        <f t="shared" si="111"/>
        <v>0</v>
      </c>
      <c r="AN122" s="6">
        <v>21</v>
      </c>
      <c r="AO122" s="6">
        <f t="shared" si="120"/>
        <v>0</v>
      </c>
      <c r="AP122" s="6">
        <f t="shared" si="121"/>
        <v>0</v>
      </c>
      <c r="AQ122" s="3" t="s">
        <v>455</v>
      </c>
      <c r="AV122" s="6">
        <f t="shared" si="112"/>
        <v>0</v>
      </c>
      <c r="AW122" s="6">
        <f t="shared" si="113"/>
        <v>0</v>
      </c>
      <c r="AX122" s="6">
        <f t="shared" si="114"/>
        <v>0</v>
      </c>
      <c r="AY122" s="3" t="s">
        <v>414</v>
      </c>
      <c r="AZ122" s="3" t="s">
        <v>167</v>
      </c>
      <c r="BA122" s="20" t="s">
        <v>360</v>
      </c>
      <c r="BC122" s="6">
        <f t="shared" si="115"/>
        <v>0</v>
      </c>
      <c r="BD122" s="6">
        <f t="shared" si="116"/>
        <v>0</v>
      </c>
      <c r="BE122" s="6">
        <v>0</v>
      </c>
      <c r="BF122" s="6">
        <f>122</f>
        <v>122</v>
      </c>
      <c r="BH122" s="6">
        <f t="shared" si="117"/>
        <v>0</v>
      </c>
      <c r="BI122" s="6">
        <f t="shared" si="118"/>
        <v>0</v>
      </c>
      <c r="BJ122" s="6">
        <f t="shared" si="119"/>
        <v>0</v>
      </c>
      <c r="BK122" s="6"/>
      <c r="BL122" s="6">
        <v>96</v>
      </c>
    </row>
    <row r="123" spans="1:64" ht="15" customHeight="1">
      <c r="A123" s="17" t="s">
        <v>229</v>
      </c>
      <c r="B123" s="28" t="s">
        <v>351</v>
      </c>
      <c r="C123" s="52" t="s">
        <v>482</v>
      </c>
      <c r="D123" s="52"/>
      <c r="E123" s="52"/>
      <c r="F123" s="52"/>
      <c r="G123" s="52"/>
      <c r="H123" s="52"/>
      <c r="I123" s="28" t="s">
        <v>117</v>
      </c>
      <c r="J123" s="6">
        <v>1</v>
      </c>
      <c r="K123" s="6">
        <v>0</v>
      </c>
      <c r="L123" s="6">
        <f t="shared" si="100"/>
        <v>0</v>
      </c>
      <c r="M123" s="2">
        <v>0.00225</v>
      </c>
      <c r="Z123" s="6">
        <f t="shared" si="101"/>
        <v>0</v>
      </c>
      <c r="AB123" s="6">
        <f t="shared" si="102"/>
        <v>0</v>
      </c>
      <c r="AC123" s="6">
        <f t="shared" si="103"/>
        <v>0</v>
      </c>
      <c r="AD123" s="6">
        <f t="shared" si="104"/>
        <v>0</v>
      </c>
      <c r="AE123" s="6">
        <f t="shared" si="105"/>
        <v>0</v>
      </c>
      <c r="AF123" s="6">
        <f t="shared" si="106"/>
        <v>0</v>
      </c>
      <c r="AG123" s="6">
        <f t="shared" si="107"/>
        <v>0</v>
      </c>
      <c r="AH123" s="6">
        <f t="shared" si="108"/>
        <v>0</v>
      </c>
      <c r="AI123" s="20" t="s">
        <v>318</v>
      </c>
      <c r="AJ123" s="6">
        <f t="shared" si="109"/>
        <v>0</v>
      </c>
      <c r="AK123" s="6">
        <f t="shared" si="110"/>
        <v>0</v>
      </c>
      <c r="AL123" s="6">
        <f t="shared" si="111"/>
        <v>0</v>
      </c>
      <c r="AN123" s="6">
        <v>21</v>
      </c>
      <c r="AO123" s="6">
        <f t="shared" si="120"/>
        <v>0</v>
      </c>
      <c r="AP123" s="6">
        <f t="shared" si="121"/>
        <v>0</v>
      </c>
      <c r="AQ123" s="3" t="s">
        <v>455</v>
      </c>
      <c r="AV123" s="6">
        <f t="shared" si="112"/>
        <v>0</v>
      </c>
      <c r="AW123" s="6">
        <f t="shared" si="113"/>
        <v>0</v>
      </c>
      <c r="AX123" s="6">
        <f t="shared" si="114"/>
        <v>0</v>
      </c>
      <c r="AY123" s="3" t="s">
        <v>414</v>
      </c>
      <c r="AZ123" s="3" t="s">
        <v>167</v>
      </c>
      <c r="BA123" s="20" t="s">
        <v>360</v>
      </c>
      <c r="BC123" s="6">
        <f t="shared" si="115"/>
        <v>0</v>
      </c>
      <c r="BD123" s="6">
        <f t="shared" si="116"/>
        <v>0</v>
      </c>
      <c r="BE123" s="6">
        <v>0</v>
      </c>
      <c r="BF123" s="6">
        <f>123</f>
        <v>123</v>
      </c>
      <c r="BH123" s="6">
        <f t="shared" si="117"/>
        <v>0</v>
      </c>
      <c r="BI123" s="6">
        <f t="shared" si="118"/>
        <v>0</v>
      </c>
      <c r="BJ123" s="6">
        <f t="shared" si="119"/>
        <v>0</v>
      </c>
      <c r="BK123" s="6"/>
      <c r="BL123" s="6">
        <v>96</v>
      </c>
    </row>
    <row r="124" spans="1:64" ht="15" customHeight="1">
      <c r="A124" s="17" t="s">
        <v>389</v>
      </c>
      <c r="B124" s="28" t="s">
        <v>268</v>
      </c>
      <c r="C124" s="52" t="s">
        <v>364</v>
      </c>
      <c r="D124" s="52"/>
      <c r="E124" s="52"/>
      <c r="F124" s="52"/>
      <c r="G124" s="52"/>
      <c r="H124" s="52"/>
      <c r="I124" s="28" t="s">
        <v>160</v>
      </c>
      <c r="J124" s="6">
        <v>1</v>
      </c>
      <c r="K124" s="6">
        <v>0</v>
      </c>
      <c r="L124" s="6">
        <f t="shared" si="100"/>
        <v>0</v>
      </c>
      <c r="M124" s="2">
        <v>0.0347</v>
      </c>
      <c r="Z124" s="6">
        <f t="shared" si="101"/>
        <v>0</v>
      </c>
      <c r="AB124" s="6">
        <f t="shared" si="102"/>
        <v>0</v>
      </c>
      <c r="AC124" s="6">
        <f t="shared" si="103"/>
        <v>0</v>
      </c>
      <c r="AD124" s="6">
        <f t="shared" si="104"/>
        <v>0</v>
      </c>
      <c r="AE124" s="6">
        <f t="shared" si="105"/>
        <v>0</v>
      </c>
      <c r="AF124" s="6">
        <f t="shared" si="106"/>
        <v>0</v>
      </c>
      <c r="AG124" s="6">
        <f t="shared" si="107"/>
        <v>0</v>
      </c>
      <c r="AH124" s="6">
        <f t="shared" si="108"/>
        <v>0</v>
      </c>
      <c r="AI124" s="20" t="s">
        <v>318</v>
      </c>
      <c r="AJ124" s="6">
        <f t="shared" si="109"/>
        <v>0</v>
      </c>
      <c r="AK124" s="6">
        <f t="shared" si="110"/>
        <v>0</v>
      </c>
      <c r="AL124" s="6">
        <f t="shared" si="111"/>
        <v>0</v>
      </c>
      <c r="AN124" s="6">
        <v>21</v>
      </c>
      <c r="AO124" s="6">
        <f t="shared" si="120"/>
        <v>0</v>
      </c>
      <c r="AP124" s="6">
        <f t="shared" si="121"/>
        <v>0</v>
      </c>
      <c r="AQ124" s="3" t="s">
        <v>455</v>
      </c>
      <c r="AV124" s="6">
        <f t="shared" si="112"/>
        <v>0</v>
      </c>
      <c r="AW124" s="6">
        <f t="shared" si="113"/>
        <v>0</v>
      </c>
      <c r="AX124" s="6">
        <f t="shared" si="114"/>
        <v>0</v>
      </c>
      <c r="AY124" s="3" t="s">
        <v>414</v>
      </c>
      <c r="AZ124" s="3" t="s">
        <v>167</v>
      </c>
      <c r="BA124" s="20" t="s">
        <v>360</v>
      </c>
      <c r="BC124" s="6">
        <f t="shared" si="115"/>
        <v>0</v>
      </c>
      <c r="BD124" s="6">
        <f t="shared" si="116"/>
        <v>0</v>
      </c>
      <c r="BE124" s="6">
        <v>0</v>
      </c>
      <c r="BF124" s="6">
        <f>124</f>
        <v>124</v>
      </c>
      <c r="BH124" s="6">
        <f t="shared" si="117"/>
        <v>0</v>
      </c>
      <c r="BI124" s="6">
        <f t="shared" si="118"/>
        <v>0</v>
      </c>
      <c r="BJ124" s="6">
        <f t="shared" si="119"/>
        <v>0</v>
      </c>
      <c r="BK124" s="6"/>
      <c r="BL124" s="6">
        <v>96</v>
      </c>
    </row>
    <row r="125" spans="1:64" ht="15" customHeight="1">
      <c r="A125" s="17" t="s">
        <v>430</v>
      </c>
      <c r="B125" s="28" t="s">
        <v>259</v>
      </c>
      <c r="C125" s="52" t="s">
        <v>515</v>
      </c>
      <c r="D125" s="52"/>
      <c r="E125" s="52"/>
      <c r="F125" s="52"/>
      <c r="G125" s="52"/>
      <c r="H125" s="52"/>
      <c r="I125" s="28" t="s">
        <v>160</v>
      </c>
      <c r="J125" s="6">
        <v>2</v>
      </c>
      <c r="K125" s="6">
        <v>0</v>
      </c>
      <c r="L125" s="6">
        <f t="shared" si="100"/>
        <v>0</v>
      </c>
      <c r="M125" s="2">
        <v>0.01946</v>
      </c>
      <c r="Z125" s="6">
        <f t="shared" si="101"/>
        <v>0</v>
      </c>
      <c r="AB125" s="6">
        <f t="shared" si="102"/>
        <v>0</v>
      </c>
      <c r="AC125" s="6">
        <f t="shared" si="103"/>
        <v>0</v>
      </c>
      <c r="AD125" s="6">
        <f t="shared" si="104"/>
        <v>0</v>
      </c>
      <c r="AE125" s="6">
        <f t="shared" si="105"/>
        <v>0</v>
      </c>
      <c r="AF125" s="6">
        <f t="shared" si="106"/>
        <v>0</v>
      </c>
      <c r="AG125" s="6">
        <f t="shared" si="107"/>
        <v>0</v>
      </c>
      <c r="AH125" s="6">
        <f t="shared" si="108"/>
        <v>0</v>
      </c>
      <c r="AI125" s="20" t="s">
        <v>318</v>
      </c>
      <c r="AJ125" s="6">
        <f t="shared" si="109"/>
        <v>0</v>
      </c>
      <c r="AK125" s="6">
        <f t="shared" si="110"/>
        <v>0</v>
      </c>
      <c r="AL125" s="6">
        <f t="shared" si="111"/>
        <v>0</v>
      </c>
      <c r="AN125" s="6">
        <v>21</v>
      </c>
      <c r="AO125" s="6">
        <f t="shared" si="120"/>
        <v>0</v>
      </c>
      <c r="AP125" s="6">
        <f t="shared" si="121"/>
        <v>0</v>
      </c>
      <c r="AQ125" s="3" t="s">
        <v>455</v>
      </c>
      <c r="AV125" s="6">
        <f t="shared" si="112"/>
        <v>0</v>
      </c>
      <c r="AW125" s="6">
        <f t="shared" si="113"/>
        <v>0</v>
      </c>
      <c r="AX125" s="6">
        <f t="shared" si="114"/>
        <v>0</v>
      </c>
      <c r="AY125" s="3" t="s">
        <v>414</v>
      </c>
      <c r="AZ125" s="3" t="s">
        <v>167</v>
      </c>
      <c r="BA125" s="20" t="s">
        <v>360</v>
      </c>
      <c r="BC125" s="6">
        <f t="shared" si="115"/>
        <v>0</v>
      </c>
      <c r="BD125" s="6">
        <f t="shared" si="116"/>
        <v>0</v>
      </c>
      <c r="BE125" s="6">
        <v>0</v>
      </c>
      <c r="BF125" s="6">
        <f>125</f>
        <v>125</v>
      </c>
      <c r="BH125" s="6">
        <f t="shared" si="117"/>
        <v>0</v>
      </c>
      <c r="BI125" s="6">
        <f t="shared" si="118"/>
        <v>0</v>
      </c>
      <c r="BJ125" s="6">
        <f t="shared" si="119"/>
        <v>0</v>
      </c>
      <c r="BK125" s="6"/>
      <c r="BL125" s="6">
        <v>96</v>
      </c>
    </row>
    <row r="126" spans="1:64" ht="15" customHeight="1">
      <c r="A126" s="17" t="s">
        <v>409</v>
      </c>
      <c r="B126" s="28" t="s">
        <v>479</v>
      </c>
      <c r="C126" s="52" t="s">
        <v>112</v>
      </c>
      <c r="D126" s="52"/>
      <c r="E126" s="52"/>
      <c r="F126" s="52"/>
      <c r="G126" s="52"/>
      <c r="H126" s="52"/>
      <c r="I126" s="28" t="s">
        <v>160</v>
      </c>
      <c r="J126" s="6">
        <v>1</v>
      </c>
      <c r="K126" s="6">
        <v>0</v>
      </c>
      <c r="L126" s="6">
        <f t="shared" si="100"/>
        <v>0</v>
      </c>
      <c r="M126" s="2">
        <v>0.01933</v>
      </c>
      <c r="Z126" s="6">
        <f t="shared" si="101"/>
        <v>0</v>
      </c>
      <c r="AB126" s="6">
        <f t="shared" si="102"/>
        <v>0</v>
      </c>
      <c r="AC126" s="6">
        <f t="shared" si="103"/>
        <v>0</v>
      </c>
      <c r="AD126" s="6">
        <f t="shared" si="104"/>
        <v>0</v>
      </c>
      <c r="AE126" s="6">
        <f t="shared" si="105"/>
        <v>0</v>
      </c>
      <c r="AF126" s="6">
        <f t="shared" si="106"/>
        <v>0</v>
      </c>
      <c r="AG126" s="6">
        <f t="shared" si="107"/>
        <v>0</v>
      </c>
      <c r="AH126" s="6">
        <f t="shared" si="108"/>
        <v>0</v>
      </c>
      <c r="AI126" s="20" t="s">
        <v>318</v>
      </c>
      <c r="AJ126" s="6">
        <f t="shared" si="109"/>
        <v>0</v>
      </c>
      <c r="AK126" s="6">
        <f t="shared" si="110"/>
        <v>0</v>
      </c>
      <c r="AL126" s="6">
        <f t="shared" si="111"/>
        <v>0</v>
      </c>
      <c r="AN126" s="6">
        <v>21</v>
      </c>
      <c r="AO126" s="6">
        <f t="shared" si="120"/>
        <v>0</v>
      </c>
      <c r="AP126" s="6">
        <f t="shared" si="121"/>
        <v>0</v>
      </c>
      <c r="AQ126" s="3" t="s">
        <v>455</v>
      </c>
      <c r="AV126" s="6">
        <f t="shared" si="112"/>
        <v>0</v>
      </c>
      <c r="AW126" s="6">
        <f t="shared" si="113"/>
        <v>0</v>
      </c>
      <c r="AX126" s="6">
        <f t="shared" si="114"/>
        <v>0</v>
      </c>
      <c r="AY126" s="3" t="s">
        <v>414</v>
      </c>
      <c r="AZ126" s="3" t="s">
        <v>167</v>
      </c>
      <c r="BA126" s="20" t="s">
        <v>360</v>
      </c>
      <c r="BC126" s="6">
        <f t="shared" si="115"/>
        <v>0</v>
      </c>
      <c r="BD126" s="6">
        <f t="shared" si="116"/>
        <v>0</v>
      </c>
      <c r="BE126" s="6">
        <v>0</v>
      </c>
      <c r="BF126" s="6">
        <f>126</f>
        <v>126</v>
      </c>
      <c r="BH126" s="6">
        <f t="shared" si="117"/>
        <v>0</v>
      </c>
      <c r="BI126" s="6">
        <f t="shared" si="118"/>
        <v>0</v>
      </c>
      <c r="BJ126" s="6">
        <f t="shared" si="119"/>
        <v>0</v>
      </c>
      <c r="BK126" s="6"/>
      <c r="BL126" s="6">
        <v>96</v>
      </c>
    </row>
    <row r="127" spans="1:64" ht="15" customHeight="1">
      <c r="A127" s="17" t="s">
        <v>16</v>
      </c>
      <c r="B127" s="28" t="s">
        <v>326</v>
      </c>
      <c r="C127" s="52" t="s">
        <v>97</v>
      </c>
      <c r="D127" s="52"/>
      <c r="E127" s="52"/>
      <c r="F127" s="52"/>
      <c r="G127" s="52"/>
      <c r="H127" s="52"/>
      <c r="I127" s="28" t="s">
        <v>449</v>
      </c>
      <c r="J127" s="6">
        <v>17.37</v>
      </c>
      <c r="K127" s="6">
        <v>0</v>
      </c>
      <c r="L127" s="6">
        <f t="shared" si="100"/>
        <v>0</v>
      </c>
      <c r="M127" s="2">
        <v>0.024</v>
      </c>
      <c r="Z127" s="6">
        <f t="shared" si="101"/>
        <v>0</v>
      </c>
      <c r="AB127" s="6">
        <f t="shared" si="102"/>
        <v>0</v>
      </c>
      <c r="AC127" s="6">
        <f t="shared" si="103"/>
        <v>0</v>
      </c>
      <c r="AD127" s="6">
        <f t="shared" si="104"/>
        <v>0</v>
      </c>
      <c r="AE127" s="6">
        <f t="shared" si="105"/>
        <v>0</v>
      </c>
      <c r="AF127" s="6">
        <f t="shared" si="106"/>
        <v>0</v>
      </c>
      <c r="AG127" s="6">
        <f t="shared" si="107"/>
        <v>0</v>
      </c>
      <c r="AH127" s="6">
        <f t="shared" si="108"/>
        <v>0</v>
      </c>
      <c r="AI127" s="20" t="s">
        <v>318</v>
      </c>
      <c r="AJ127" s="6">
        <f t="shared" si="109"/>
        <v>0</v>
      </c>
      <c r="AK127" s="6">
        <f t="shared" si="110"/>
        <v>0</v>
      </c>
      <c r="AL127" s="6">
        <f t="shared" si="111"/>
        <v>0</v>
      </c>
      <c r="AN127" s="6">
        <v>21</v>
      </c>
      <c r="AO127" s="6">
        <f t="shared" si="120"/>
        <v>0</v>
      </c>
      <c r="AP127" s="6">
        <f t="shared" si="121"/>
        <v>0</v>
      </c>
      <c r="AQ127" s="3" t="s">
        <v>455</v>
      </c>
      <c r="AV127" s="6">
        <f t="shared" si="112"/>
        <v>0</v>
      </c>
      <c r="AW127" s="6">
        <f t="shared" si="113"/>
        <v>0</v>
      </c>
      <c r="AX127" s="6">
        <f t="shared" si="114"/>
        <v>0</v>
      </c>
      <c r="AY127" s="3" t="s">
        <v>414</v>
      </c>
      <c r="AZ127" s="3" t="s">
        <v>167</v>
      </c>
      <c r="BA127" s="20" t="s">
        <v>360</v>
      </c>
      <c r="BC127" s="6">
        <f t="shared" si="115"/>
        <v>0</v>
      </c>
      <c r="BD127" s="6">
        <f t="shared" si="116"/>
        <v>0</v>
      </c>
      <c r="BE127" s="6">
        <v>0</v>
      </c>
      <c r="BF127" s="6">
        <f>127</f>
        <v>127</v>
      </c>
      <c r="BH127" s="6">
        <f t="shared" si="117"/>
        <v>0</v>
      </c>
      <c r="BI127" s="6">
        <f t="shared" si="118"/>
        <v>0</v>
      </c>
      <c r="BJ127" s="6">
        <f t="shared" si="119"/>
        <v>0</v>
      </c>
      <c r="BK127" s="6"/>
      <c r="BL127" s="6">
        <v>96</v>
      </c>
    </row>
    <row r="128" spans="1:64" ht="15" customHeight="1">
      <c r="A128" s="17" t="s">
        <v>180</v>
      </c>
      <c r="B128" s="28" t="s">
        <v>162</v>
      </c>
      <c r="C128" s="52" t="s">
        <v>444</v>
      </c>
      <c r="D128" s="52"/>
      <c r="E128" s="52"/>
      <c r="F128" s="52"/>
      <c r="G128" s="52"/>
      <c r="H128" s="52"/>
      <c r="I128" s="28" t="s">
        <v>394</v>
      </c>
      <c r="J128" s="6">
        <v>8.72</v>
      </c>
      <c r="K128" s="6">
        <v>0</v>
      </c>
      <c r="L128" s="6">
        <f t="shared" si="100"/>
        <v>0</v>
      </c>
      <c r="M128" s="2">
        <v>0.0004</v>
      </c>
      <c r="Z128" s="6">
        <f t="shared" si="101"/>
        <v>0</v>
      </c>
      <c r="AB128" s="6">
        <f t="shared" si="102"/>
        <v>0</v>
      </c>
      <c r="AC128" s="6">
        <f t="shared" si="103"/>
        <v>0</v>
      </c>
      <c r="AD128" s="6">
        <f t="shared" si="104"/>
        <v>0</v>
      </c>
      <c r="AE128" s="6">
        <f t="shared" si="105"/>
        <v>0</v>
      </c>
      <c r="AF128" s="6">
        <f t="shared" si="106"/>
        <v>0</v>
      </c>
      <c r="AG128" s="6">
        <f t="shared" si="107"/>
        <v>0</v>
      </c>
      <c r="AH128" s="6">
        <f t="shared" si="108"/>
        <v>0</v>
      </c>
      <c r="AI128" s="20" t="s">
        <v>318</v>
      </c>
      <c r="AJ128" s="6">
        <f t="shared" si="109"/>
        <v>0</v>
      </c>
      <c r="AK128" s="6">
        <f t="shared" si="110"/>
        <v>0</v>
      </c>
      <c r="AL128" s="6">
        <f t="shared" si="111"/>
        <v>0</v>
      </c>
      <c r="AN128" s="6">
        <v>21</v>
      </c>
      <c r="AO128" s="6">
        <f t="shared" si="120"/>
        <v>0</v>
      </c>
      <c r="AP128" s="6">
        <f t="shared" si="121"/>
        <v>0</v>
      </c>
      <c r="AQ128" s="3" t="s">
        <v>455</v>
      </c>
      <c r="AV128" s="6">
        <f t="shared" si="112"/>
        <v>0</v>
      </c>
      <c r="AW128" s="6">
        <f t="shared" si="113"/>
        <v>0</v>
      </c>
      <c r="AX128" s="6">
        <f t="shared" si="114"/>
        <v>0</v>
      </c>
      <c r="AY128" s="3" t="s">
        <v>414</v>
      </c>
      <c r="AZ128" s="3" t="s">
        <v>167</v>
      </c>
      <c r="BA128" s="20" t="s">
        <v>360</v>
      </c>
      <c r="BC128" s="6">
        <f t="shared" si="115"/>
        <v>0</v>
      </c>
      <c r="BD128" s="6">
        <f t="shared" si="116"/>
        <v>0</v>
      </c>
      <c r="BE128" s="6">
        <v>0</v>
      </c>
      <c r="BF128" s="6">
        <f>128</f>
        <v>128</v>
      </c>
      <c r="BH128" s="6">
        <f t="shared" si="117"/>
        <v>0</v>
      </c>
      <c r="BI128" s="6">
        <f t="shared" si="118"/>
        <v>0</v>
      </c>
      <c r="BJ128" s="6">
        <f t="shared" si="119"/>
        <v>0</v>
      </c>
      <c r="BK128" s="6"/>
      <c r="BL128" s="6">
        <v>96</v>
      </c>
    </row>
    <row r="129" spans="1:64" ht="15" customHeight="1">
      <c r="A129" s="17" t="s">
        <v>70</v>
      </c>
      <c r="B129" s="28" t="s">
        <v>57</v>
      </c>
      <c r="C129" s="52" t="s">
        <v>236</v>
      </c>
      <c r="D129" s="52"/>
      <c r="E129" s="52"/>
      <c r="F129" s="52"/>
      <c r="G129" s="52"/>
      <c r="H129" s="52"/>
      <c r="I129" s="28" t="s">
        <v>449</v>
      </c>
      <c r="J129" s="6">
        <v>21.11</v>
      </c>
      <c r="K129" s="6">
        <v>0</v>
      </c>
      <c r="L129" s="6">
        <f t="shared" si="100"/>
        <v>0</v>
      </c>
      <c r="M129" s="2">
        <v>0.02551</v>
      </c>
      <c r="Z129" s="6">
        <f t="shared" si="101"/>
        <v>0</v>
      </c>
      <c r="AB129" s="6">
        <f t="shared" si="102"/>
        <v>0</v>
      </c>
      <c r="AC129" s="6">
        <f t="shared" si="103"/>
        <v>0</v>
      </c>
      <c r="AD129" s="6">
        <f t="shared" si="104"/>
        <v>0</v>
      </c>
      <c r="AE129" s="6">
        <f t="shared" si="105"/>
        <v>0</v>
      </c>
      <c r="AF129" s="6">
        <f t="shared" si="106"/>
        <v>0</v>
      </c>
      <c r="AG129" s="6">
        <f t="shared" si="107"/>
        <v>0</v>
      </c>
      <c r="AH129" s="6">
        <f t="shared" si="108"/>
        <v>0</v>
      </c>
      <c r="AI129" s="20" t="s">
        <v>318</v>
      </c>
      <c r="AJ129" s="6">
        <f t="shared" si="109"/>
        <v>0</v>
      </c>
      <c r="AK129" s="6">
        <f t="shared" si="110"/>
        <v>0</v>
      </c>
      <c r="AL129" s="6">
        <f t="shared" si="111"/>
        <v>0</v>
      </c>
      <c r="AN129" s="6">
        <v>21</v>
      </c>
      <c r="AO129" s="6">
        <f t="shared" si="120"/>
        <v>0</v>
      </c>
      <c r="AP129" s="6">
        <f t="shared" si="121"/>
        <v>0</v>
      </c>
      <c r="AQ129" s="3" t="s">
        <v>455</v>
      </c>
      <c r="AV129" s="6">
        <f t="shared" si="112"/>
        <v>0</v>
      </c>
      <c r="AW129" s="6">
        <f t="shared" si="113"/>
        <v>0</v>
      </c>
      <c r="AX129" s="6">
        <f t="shared" si="114"/>
        <v>0</v>
      </c>
      <c r="AY129" s="3" t="s">
        <v>414</v>
      </c>
      <c r="AZ129" s="3" t="s">
        <v>167</v>
      </c>
      <c r="BA129" s="20" t="s">
        <v>360</v>
      </c>
      <c r="BC129" s="6">
        <f t="shared" si="115"/>
        <v>0</v>
      </c>
      <c r="BD129" s="6">
        <f t="shared" si="116"/>
        <v>0</v>
      </c>
      <c r="BE129" s="6">
        <v>0</v>
      </c>
      <c r="BF129" s="6">
        <f>129</f>
        <v>129</v>
      </c>
      <c r="BH129" s="6">
        <f t="shared" si="117"/>
        <v>0</v>
      </c>
      <c r="BI129" s="6">
        <f t="shared" si="118"/>
        <v>0</v>
      </c>
      <c r="BJ129" s="6">
        <f t="shared" si="119"/>
        <v>0</v>
      </c>
      <c r="BK129" s="6"/>
      <c r="BL129" s="6">
        <v>96</v>
      </c>
    </row>
    <row r="130" spans="1:64" ht="15" customHeight="1">
      <c r="A130" s="17" t="s">
        <v>503</v>
      </c>
      <c r="B130" s="28" t="s">
        <v>190</v>
      </c>
      <c r="C130" s="52" t="s">
        <v>497</v>
      </c>
      <c r="D130" s="52"/>
      <c r="E130" s="52"/>
      <c r="F130" s="52"/>
      <c r="G130" s="52"/>
      <c r="H130" s="52"/>
      <c r="I130" s="28" t="s">
        <v>394</v>
      </c>
      <c r="J130" s="6">
        <v>4</v>
      </c>
      <c r="K130" s="6">
        <v>0</v>
      </c>
      <c r="L130" s="6">
        <f t="shared" si="100"/>
        <v>0</v>
      </c>
      <c r="M130" s="2">
        <v>0.06338</v>
      </c>
      <c r="Z130" s="6">
        <f t="shared" si="101"/>
        <v>0</v>
      </c>
      <c r="AB130" s="6">
        <f t="shared" si="102"/>
        <v>0</v>
      </c>
      <c r="AC130" s="6">
        <f t="shared" si="103"/>
        <v>0</v>
      </c>
      <c r="AD130" s="6">
        <f t="shared" si="104"/>
        <v>0</v>
      </c>
      <c r="AE130" s="6">
        <f t="shared" si="105"/>
        <v>0</v>
      </c>
      <c r="AF130" s="6">
        <f t="shared" si="106"/>
        <v>0</v>
      </c>
      <c r="AG130" s="6">
        <f t="shared" si="107"/>
        <v>0</v>
      </c>
      <c r="AH130" s="6">
        <f t="shared" si="108"/>
        <v>0</v>
      </c>
      <c r="AI130" s="20" t="s">
        <v>318</v>
      </c>
      <c r="AJ130" s="6">
        <f t="shared" si="109"/>
        <v>0</v>
      </c>
      <c r="AK130" s="6">
        <f t="shared" si="110"/>
        <v>0</v>
      </c>
      <c r="AL130" s="6">
        <f t="shared" si="111"/>
        <v>0</v>
      </c>
      <c r="AN130" s="6">
        <v>21</v>
      </c>
      <c r="AO130" s="6">
        <f>K130*0.149585798816568</f>
        <v>0</v>
      </c>
      <c r="AP130" s="6">
        <f>K130*(1-0.149585798816568)</f>
        <v>0</v>
      </c>
      <c r="AQ130" s="3" t="s">
        <v>455</v>
      </c>
      <c r="AV130" s="6">
        <f t="shared" si="112"/>
        <v>0</v>
      </c>
      <c r="AW130" s="6">
        <f t="shared" si="113"/>
        <v>0</v>
      </c>
      <c r="AX130" s="6">
        <f t="shared" si="114"/>
        <v>0</v>
      </c>
      <c r="AY130" s="3" t="s">
        <v>414</v>
      </c>
      <c r="AZ130" s="3" t="s">
        <v>167</v>
      </c>
      <c r="BA130" s="20" t="s">
        <v>360</v>
      </c>
      <c r="BC130" s="6">
        <f t="shared" si="115"/>
        <v>0</v>
      </c>
      <c r="BD130" s="6">
        <f t="shared" si="116"/>
        <v>0</v>
      </c>
      <c r="BE130" s="6">
        <v>0</v>
      </c>
      <c r="BF130" s="6">
        <f>130</f>
        <v>130</v>
      </c>
      <c r="BH130" s="6">
        <f t="shared" si="117"/>
        <v>0</v>
      </c>
      <c r="BI130" s="6">
        <f t="shared" si="118"/>
        <v>0</v>
      </c>
      <c r="BJ130" s="6">
        <f t="shared" si="119"/>
        <v>0</v>
      </c>
      <c r="BK130" s="6"/>
      <c r="BL130" s="6">
        <v>96</v>
      </c>
    </row>
    <row r="131" spans="1:64" ht="15" customHeight="1">
      <c r="A131" s="17" t="s">
        <v>232</v>
      </c>
      <c r="B131" s="28" t="s">
        <v>106</v>
      </c>
      <c r="C131" s="52" t="s">
        <v>374</v>
      </c>
      <c r="D131" s="52"/>
      <c r="E131" s="52"/>
      <c r="F131" s="52"/>
      <c r="G131" s="52"/>
      <c r="H131" s="52"/>
      <c r="I131" s="28" t="s">
        <v>394</v>
      </c>
      <c r="J131" s="6">
        <v>3</v>
      </c>
      <c r="K131" s="6">
        <v>0</v>
      </c>
      <c r="L131" s="6">
        <f t="shared" si="100"/>
        <v>0</v>
      </c>
      <c r="M131" s="2">
        <v>0.03738</v>
      </c>
      <c r="Z131" s="6">
        <f t="shared" si="101"/>
        <v>0</v>
      </c>
      <c r="AB131" s="6">
        <f t="shared" si="102"/>
        <v>0</v>
      </c>
      <c r="AC131" s="6">
        <f t="shared" si="103"/>
        <v>0</v>
      </c>
      <c r="AD131" s="6">
        <f t="shared" si="104"/>
        <v>0</v>
      </c>
      <c r="AE131" s="6">
        <f t="shared" si="105"/>
        <v>0</v>
      </c>
      <c r="AF131" s="6">
        <f t="shared" si="106"/>
        <v>0</v>
      </c>
      <c r="AG131" s="6">
        <f t="shared" si="107"/>
        <v>0</v>
      </c>
      <c r="AH131" s="6">
        <f t="shared" si="108"/>
        <v>0</v>
      </c>
      <c r="AI131" s="20" t="s">
        <v>318</v>
      </c>
      <c r="AJ131" s="6">
        <f t="shared" si="109"/>
        <v>0</v>
      </c>
      <c r="AK131" s="6">
        <f t="shared" si="110"/>
        <v>0</v>
      </c>
      <c r="AL131" s="6">
        <f t="shared" si="111"/>
        <v>0</v>
      </c>
      <c r="AN131" s="6">
        <v>21</v>
      </c>
      <c r="AO131" s="6">
        <f>K131*0.170824295010846</f>
        <v>0</v>
      </c>
      <c r="AP131" s="6">
        <f>K131*(1-0.170824295010846)</f>
        <v>0</v>
      </c>
      <c r="AQ131" s="3" t="s">
        <v>455</v>
      </c>
      <c r="AV131" s="6">
        <f t="shared" si="112"/>
        <v>0</v>
      </c>
      <c r="AW131" s="6">
        <f t="shared" si="113"/>
        <v>0</v>
      </c>
      <c r="AX131" s="6">
        <f t="shared" si="114"/>
        <v>0</v>
      </c>
      <c r="AY131" s="3" t="s">
        <v>414</v>
      </c>
      <c r="AZ131" s="3" t="s">
        <v>167</v>
      </c>
      <c r="BA131" s="20" t="s">
        <v>360</v>
      </c>
      <c r="BC131" s="6">
        <f t="shared" si="115"/>
        <v>0</v>
      </c>
      <c r="BD131" s="6">
        <f t="shared" si="116"/>
        <v>0</v>
      </c>
      <c r="BE131" s="6">
        <v>0</v>
      </c>
      <c r="BF131" s="6">
        <f>131</f>
        <v>131</v>
      </c>
      <c r="BH131" s="6">
        <f t="shared" si="117"/>
        <v>0</v>
      </c>
      <c r="BI131" s="6">
        <f t="shared" si="118"/>
        <v>0</v>
      </c>
      <c r="BJ131" s="6">
        <f t="shared" si="119"/>
        <v>0</v>
      </c>
      <c r="BK131" s="6"/>
      <c r="BL131" s="6">
        <v>96</v>
      </c>
    </row>
    <row r="132" spans="1:64" ht="15" customHeight="1">
      <c r="A132" s="17" t="s">
        <v>390</v>
      </c>
      <c r="B132" s="28" t="s">
        <v>252</v>
      </c>
      <c r="C132" s="52" t="s">
        <v>452</v>
      </c>
      <c r="D132" s="52"/>
      <c r="E132" s="52"/>
      <c r="F132" s="52"/>
      <c r="G132" s="52"/>
      <c r="H132" s="52"/>
      <c r="I132" s="28" t="s">
        <v>394</v>
      </c>
      <c r="J132" s="6">
        <v>67</v>
      </c>
      <c r="K132" s="6">
        <v>0</v>
      </c>
      <c r="L132" s="6">
        <f t="shared" si="100"/>
        <v>0</v>
      </c>
      <c r="M132" s="2">
        <v>0.01338</v>
      </c>
      <c r="Z132" s="6">
        <f t="shared" si="101"/>
        <v>0</v>
      </c>
      <c r="AB132" s="6">
        <f t="shared" si="102"/>
        <v>0</v>
      </c>
      <c r="AC132" s="6">
        <f t="shared" si="103"/>
        <v>0</v>
      </c>
      <c r="AD132" s="6">
        <f t="shared" si="104"/>
        <v>0</v>
      </c>
      <c r="AE132" s="6">
        <f t="shared" si="105"/>
        <v>0</v>
      </c>
      <c r="AF132" s="6">
        <f t="shared" si="106"/>
        <v>0</v>
      </c>
      <c r="AG132" s="6">
        <f t="shared" si="107"/>
        <v>0</v>
      </c>
      <c r="AH132" s="6">
        <f t="shared" si="108"/>
        <v>0</v>
      </c>
      <c r="AI132" s="20" t="s">
        <v>318</v>
      </c>
      <c r="AJ132" s="6">
        <f t="shared" si="109"/>
        <v>0</v>
      </c>
      <c r="AK132" s="6">
        <f t="shared" si="110"/>
        <v>0</v>
      </c>
      <c r="AL132" s="6">
        <f t="shared" si="111"/>
        <v>0</v>
      </c>
      <c r="AN132" s="6">
        <v>21</v>
      </c>
      <c r="AO132" s="6">
        <f>K132*0.199621212121212</f>
        <v>0</v>
      </c>
      <c r="AP132" s="6">
        <f>K132*(1-0.199621212121212)</f>
        <v>0</v>
      </c>
      <c r="AQ132" s="3" t="s">
        <v>455</v>
      </c>
      <c r="AV132" s="6">
        <f t="shared" si="112"/>
        <v>0</v>
      </c>
      <c r="AW132" s="6">
        <f t="shared" si="113"/>
        <v>0</v>
      </c>
      <c r="AX132" s="6">
        <f t="shared" si="114"/>
        <v>0</v>
      </c>
      <c r="AY132" s="3" t="s">
        <v>414</v>
      </c>
      <c r="AZ132" s="3" t="s">
        <v>167</v>
      </c>
      <c r="BA132" s="20" t="s">
        <v>360</v>
      </c>
      <c r="BC132" s="6">
        <f t="shared" si="115"/>
        <v>0</v>
      </c>
      <c r="BD132" s="6">
        <f t="shared" si="116"/>
        <v>0</v>
      </c>
      <c r="BE132" s="6">
        <v>0</v>
      </c>
      <c r="BF132" s="6">
        <f>132</f>
        <v>132</v>
      </c>
      <c r="BH132" s="6">
        <f t="shared" si="117"/>
        <v>0</v>
      </c>
      <c r="BI132" s="6">
        <f t="shared" si="118"/>
        <v>0</v>
      </c>
      <c r="BJ132" s="6">
        <f t="shared" si="119"/>
        <v>0</v>
      </c>
      <c r="BK132" s="6"/>
      <c r="BL132" s="6">
        <v>96</v>
      </c>
    </row>
    <row r="133" spans="1:64" ht="15" customHeight="1">
      <c r="A133" s="17" t="s">
        <v>220</v>
      </c>
      <c r="B133" s="28" t="s">
        <v>126</v>
      </c>
      <c r="C133" s="52" t="s">
        <v>169</v>
      </c>
      <c r="D133" s="52"/>
      <c r="E133" s="52"/>
      <c r="F133" s="52"/>
      <c r="G133" s="52"/>
      <c r="H133" s="52"/>
      <c r="I133" s="28" t="s">
        <v>394</v>
      </c>
      <c r="J133" s="6">
        <v>5</v>
      </c>
      <c r="K133" s="6">
        <v>0</v>
      </c>
      <c r="L133" s="6">
        <f t="shared" si="100"/>
        <v>0</v>
      </c>
      <c r="M133" s="2">
        <v>0.03759</v>
      </c>
      <c r="Z133" s="6">
        <f t="shared" si="101"/>
        <v>0</v>
      </c>
      <c r="AB133" s="6">
        <f t="shared" si="102"/>
        <v>0</v>
      </c>
      <c r="AC133" s="6">
        <f t="shared" si="103"/>
        <v>0</v>
      </c>
      <c r="AD133" s="6">
        <f t="shared" si="104"/>
        <v>0</v>
      </c>
      <c r="AE133" s="6">
        <f t="shared" si="105"/>
        <v>0</v>
      </c>
      <c r="AF133" s="6">
        <f t="shared" si="106"/>
        <v>0</v>
      </c>
      <c r="AG133" s="6">
        <f t="shared" si="107"/>
        <v>0</v>
      </c>
      <c r="AH133" s="6">
        <f t="shared" si="108"/>
        <v>0</v>
      </c>
      <c r="AI133" s="20" t="s">
        <v>318</v>
      </c>
      <c r="AJ133" s="6">
        <f t="shared" si="109"/>
        <v>0</v>
      </c>
      <c r="AK133" s="6">
        <f t="shared" si="110"/>
        <v>0</v>
      </c>
      <c r="AL133" s="6">
        <f t="shared" si="111"/>
        <v>0</v>
      </c>
      <c r="AN133" s="6">
        <v>21</v>
      </c>
      <c r="AO133" s="6">
        <f>K133*0.0812737642585551</f>
        <v>0</v>
      </c>
      <c r="AP133" s="6">
        <f>K133*(1-0.0812737642585551)</f>
        <v>0</v>
      </c>
      <c r="AQ133" s="3" t="s">
        <v>455</v>
      </c>
      <c r="AV133" s="6">
        <f t="shared" si="112"/>
        <v>0</v>
      </c>
      <c r="AW133" s="6">
        <f t="shared" si="113"/>
        <v>0</v>
      </c>
      <c r="AX133" s="6">
        <f t="shared" si="114"/>
        <v>0</v>
      </c>
      <c r="AY133" s="3" t="s">
        <v>414</v>
      </c>
      <c r="AZ133" s="3" t="s">
        <v>167</v>
      </c>
      <c r="BA133" s="20" t="s">
        <v>360</v>
      </c>
      <c r="BC133" s="6">
        <f t="shared" si="115"/>
        <v>0</v>
      </c>
      <c r="BD133" s="6">
        <f t="shared" si="116"/>
        <v>0</v>
      </c>
      <c r="BE133" s="6">
        <v>0</v>
      </c>
      <c r="BF133" s="6">
        <f>133</f>
        <v>133</v>
      </c>
      <c r="BH133" s="6">
        <f t="shared" si="117"/>
        <v>0</v>
      </c>
      <c r="BI133" s="6">
        <f t="shared" si="118"/>
        <v>0</v>
      </c>
      <c r="BJ133" s="6">
        <f t="shared" si="119"/>
        <v>0</v>
      </c>
      <c r="BK133" s="6"/>
      <c r="BL133" s="6">
        <v>96</v>
      </c>
    </row>
    <row r="134" spans="1:64" ht="15" customHeight="1">
      <c r="A134" s="17" t="s">
        <v>298</v>
      </c>
      <c r="B134" s="28" t="s">
        <v>252</v>
      </c>
      <c r="C134" s="52" t="s">
        <v>483</v>
      </c>
      <c r="D134" s="52"/>
      <c r="E134" s="52"/>
      <c r="F134" s="52"/>
      <c r="G134" s="52"/>
      <c r="H134" s="52"/>
      <c r="I134" s="28" t="s">
        <v>394</v>
      </c>
      <c r="J134" s="6">
        <v>20</v>
      </c>
      <c r="K134" s="6">
        <v>0</v>
      </c>
      <c r="L134" s="6">
        <f t="shared" si="100"/>
        <v>0</v>
      </c>
      <c r="M134" s="2">
        <v>0.01338</v>
      </c>
      <c r="Z134" s="6">
        <f t="shared" si="101"/>
        <v>0</v>
      </c>
      <c r="AB134" s="6">
        <f t="shared" si="102"/>
        <v>0</v>
      </c>
      <c r="AC134" s="6">
        <f t="shared" si="103"/>
        <v>0</v>
      </c>
      <c r="AD134" s="6">
        <f t="shared" si="104"/>
        <v>0</v>
      </c>
      <c r="AE134" s="6">
        <f t="shared" si="105"/>
        <v>0</v>
      </c>
      <c r="AF134" s="6">
        <f t="shared" si="106"/>
        <v>0</v>
      </c>
      <c r="AG134" s="6">
        <f t="shared" si="107"/>
        <v>0</v>
      </c>
      <c r="AH134" s="6">
        <f t="shared" si="108"/>
        <v>0</v>
      </c>
      <c r="AI134" s="20" t="s">
        <v>318</v>
      </c>
      <c r="AJ134" s="6">
        <f t="shared" si="109"/>
        <v>0</v>
      </c>
      <c r="AK134" s="6">
        <f t="shared" si="110"/>
        <v>0</v>
      </c>
      <c r="AL134" s="6">
        <f t="shared" si="111"/>
        <v>0</v>
      </c>
      <c r="AN134" s="6">
        <v>21</v>
      </c>
      <c r="AO134" s="6">
        <f>K134*0.199644128113879</f>
        <v>0</v>
      </c>
      <c r="AP134" s="6">
        <f>K134*(1-0.199644128113879)</f>
        <v>0</v>
      </c>
      <c r="AQ134" s="3" t="s">
        <v>455</v>
      </c>
      <c r="AV134" s="6">
        <f t="shared" si="112"/>
        <v>0</v>
      </c>
      <c r="AW134" s="6">
        <f t="shared" si="113"/>
        <v>0</v>
      </c>
      <c r="AX134" s="6">
        <f t="shared" si="114"/>
        <v>0</v>
      </c>
      <c r="AY134" s="3" t="s">
        <v>414</v>
      </c>
      <c r="AZ134" s="3" t="s">
        <v>167</v>
      </c>
      <c r="BA134" s="20" t="s">
        <v>360</v>
      </c>
      <c r="BC134" s="6">
        <f t="shared" si="115"/>
        <v>0</v>
      </c>
      <c r="BD134" s="6">
        <f t="shared" si="116"/>
        <v>0</v>
      </c>
      <c r="BE134" s="6">
        <v>0</v>
      </c>
      <c r="BF134" s="6">
        <f>134</f>
        <v>134</v>
      </c>
      <c r="BH134" s="6">
        <f t="shared" si="117"/>
        <v>0</v>
      </c>
      <c r="BI134" s="6">
        <f t="shared" si="118"/>
        <v>0</v>
      </c>
      <c r="BJ134" s="6">
        <f t="shared" si="119"/>
        <v>0</v>
      </c>
      <c r="BK134" s="6"/>
      <c r="BL134" s="6">
        <v>96</v>
      </c>
    </row>
    <row r="135" spans="1:64" ht="15" customHeight="1">
      <c r="A135" s="17" t="s">
        <v>498</v>
      </c>
      <c r="B135" s="28" t="s">
        <v>186</v>
      </c>
      <c r="C135" s="52" t="s">
        <v>510</v>
      </c>
      <c r="D135" s="52"/>
      <c r="E135" s="52"/>
      <c r="F135" s="52"/>
      <c r="G135" s="52"/>
      <c r="H135" s="52"/>
      <c r="I135" s="28" t="s">
        <v>449</v>
      </c>
      <c r="J135" s="6">
        <v>71.57</v>
      </c>
      <c r="K135" s="6">
        <v>0</v>
      </c>
      <c r="L135" s="6">
        <f t="shared" si="100"/>
        <v>0</v>
      </c>
      <c r="M135" s="2">
        <v>0.068</v>
      </c>
      <c r="Z135" s="6">
        <f t="shared" si="101"/>
        <v>0</v>
      </c>
      <c r="AB135" s="6">
        <f t="shared" si="102"/>
        <v>0</v>
      </c>
      <c r="AC135" s="6">
        <f t="shared" si="103"/>
        <v>0</v>
      </c>
      <c r="AD135" s="6">
        <f t="shared" si="104"/>
        <v>0</v>
      </c>
      <c r="AE135" s="6">
        <f t="shared" si="105"/>
        <v>0</v>
      </c>
      <c r="AF135" s="6">
        <f t="shared" si="106"/>
        <v>0</v>
      </c>
      <c r="AG135" s="6">
        <f t="shared" si="107"/>
        <v>0</v>
      </c>
      <c r="AH135" s="6">
        <f t="shared" si="108"/>
        <v>0</v>
      </c>
      <c r="AI135" s="20" t="s">
        <v>318</v>
      </c>
      <c r="AJ135" s="6">
        <f t="shared" si="109"/>
        <v>0</v>
      </c>
      <c r="AK135" s="6">
        <f t="shared" si="110"/>
        <v>0</v>
      </c>
      <c r="AL135" s="6">
        <f t="shared" si="111"/>
        <v>0</v>
      </c>
      <c r="AN135" s="6">
        <v>21</v>
      </c>
      <c r="AO135" s="6">
        <f>K135*0</f>
        <v>0</v>
      </c>
      <c r="AP135" s="6">
        <f>K135*(1-0)</f>
        <v>0</v>
      </c>
      <c r="AQ135" s="3" t="s">
        <v>455</v>
      </c>
      <c r="AV135" s="6">
        <f t="shared" si="112"/>
        <v>0</v>
      </c>
      <c r="AW135" s="6">
        <f t="shared" si="113"/>
        <v>0</v>
      </c>
      <c r="AX135" s="6">
        <f t="shared" si="114"/>
        <v>0</v>
      </c>
      <c r="AY135" s="3" t="s">
        <v>414</v>
      </c>
      <c r="AZ135" s="3" t="s">
        <v>167</v>
      </c>
      <c r="BA135" s="20" t="s">
        <v>360</v>
      </c>
      <c r="BC135" s="6">
        <f t="shared" si="115"/>
        <v>0</v>
      </c>
      <c r="BD135" s="6">
        <f t="shared" si="116"/>
        <v>0</v>
      </c>
      <c r="BE135" s="6">
        <v>0</v>
      </c>
      <c r="BF135" s="6">
        <f>135</f>
        <v>135</v>
      </c>
      <c r="BH135" s="6">
        <f t="shared" si="117"/>
        <v>0</v>
      </c>
      <c r="BI135" s="6">
        <f t="shared" si="118"/>
        <v>0</v>
      </c>
      <c r="BJ135" s="6">
        <f t="shared" si="119"/>
        <v>0</v>
      </c>
      <c r="BK135" s="6"/>
      <c r="BL135" s="6">
        <v>96</v>
      </c>
    </row>
    <row r="136" spans="1:64" ht="15" customHeight="1">
      <c r="A136" s="17" t="s">
        <v>325</v>
      </c>
      <c r="B136" s="28" t="s">
        <v>371</v>
      </c>
      <c r="C136" s="52" t="s">
        <v>37</v>
      </c>
      <c r="D136" s="52"/>
      <c r="E136" s="52"/>
      <c r="F136" s="52"/>
      <c r="G136" s="52"/>
      <c r="H136" s="52"/>
      <c r="I136" s="28" t="s">
        <v>449</v>
      </c>
      <c r="J136" s="6">
        <v>71.57</v>
      </c>
      <c r="K136" s="6">
        <v>0</v>
      </c>
      <c r="L136" s="6">
        <f t="shared" si="100"/>
        <v>0</v>
      </c>
      <c r="M136" s="2">
        <v>0.046</v>
      </c>
      <c r="Z136" s="6">
        <f t="shared" si="101"/>
        <v>0</v>
      </c>
      <c r="AB136" s="6">
        <f t="shared" si="102"/>
        <v>0</v>
      </c>
      <c r="AC136" s="6">
        <f t="shared" si="103"/>
        <v>0</v>
      </c>
      <c r="AD136" s="6">
        <f t="shared" si="104"/>
        <v>0</v>
      </c>
      <c r="AE136" s="6">
        <f t="shared" si="105"/>
        <v>0</v>
      </c>
      <c r="AF136" s="6">
        <f t="shared" si="106"/>
        <v>0</v>
      </c>
      <c r="AG136" s="6">
        <f t="shared" si="107"/>
        <v>0</v>
      </c>
      <c r="AH136" s="6">
        <f t="shared" si="108"/>
        <v>0</v>
      </c>
      <c r="AI136" s="20" t="s">
        <v>318</v>
      </c>
      <c r="AJ136" s="6">
        <f t="shared" si="109"/>
        <v>0</v>
      </c>
      <c r="AK136" s="6">
        <f t="shared" si="110"/>
        <v>0</v>
      </c>
      <c r="AL136" s="6">
        <f t="shared" si="111"/>
        <v>0</v>
      </c>
      <c r="AN136" s="6">
        <v>21</v>
      </c>
      <c r="AO136" s="6">
        <f>K136*0</f>
        <v>0</v>
      </c>
      <c r="AP136" s="6">
        <f>K136*(1-0)</f>
        <v>0</v>
      </c>
      <c r="AQ136" s="3" t="s">
        <v>455</v>
      </c>
      <c r="AV136" s="6">
        <f t="shared" si="112"/>
        <v>0</v>
      </c>
      <c r="AW136" s="6">
        <f t="shared" si="113"/>
        <v>0</v>
      </c>
      <c r="AX136" s="6">
        <f t="shared" si="114"/>
        <v>0</v>
      </c>
      <c r="AY136" s="3" t="s">
        <v>414</v>
      </c>
      <c r="AZ136" s="3" t="s">
        <v>167</v>
      </c>
      <c r="BA136" s="20" t="s">
        <v>360</v>
      </c>
      <c r="BC136" s="6">
        <f t="shared" si="115"/>
        <v>0</v>
      </c>
      <c r="BD136" s="6">
        <f t="shared" si="116"/>
        <v>0</v>
      </c>
      <c r="BE136" s="6">
        <v>0</v>
      </c>
      <c r="BF136" s="6">
        <f>136</f>
        <v>136</v>
      </c>
      <c r="BH136" s="6">
        <f t="shared" si="117"/>
        <v>0</v>
      </c>
      <c r="BI136" s="6">
        <f t="shared" si="118"/>
        <v>0</v>
      </c>
      <c r="BJ136" s="6">
        <f t="shared" si="119"/>
        <v>0</v>
      </c>
      <c r="BK136" s="6"/>
      <c r="BL136" s="6">
        <v>96</v>
      </c>
    </row>
    <row r="137" spans="1:47" ht="15" customHeight="1">
      <c r="A137" s="31" t="s">
        <v>318</v>
      </c>
      <c r="B137" s="12" t="s">
        <v>304</v>
      </c>
      <c r="C137" s="97" t="s">
        <v>286</v>
      </c>
      <c r="D137" s="97"/>
      <c r="E137" s="97"/>
      <c r="F137" s="97"/>
      <c r="G137" s="97"/>
      <c r="H137" s="97"/>
      <c r="I137" s="29" t="s">
        <v>434</v>
      </c>
      <c r="J137" s="29" t="s">
        <v>434</v>
      </c>
      <c r="K137" s="29" t="s">
        <v>434</v>
      </c>
      <c r="L137" s="10">
        <f>SUM(L138:L138)</f>
        <v>0</v>
      </c>
      <c r="M137" s="19" t="s">
        <v>318</v>
      </c>
      <c r="AI137" s="20" t="s">
        <v>318</v>
      </c>
      <c r="AS137" s="10">
        <f>SUM(AJ138:AJ138)</f>
        <v>0</v>
      </c>
      <c r="AT137" s="10">
        <f>SUM(AK138:AK138)</f>
        <v>0</v>
      </c>
      <c r="AU137" s="10">
        <f>SUM(AL138:AL138)</f>
        <v>0</v>
      </c>
    </row>
    <row r="138" spans="1:64" ht="15" customHeight="1">
      <c r="A138" s="17" t="s">
        <v>502</v>
      </c>
      <c r="B138" s="28" t="s">
        <v>125</v>
      </c>
      <c r="C138" s="52" t="s">
        <v>87</v>
      </c>
      <c r="D138" s="52"/>
      <c r="E138" s="52"/>
      <c r="F138" s="52"/>
      <c r="G138" s="52"/>
      <c r="H138" s="52"/>
      <c r="I138" s="28" t="s">
        <v>221</v>
      </c>
      <c r="J138" s="6">
        <v>2.8</v>
      </c>
      <c r="K138" s="6">
        <v>0</v>
      </c>
      <c r="L138" s="6">
        <f>J138*K138</f>
        <v>0</v>
      </c>
      <c r="M138" s="2">
        <v>0</v>
      </c>
      <c r="Z138" s="6">
        <f>IF(AQ138="5",BJ138,0)</f>
        <v>0</v>
      </c>
      <c r="AB138" s="6">
        <f>IF(AQ138="1",BH138,0)</f>
        <v>0</v>
      </c>
      <c r="AC138" s="6">
        <f>IF(AQ138="1",BI138,0)</f>
        <v>0</v>
      </c>
      <c r="AD138" s="6">
        <f>IF(AQ138="7",BH138,0)</f>
        <v>0</v>
      </c>
      <c r="AE138" s="6">
        <f>IF(AQ138="7",BI138,0)</f>
        <v>0</v>
      </c>
      <c r="AF138" s="6">
        <f>IF(AQ138="2",BH138,0)</f>
        <v>0</v>
      </c>
      <c r="AG138" s="6">
        <f>IF(AQ138="2",BI138,0)</f>
        <v>0</v>
      </c>
      <c r="AH138" s="6">
        <f>IF(AQ138="0",BJ138,0)</f>
        <v>0</v>
      </c>
      <c r="AI138" s="20" t="s">
        <v>318</v>
      </c>
      <c r="AJ138" s="6">
        <f>IF(AN138=0,L138,0)</f>
        <v>0</v>
      </c>
      <c r="AK138" s="6">
        <f>IF(AN138=15,L138,0)</f>
        <v>0</v>
      </c>
      <c r="AL138" s="6">
        <f>IF(AN138=21,L138,0)</f>
        <v>0</v>
      </c>
      <c r="AN138" s="6">
        <v>21</v>
      </c>
      <c r="AO138" s="6">
        <f>K138*0</f>
        <v>0</v>
      </c>
      <c r="AP138" s="6">
        <f>K138*(1-0)</f>
        <v>0</v>
      </c>
      <c r="AQ138" s="3" t="s">
        <v>254</v>
      </c>
      <c r="AV138" s="6">
        <f>AW138+AX138</f>
        <v>0</v>
      </c>
      <c r="AW138" s="6">
        <f>J138*AO138</f>
        <v>0</v>
      </c>
      <c r="AX138" s="6">
        <f>J138*AP138</f>
        <v>0</v>
      </c>
      <c r="AY138" s="3" t="s">
        <v>464</v>
      </c>
      <c r="AZ138" s="3" t="s">
        <v>167</v>
      </c>
      <c r="BA138" s="20" t="s">
        <v>360</v>
      </c>
      <c r="BC138" s="6">
        <f>AW138+AX138</f>
        <v>0</v>
      </c>
      <c r="BD138" s="6">
        <f>K138/(100-BE138)*100</f>
        <v>0</v>
      </c>
      <c r="BE138" s="6">
        <v>0</v>
      </c>
      <c r="BF138" s="6">
        <f>138</f>
        <v>138</v>
      </c>
      <c r="BH138" s="6">
        <f>J138*AO138</f>
        <v>0</v>
      </c>
      <c r="BI138" s="6">
        <f>J138*AP138</f>
        <v>0</v>
      </c>
      <c r="BJ138" s="6">
        <f>J138*K138</f>
        <v>0</v>
      </c>
      <c r="BK138" s="6"/>
      <c r="BL138" s="6"/>
    </row>
    <row r="139" spans="1:47" ht="15" customHeight="1">
      <c r="A139" s="31" t="s">
        <v>318</v>
      </c>
      <c r="B139" s="12" t="s">
        <v>75</v>
      </c>
      <c r="C139" s="97" t="s">
        <v>359</v>
      </c>
      <c r="D139" s="97"/>
      <c r="E139" s="97"/>
      <c r="F139" s="97"/>
      <c r="G139" s="97"/>
      <c r="H139" s="97"/>
      <c r="I139" s="29" t="s">
        <v>434</v>
      </c>
      <c r="J139" s="29" t="s">
        <v>434</v>
      </c>
      <c r="K139" s="29" t="s">
        <v>434</v>
      </c>
      <c r="L139" s="10">
        <f>SUM(L140:L142)</f>
        <v>0</v>
      </c>
      <c r="M139" s="19" t="s">
        <v>318</v>
      </c>
      <c r="AI139" s="20" t="s">
        <v>318</v>
      </c>
      <c r="AS139" s="10">
        <f>SUM(AJ140:AJ142)</f>
        <v>0</v>
      </c>
      <c r="AT139" s="10">
        <f>SUM(AK140:AK142)</f>
        <v>0</v>
      </c>
      <c r="AU139" s="10">
        <f>SUM(AL140:AL142)</f>
        <v>0</v>
      </c>
    </row>
    <row r="140" spans="1:64" ht="15" customHeight="1">
      <c r="A140" s="17" t="s">
        <v>470</v>
      </c>
      <c r="B140" s="28" t="s">
        <v>71</v>
      </c>
      <c r="C140" s="52" t="s">
        <v>484</v>
      </c>
      <c r="D140" s="52"/>
      <c r="E140" s="52"/>
      <c r="F140" s="52"/>
      <c r="G140" s="52"/>
      <c r="H140" s="52"/>
      <c r="I140" s="28" t="s">
        <v>361</v>
      </c>
      <c r="J140" s="6">
        <v>1</v>
      </c>
      <c r="K140" s="6">
        <v>0</v>
      </c>
      <c r="L140" s="6">
        <f>J140*K140</f>
        <v>0</v>
      </c>
      <c r="M140" s="2">
        <v>0</v>
      </c>
      <c r="Z140" s="6">
        <f>IF(AQ140="5",BJ140,0)</f>
        <v>0</v>
      </c>
      <c r="AB140" s="6">
        <f>IF(AQ140="1",BH140,0)</f>
        <v>0</v>
      </c>
      <c r="AC140" s="6">
        <f>IF(AQ140="1",BI140,0)</f>
        <v>0</v>
      </c>
      <c r="AD140" s="6">
        <f>IF(AQ140="7",BH140,0)</f>
        <v>0</v>
      </c>
      <c r="AE140" s="6">
        <f>IF(AQ140="7",BI140,0)</f>
        <v>0</v>
      </c>
      <c r="AF140" s="6">
        <f>IF(AQ140="2",BH140,0)</f>
        <v>0</v>
      </c>
      <c r="AG140" s="6">
        <f>IF(AQ140="2",BI140,0)</f>
        <v>0</v>
      </c>
      <c r="AH140" s="6">
        <f>IF(AQ140="0",BJ140,0)</f>
        <v>0</v>
      </c>
      <c r="AI140" s="20" t="s">
        <v>318</v>
      </c>
      <c r="AJ140" s="6">
        <f>IF(AN140=0,L140,0)</f>
        <v>0</v>
      </c>
      <c r="AK140" s="6">
        <f>IF(AN140=15,L140,0)</f>
        <v>0</v>
      </c>
      <c r="AL140" s="6">
        <f>IF(AN140=21,L140,0)</f>
        <v>0</v>
      </c>
      <c r="AN140" s="6">
        <v>21</v>
      </c>
      <c r="AO140" s="6">
        <f>K140*0</f>
        <v>0</v>
      </c>
      <c r="AP140" s="6">
        <f>K140*(1-0)</f>
        <v>0</v>
      </c>
      <c r="AQ140" s="3" t="s">
        <v>315</v>
      </c>
      <c r="AV140" s="6">
        <f>AW140+AX140</f>
        <v>0</v>
      </c>
      <c r="AW140" s="6">
        <f>J140*AO140</f>
        <v>0</v>
      </c>
      <c r="AX140" s="6">
        <f>J140*AP140</f>
        <v>0</v>
      </c>
      <c r="AY140" s="3" t="s">
        <v>477</v>
      </c>
      <c r="AZ140" s="3" t="s">
        <v>167</v>
      </c>
      <c r="BA140" s="20" t="s">
        <v>360</v>
      </c>
      <c r="BC140" s="6">
        <f>AW140+AX140</f>
        <v>0</v>
      </c>
      <c r="BD140" s="6">
        <f>K140/(100-BE140)*100</f>
        <v>0</v>
      </c>
      <c r="BE140" s="6">
        <v>0</v>
      </c>
      <c r="BF140" s="6">
        <f>140</f>
        <v>140</v>
      </c>
      <c r="BH140" s="6">
        <f>J140*AO140</f>
        <v>0</v>
      </c>
      <c r="BI140" s="6">
        <f>J140*AP140</f>
        <v>0</v>
      </c>
      <c r="BJ140" s="6">
        <f>J140*K140</f>
        <v>0</v>
      </c>
      <c r="BK140" s="6"/>
      <c r="BL140" s="6"/>
    </row>
    <row r="141" spans="1:64" ht="15" customHeight="1">
      <c r="A141" s="17" t="s">
        <v>441</v>
      </c>
      <c r="B141" s="28" t="s">
        <v>181</v>
      </c>
      <c r="C141" s="52" t="s">
        <v>258</v>
      </c>
      <c r="D141" s="52"/>
      <c r="E141" s="52"/>
      <c r="F141" s="52"/>
      <c r="G141" s="52"/>
      <c r="H141" s="52"/>
      <c r="I141" s="28" t="s">
        <v>266</v>
      </c>
      <c r="J141" s="6">
        <v>1</v>
      </c>
      <c r="K141" s="6">
        <v>0</v>
      </c>
      <c r="L141" s="6">
        <f>J141*K141</f>
        <v>0</v>
      </c>
      <c r="M141" s="2">
        <v>0</v>
      </c>
      <c r="Z141" s="6">
        <f>IF(AQ141="5",BJ141,0)</f>
        <v>0</v>
      </c>
      <c r="AB141" s="6">
        <f>IF(AQ141="1",BH141,0)</f>
        <v>0</v>
      </c>
      <c r="AC141" s="6">
        <f>IF(AQ141="1",BI141,0)</f>
        <v>0</v>
      </c>
      <c r="AD141" s="6">
        <f>IF(AQ141="7",BH141,0)</f>
        <v>0</v>
      </c>
      <c r="AE141" s="6">
        <f>IF(AQ141="7",BI141,0)</f>
        <v>0</v>
      </c>
      <c r="AF141" s="6">
        <f>IF(AQ141="2",BH141,0)</f>
        <v>0</v>
      </c>
      <c r="AG141" s="6">
        <f>IF(AQ141="2",BI141,0)</f>
        <v>0</v>
      </c>
      <c r="AH141" s="6">
        <f>IF(AQ141="0",BJ141,0)</f>
        <v>0</v>
      </c>
      <c r="AI141" s="20" t="s">
        <v>318</v>
      </c>
      <c r="AJ141" s="6">
        <f>IF(AN141=0,L141,0)</f>
        <v>0</v>
      </c>
      <c r="AK141" s="6">
        <f>IF(AN141=15,L141,0)</f>
        <v>0</v>
      </c>
      <c r="AL141" s="6">
        <f>IF(AN141=21,L141,0)</f>
        <v>0</v>
      </c>
      <c r="AN141" s="6">
        <v>21</v>
      </c>
      <c r="AO141" s="6">
        <f>K141*0</f>
        <v>0</v>
      </c>
      <c r="AP141" s="6">
        <f>K141*(1-0)</f>
        <v>0</v>
      </c>
      <c r="AQ141" s="3" t="s">
        <v>315</v>
      </c>
      <c r="AV141" s="6">
        <f>AW141+AX141</f>
        <v>0</v>
      </c>
      <c r="AW141" s="6">
        <f>J141*AO141</f>
        <v>0</v>
      </c>
      <c r="AX141" s="6">
        <f>J141*AP141</f>
        <v>0</v>
      </c>
      <c r="AY141" s="3" t="s">
        <v>477</v>
      </c>
      <c r="AZ141" s="3" t="s">
        <v>167</v>
      </c>
      <c r="BA141" s="20" t="s">
        <v>360</v>
      </c>
      <c r="BC141" s="6">
        <f>AW141+AX141</f>
        <v>0</v>
      </c>
      <c r="BD141" s="6">
        <f>K141/(100-BE141)*100</f>
        <v>0</v>
      </c>
      <c r="BE141" s="6">
        <v>0</v>
      </c>
      <c r="BF141" s="6">
        <f>141</f>
        <v>141</v>
      </c>
      <c r="BH141" s="6">
        <f>J141*AO141</f>
        <v>0</v>
      </c>
      <c r="BI141" s="6">
        <f>J141*AP141</f>
        <v>0</v>
      </c>
      <c r="BJ141" s="6">
        <f>J141*K141</f>
        <v>0</v>
      </c>
      <c r="BK141" s="6"/>
      <c r="BL141" s="6"/>
    </row>
    <row r="142" spans="1:64" ht="15" customHeight="1">
      <c r="A142" s="17" t="s">
        <v>248</v>
      </c>
      <c r="B142" s="28" t="s">
        <v>237</v>
      </c>
      <c r="C142" s="52" t="s">
        <v>410</v>
      </c>
      <c r="D142" s="52"/>
      <c r="E142" s="52"/>
      <c r="F142" s="52"/>
      <c r="G142" s="52"/>
      <c r="H142" s="52"/>
      <c r="I142" s="28" t="s">
        <v>117</v>
      </c>
      <c r="J142" s="6">
        <v>1</v>
      </c>
      <c r="K142" s="6">
        <v>0</v>
      </c>
      <c r="L142" s="6">
        <f>J142*K142</f>
        <v>0</v>
      </c>
      <c r="M142" s="2">
        <v>0</v>
      </c>
      <c r="Z142" s="6">
        <f>IF(AQ142="5",BJ142,0)</f>
        <v>0</v>
      </c>
      <c r="AB142" s="6">
        <f>IF(AQ142="1",BH142,0)</f>
        <v>0</v>
      </c>
      <c r="AC142" s="6">
        <f>IF(AQ142="1",BI142,0)</f>
        <v>0</v>
      </c>
      <c r="AD142" s="6">
        <f>IF(AQ142="7",BH142,0)</f>
        <v>0</v>
      </c>
      <c r="AE142" s="6">
        <f>IF(AQ142="7",BI142,0)</f>
        <v>0</v>
      </c>
      <c r="AF142" s="6">
        <f>IF(AQ142="2",BH142,0)</f>
        <v>0</v>
      </c>
      <c r="AG142" s="6">
        <f>IF(AQ142="2",BI142,0)</f>
        <v>0</v>
      </c>
      <c r="AH142" s="6">
        <f>IF(AQ142="0",BJ142,0)</f>
        <v>0</v>
      </c>
      <c r="AI142" s="20" t="s">
        <v>318</v>
      </c>
      <c r="AJ142" s="6">
        <f>IF(AN142=0,L142,0)</f>
        <v>0</v>
      </c>
      <c r="AK142" s="6">
        <f>IF(AN142=15,L142,0)</f>
        <v>0</v>
      </c>
      <c r="AL142" s="6">
        <f>IF(AN142=21,L142,0)</f>
        <v>0</v>
      </c>
      <c r="AN142" s="6">
        <v>21</v>
      </c>
      <c r="AO142" s="6">
        <f>K142*0</f>
        <v>0</v>
      </c>
      <c r="AP142" s="6">
        <f>K142*(1-0)</f>
        <v>0</v>
      </c>
      <c r="AQ142" s="3" t="s">
        <v>315</v>
      </c>
      <c r="AV142" s="6">
        <f>AW142+AX142</f>
        <v>0</v>
      </c>
      <c r="AW142" s="6">
        <f>J142*AO142</f>
        <v>0</v>
      </c>
      <c r="AX142" s="6">
        <f>J142*AP142</f>
        <v>0</v>
      </c>
      <c r="AY142" s="3" t="s">
        <v>477</v>
      </c>
      <c r="AZ142" s="3" t="s">
        <v>167</v>
      </c>
      <c r="BA142" s="20" t="s">
        <v>360</v>
      </c>
      <c r="BC142" s="6">
        <f>AW142+AX142</f>
        <v>0</v>
      </c>
      <c r="BD142" s="6">
        <f>K142/(100-BE142)*100</f>
        <v>0</v>
      </c>
      <c r="BE142" s="6">
        <v>0</v>
      </c>
      <c r="BF142" s="6">
        <f>142</f>
        <v>142</v>
      </c>
      <c r="BH142" s="6">
        <f>J142*AO142</f>
        <v>0</v>
      </c>
      <c r="BI142" s="6">
        <f>J142*AP142</f>
        <v>0</v>
      </c>
      <c r="BJ142" s="6">
        <f>J142*K142</f>
        <v>0</v>
      </c>
      <c r="BK142" s="6"/>
      <c r="BL142" s="6"/>
    </row>
    <row r="143" spans="1:47" ht="15" customHeight="1">
      <c r="A143" s="31" t="s">
        <v>318</v>
      </c>
      <c r="B143" s="12" t="s">
        <v>151</v>
      </c>
      <c r="C143" s="97" t="s">
        <v>200</v>
      </c>
      <c r="D143" s="97"/>
      <c r="E143" s="97"/>
      <c r="F143" s="97"/>
      <c r="G143" s="97"/>
      <c r="H143" s="97"/>
      <c r="I143" s="29" t="s">
        <v>434</v>
      </c>
      <c r="J143" s="29" t="s">
        <v>434</v>
      </c>
      <c r="K143" s="29" t="s">
        <v>434</v>
      </c>
      <c r="L143" s="10">
        <f>SUM(L144:L148)</f>
        <v>0</v>
      </c>
      <c r="M143" s="19" t="s">
        <v>318</v>
      </c>
      <c r="AI143" s="20" t="s">
        <v>318</v>
      </c>
      <c r="AS143" s="10">
        <f>SUM(AJ144:AJ148)</f>
        <v>0</v>
      </c>
      <c r="AT143" s="10">
        <f>SUM(AK144:AK148)</f>
        <v>0</v>
      </c>
      <c r="AU143" s="10">
        <f>SUM(AL144:AL148)</f>
        <v>0</v>
      </c>
    </row>
    <row r="144" spans="1:64" ht="15" customHeight="1">
      <c r="A144" s="17" t="s">
        <v>223</v>
      </c>
      <c r="B144" s="28" t="s">
        <v>241</v>
      </c>
      <c r="C144" s="52" t="s">
        <v>319</v>
      </c>
      <c r="D144" s="52"/>
      <c r="E144" s="52"/>
      <c r="F144" s="52"/>
      <c r="G144" s="52"/>
      <c r="H144" s="52"/>
      <c r="I144" s="28" t="s">
        <v>221</v>
      </c>
      <c r="J144" s="6">
        <v>4.64</v>
      </c>
      <c r="K144" s="6">
        <v>0</v>
      </c>
      <c r="L144" s="6">
        <f>J144*K144</f>
        <v>0</v>
      </c>
      <c r="M144" s="2">
        <v>0</v>
      </c>
      <c r="Z144" s="6">
        <f>IF(AQ144="5",BJ144,0)</f>
        <v>0</v>
      </c>
      <c r="AB144" s="6">
        <f>IF(AQ144="1",BH144,0)</f>
        <v>0</v>
      </c>
      <c r="AC144" s="6">
        <f>IF(AQ144="1",BI144,0)</f>
        <v>0</v>
      </c>
      <c r="AD144" s="6">
        <f>IF(AQ144="7",BH144,0)</f>
        <v>0</v>
      </c>
      <c r="AE144" s="6">
        <f>IF(AQ144="7",BI144,0)</f>
        <v>0</v>
      </c>
      <c r="AF144" s="6">
        <f>IF(AQ144="2",BH144,0)</f>
        <v>0</v>
      </c>
      <c r="AG144" s="6">
        <f>IF(AQ144="2",BI144,0)</f>
        <v>0</v>
      </c>
      <c r="AH144" s="6">
        <f>IF(AQ144="0",BJ144,0)</f>
        <v>0</v>
      </c>
      <c r="AI144" s="20" t="s">
        <v>318</v>
      </c>
      <c r="AJ144" s="6">
        <f>IF(AN144=0,L144,0)</f>
        <v>0</v>
      </c>
      <c r="AK144" s="6">
        <f>IF(AN144=15,L144,0)</f>
        <v>0</v>
      </c>
      <c r="AL144" s="6">
        <f>IF(AN144=21,L144,0)</f>
        <v>0</v>
      </c>
      <c r="AN144" s="6">
        <v>21</v>
      </c>
      <c r="AO144" s="6">
        <f>K144*0</f>
        <v>0</v>
      </c>
      <c r="AP144" s="6">
        <f>K144*(1-0)</f>
        <v>0</v>
      </c>
      <c r="AQ144" s="3" t="s">
        <v>254</v>
      </c>
      <c r="AV144" s="6">
        <f>AW144+AX144</f>
        <v>0</v>
      </c>
      <c r="AW144" s="6">
        <f>J144*AO144</f>
        <v>0</v>
      </c>
      <c r="AX144" s="6">
        <f>J144*AP144</f>
        <v>0</v>
      </c>
      <c r="AY144" s="3" t="s">
        <v>193</v>
      </c>
      <c r="AZ144" s="3" t="s">
        <v>167</v>
      </c>
      <c r="BA144" s="20" t="s">
        <v>360</v>
      </c>
      <c r="BC144" s="6">
        <f>AW144+AX144</f>
        <v>0</v>
      </c>
      <c r="BD144" s="6">
        <f>K144/(100-BE144)*100</f>
        <v>0</v>
      </c>
      <c r="BE144" s="6">
        <v>0</v>
      </c>
      <c r="BF144" s="6">
        <f>144</f>
        <v>144</v>
      </c>
      <c r="BH144" s="6">
        <f>J144*AO144</f>
        <v>0</v>
      </c>
      <c r="BI144" s="6">
        <f>J144*AP144</f>
        <v>0</v>
      </c>
      <c r="BJ144" s="6">
        <f>J144*K144</f>
        <v>0</v>
      </c>
      <c r="BK144" s="6"/>
      <c r="BL144" s="6"/>
    </row>
    <row r="145" spans="1:64" ht="15" customHeight="1">
      <c r="A145" s="17" t="s">
        <v>198</v>
      </c>
      <c r="B145" s="28" t="s">
        <v>465</v>
      </c>
      <c r="C145" s="52" t="s">
        <v>123</v>
      </c>
      <c r="D145" s="52"/>
      <c r="E145" s="52"/>
      <c r="F145" s="52"/>
      <c r="G145" s="52"/>
      <c r="H145" s="52"/>
      <c r="I145" s="28" t="s">
        <v>221</v>
      </c>
      <c r="J145" s="6">
        <v>21.28</v>
      </c>
      <c r="K145" s="6">
        <v>0</v>
      </c>
      <c r="L145" s="6">
        <f>J145*K145</f>
        <v>0</v>
      </c>
      <c r="M145" s="2">
        <v>0</v>
      </c>
      <c r="Z145" s="6">
        <f>IF(AQ145="5",BJ145,0)</f>
        <v>0</v>
      </c>
      <c r="AB145" s="6">
        <f>IF(AQ145="1",BH145,0)</f>
        <v>0</v>
      </c>
      <c r="AC145" s="6">
        <f>IF(AQ145="1",BI145,0)</f>
        <v>0</v>
      </c>
      <c r="AD145" s="6">
        <f>IF(AQ145="7",BH145,0)</f>
        <v>0</v>
      </c>
      <c r="AE145" s="6">
        <f>IF(AQ145="7",BI145,0)</f>
        <v>0</v>
      </c>
      <c r="AF145" s="6">
        <f>IF(AQ145="2",BH145,0)</f>
        <v>0</v>
      </c>
      <c r="AG145" s="6">
        <f>IF(AQ145="2",BI145,0)</f>
        <v>0</v>
      </c>
      <c r="AH145" s="6">
        <f>IF(AQ145="0",BJ145,0)</f>
        <v>0</v>
      </c>
      <c r="AI145" s="20" t="s">
        <v>318</v>
      </c>
      <c r="AJ145" s="6">
        <f>IF(AN145=0,L145,0)</f>
        <v>0</v>
      </c>
      <c r="AK145" s="6">
        <f>IF(AN145=15,L145,0)</f>
        <v>0</v>
      </c>
      <c r="AL145" s="6">
        <f>IF(AN145=21,L145,0)</f>
        <v>0</v>
      </c>
      <c r="AN145" s="6">
        <v>21</v>
      </c>
      <c r="AO145" s="6">
        <f>K145*0</f>
        <v>0</v>
      </c>
      <c r="AP145" s="6">
        <f>K145*(1-0)</f>
        <v>0</v>
      </c>
      <c r="AQ145" s="3" t="s">
        <v>254</v>
      </c>
      <c r="AV145" s="6">
        <f>AW145+AX145</f>
        <v>0</v>
      </c>
      <c r="AW145" s="6">
        <f>J145*AO145</f>
        <v>0</v>
      </c>
      <c r="AX145" s="6">
        <f>J145*AP145</f>
        <v>0</v>
      </c>
      <c r="AY145" s="3" t="s">
        <v>193</v>
      </c>
      <c r="AZ145" s="3" t="s">
        <v>167</v>
      </c>
      <c r="BA145" s="20" t="s">
        <v>360</v>
      </c>
      <c r="BC145" s="6">
        <f>AW145+AX145</f>
        <v>0</v>
      </c>
      <c r="BD145" s="6">
        <f>K145/(100-BE145)*100</f>
        <v>0</v>
      </c>
      <c r="BE145" s="6">
        <v>0</v>
      </c>
      <c r="BF145" s="6">
        <f>145</f>
        <v>145</v>
      </c>
      <c r="BH145" s="6">
        <f>J145*AO145</f>
        <v>0</v>
      </c>
      <c r="BI145" s="6">
        <f>J145*AP145</f>
        <v>0</v>
      </c>
      <c r="BJ145" s="6">
        <f>J145*K145</f>
        <v>0</v>
      </c>
      <c r="BK145" s="6"/>
      <c r="BL145" s="6"/>
    </row>
    <row r="146" spans="1:64" ht="15" customHeight="1">
      <c r="A146" s="17" t="s">
        <v>85</v>
      </c>
      <c r="B146" s="28" t="s">
        <v>368</v>
      </c>
      <c r="C146" s="52" t="s">
        <v>331</v>
      </c>
      <c r="D146" s="52"/>
      <c r="E146" s="52"/>
      <c r="F146" s="52"/>
      <c r="G146" s="52"/>
      <c r="H146" s="52"/>
      <c r="I146" s="28" t="s">
        <v>221</v>
      </c>
      <c r="J146" s="6">
        <v>10.64</v>
      </c>
      <c r="K146" s="6">
        <v>0</v>
      </c>
      <c r="L146" s="6">
        <f>J146*K146</f>
        <v>0</v>
      </c>
      <c r="M146" s="2">
        <v>0</v>
      </c>
      <c r="Z146" s="6">
        <f>IF(AQ146="5",BJ146,0)</f>
        <v>0</v>
      </c>
      <c r="AB146" s="6">
        <f>IF(AQ146="1",BH146,0)</f>
        <v>0</v>
      </c>
      <c r="AC146" s="6">
        <f>IF(AQ146="1",BI146,0)</f>
        <v>0</v>
      </c>
      <c r="AD146" s="6">
        <f>IF(AQ146="7",BH146,0)</f>
        <v>0</v>
      </c>
      <c r="AE146" s="6">
        <f>IF(AQ146="7",BI146,0)</f>
        <v>0</v>
      </c>
      <c r="AF146" s="6">
        <f>IF(AQ146="2",BH146,0)</f>
        <v>0</v>
      </c>
      <c r="AG146" s="6">
        <f>IF(AQ146="2",BI146,0)</f>
        <v>0</v>
      </c>
      <c r="AH146" s="6">
        <f>IF(AQ146="0",BJ146,0)</f>
        <v>0</v>
      </c>
      <c r="AI146" s="20" t="s">
        <v>318</v>
      </c>
      <c r="AJ146" s="6">
        <f>IF(AN146=0,L146,0)</f>
        <v>0</v>
      </c>
      <c r="AK146" s="6">
        <f>IF(AN146=15,L146,0)</f>
        <v>0</v>
      </c>
      <c r="AL146" s="6">
        <f>IF(AN146=21,L146,0)</f>
        <v>0</v>
      </c>
      <c r="AN146" s="6">
        <v>21</v>
      </c>
      <c r="AO146" s="6">
        <f>K146*0</f>
        <v>0</v>
      </c>
      <c r="AP146" s="6">
        <f>K146*(1-0)</f>
        <v>0</v>
      </c>
      <c r="AQ146" s="3" t="s">
        <v>254</v>
      </c>
      <c r="AV146" s="6">
        <f>AW146+AX146</f>
        <v>0</v>
      </c>
      <c r="AW146" s="6">
        <f>J146*AO146</f>
        <v>0</v>
      </c>
      <c r="AX146" s="6">
        <f>J146*AP146</f>
        <v>0</v>
      </c>
      <c r="AY146" s="3" t="s">
        <v>193</v>
      </c>
      <c r="AZ146" s="3" t="s">
        <v>167</v>
      </c>
      <c r="BA146" s="20" t="s">
        <v>360</v>
      </c>
      <c r="BC146" s="6">
        <f>AW146+AX146</f>
        <v>0</v>
      </c>
      <c r="BD146" s="6">
        <f>K146/(100-BE146)*100</f>
        <v>0</v>
      </c>
      <c r="BE146" s="6">
        <v>0</v>
      </c>
      <c r="BF146" s="6">
        <f>146</f>
        <v>146</v>
      </c>
      <c r="BH146" s="6">
        <f>J146*AO146</f>
        <v>0</v>
      </c>
      <c r="BI146" s="6">
        <f>J146*AP146</f>
        <v>0</v>
      </c>
      <c r="BJ146" s="6">
        <f>J146*K146</f>
        <v>0</v>
      </c>
      <c r="BK146" s="6"/>
      <c r="BL146" s="6"/>
    </row>
    <row r="147" spans="1:64" ht="15" customHeight="1">
      <c r="A147" s="17" t="s">
        <v>104</v>
      </c>
      <c r="B147" s="28" t="s">
        <v>333</v>
      </c>
      <c r="C147" s="52" t="s">
        <v>348</v>
      </c>
      <c r="D147" s="52"/>
      <c r="E147" s="52"/>
      <c r="F147" s="52"/>
      <c r="G147" s="52"/>
      <c r="H147" s="52"/>
      <c r="I147" s="28" t="s">
        <v>221</v>
      </c>
      <c r="J147" s="6">
        <v>10.64</v>
      </c>
      <c r="K147" s="6">
        <v>0</v>
      </c>
      <c r="L147" s="6">
        <f>J147*K147</f>
        <v>0</v>
      </c>
      <c r="M147" s="2">
        <v>0</v>
      </c>
      <c r="Z147" s="6">
        <f>IF(AQ147="5",BJ147,0)</f>
        <v>0</v>
      </c>
      <c r="AB147" s="6">
        <f>IF(AQ147="1",BH147,0)</f>
        <v>0</v>
      </c>
      <c r="AC147" s="6">
        <f>IF(AQ147="1",BI147,0)</f>
        <v>0</v>
      </c>
      <c r="AD147" s="6">
        <f>IF(AQ147="7",BH147,0)</f>
        <v>0</v>
      </c>
      <c r="AE147" s="6">
        <f>IF(AQ147="7",BI147,0)</f>
        <v>0</v>
      </c>
      <c r="AF147" s="6">
        <f>IF(AQ147="2",BH147,0)</f>
        <v>0</v>
      </c>
      <c r="AG147" s="6">
        <f>IF(AQ147="2",BI147,0)</f>
        <v>0</v>
      </c>
      <c r="AH147" s="6">
        <f>IF(AQ147="0",BJ147,0)</f>
        <v>0</v>
      </c>
      <c r="AI147" s="20" t="s">
        <v>318</v>
      </c>
      <c r="AJ147" s="6">
        <f>IF(AN147=0,L147,0)</f>
        <v>0</v>
      </c>
      <c r="AK147" s="6">
        <f>IF(AN147=15,L147,0)</f>
        <v>0</v>
      </c>
      <c r="AL147" s="6">
        <f>IF(AN147=21,L147,0)</f>
        <v>0</v>
      </c>
      <c r="AN147" s="6">
        <v>21</v>
      </c>
      <c r="AO147" s="6">
        <f>K147*0</f>
        <v>0</v>
      </c>
      <c r="AP147" s="6">
        <f>K147*(1-0)</f>
        <v>0</v>
      </c>
      <c r="AQ147" s="3" t="s">
        <v>254</v>
      </c>
      <c r="AV147" s="6">
        <f>AW147+AX147</f>
        <v>0</v>
      </c>
      <c r="AW147" s="6">
        <f>J147*AO147</f>
        <v>0</v>
      </c>
      <c r="AX147" s="6">
        <f>J147*AP147</f>
        <v>0</v>
      </c>
      <c r="AY147" s="3" t="s">
        <v>193</v>
      </c>
      <c r="AZ147" s="3" t="s">
        <v>167</v>
      </c>
      <c r="BA147" s="20" t="s">
        <v>360</v>
      </c>
      <c r="BC147" s="6">
        <f>AW147+AX147</f>
        <v>0</v>
      </c>
      <c r="BD147" s="6">
        <f>K147/(100-BE147)*100</f>
        <v>0</v>
      </c>
      <c r="BE147" s="6">
        <v>0</v>
      </c>
      <c r="BF147" s="6">
        <f>147</f>
        <v>147</v>
      </c>
      <c r="BH147" s="6">
        <f>J147*AO147</f>
        <v>0</v>
      </c>
      <c r="BI147" s="6">
        <f>J147*AP147</f>
        <v>0</v>
      </c>
      <c r="BJ147" s="6">
        <f>J147*K147</f>
        <v>0</v>
      </c>
      <c r="BK147" s="6"/>
      <c r="BL147" s="6"/>
    </row>
    <row r="148" spans="1:64" ht="15" customHeight="1">
      <c r="A148" s="38" t="s">
        <v>60</v>
      </c>
      <c r="B148" s="26" t="s">
        <v>307</v>
      </c>
      <c r="C148" s="55" t="s">
        <v>205</v>
      </c>
      <c r="D148" s="55"/>
      <c r="E148" s="55"/>
      <c r="F148" s="55"/>
      <c r="G148" s="55"/>
      <c r="H148" s="55"/>
      <c r="I148" s="26" t="s">
        <v>221</v>
      </c>
      <c r="J148" s="21">
        <v>170.24</v>
      </c>
      <c r="K148" s="21">
        <v>0</v>
      </c>
      <c r="L148" s="21">
        <f>J148*K148</f>
        <v>0</v>
      </c>
      <c r="M148" s="42">
        <v>0</v>
      </c>
      <c r="Z148" s="6">
        <f>IF(AQ148="5",BJ148,0)</f>
        <v>0</v>
      </c>
      <c r="AB148" s="6">
        <f>IF(AQ148="1",BH148,0)</f>
        <v>0</v>
      </c>
      <c r="AC148" s="6">
        <f>IF(AQ148="1",BI148,0)</f>
        <v>0</v>
      </c>
      <c r="AD148" s="6">
        <f>IF(AQ148="7",BH148,0)</f>
        <v>0</v>
      </c>
      <c r="AE148" s="6">
        <f>IF(AQ148="7",BI148,0)</f>
        <v>0</v>
      </c>
      <c r="AF148" s="6">
        <f>IF(AQ148="2",BH148,0)</f>
        <v>0</v>
      </c>
      <c r="AG148" s="6">
        <f>IF(AQ148="2",BI148,0)</f>
        <v>0</v>
      </c>
      <c r="AH148" s="6">
        <f>IF(AQ148="0",BJ148,0)</f>
        <v>0</v>
      </c>
      <c r="AI148" s="20" t="s">
        <v>318</v>
      </c>
      <c r="AJ148" s="6">
        <f>IF(AN148=0,L148,0)</f>
        <v>0</v>
      </c>
      <c r="AK148" s="6">
        <f>IF(AN148=15,L148,0)</f>
        <v>0</v>
      </c>
      <c r="AL148" s="6">
        <f>IF(AN148=21,L148,0)</f>
        <v>0</v>
      </c>
      <c r="AN148" s="6">
        <v>21</v>
      </c>
      <c r="AO148" s="6">
        <f>K148*0</f>
        <v>0</v>
      </c>
      <c r="AP148" s="6">
        <f>K148*(1-0)</f>
        <v>0</v>
      </c>
      <c r="AQ148" s="3" t="s">
        <v>254</v>
      </c>
      <c r="AV148" s="6">
        <f>AW148+AX148</f>
        <v>0</v>
      </c>
      <c r="AW148" s="6">
        <f>J148*AO148</f>
        <v>0</v>
      </c>
      <c r="AX148" s="6">
        <f>J148*AP148</f>
        <v>0</v>
      </c>
      <c r="AY148" s="3" t="s">
        <v>193</v>
      </c>
      <c r="AZ148" s="3" t="s">
        <v>167</v>
      </c>
      <c r="BA148" s="20" t="s">
        <v>360</v>
      </c>
      <c r="BC148" s="6">
        <f>AW148+AX148</f>
        <v>0</v>
      </c>
      <c r="BD148" s="6">
        <f>K148/(100-BE148)*100</f>
        <v>0</v>
      </c>
      <c r="BE148" s="6">
        <v>0</v>
      </c>
      <c r="BF148" s="6">
        <f>148</f>
        <v>148</v>
      </c>
      <c r="BH148" s="6">
        <f>J148*AO148</f>
        <v>0</v>
      </c>
      <c r="BI148" s="6">
        <f>J148*AP148</f>
        <v>0</v>
      </c>
      <c r="BJ148" s="6">
        <f>J148*K148</f>
        <v>0</v>
      </c>
      <c r="BK148" s="6"/>
      <c r="BL148" s="6"/>
    </row>
    <row r="149" ht="15" customHeight="1">
      <c r="L149" s="25">
        <f>ROUND(L12+L14+L19+L24+L57+L66+L80+L91+L102+L106+L111+L113+L115+L137+L139+L143,0)</f>
        <v>0</v>
      </c>
    </row>
    <row r="150" ht="15" customHeight="1">
      <c r="A150" s="16" t="s">
        <v>43</v>
      </c>
    </row>
    <row r="151" spans="1:13" ht="12.75" customHeight="1">
      <c r="A151" s="57" t="s">
        <v>318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sheetProtection/>
  <mergeCells count="165">
    <mergeCell ref="A151:M151"/>
    <mergeCell ref="C143:H143"/>
    <mergeCell ref="C144:H144"/>
    <mergeCell ref="C145:H145"/>
    <mergeCell ref="C146:H146"/>
    <mergeCell ref="C147:H147"/>
    <mergeCell ref="C148:H148"/>
    <mergeCell ref="C137:H137"/>
    <mergeCell ref="C138:H138"/>
    <mergeCell ref="C139:H139"/>
    <mergeCell ref="C140:H140"/>
    <mergeCell ref="C141:H141"/>
    <mergeCell ref="C142:H142"/>
    <mergeCell ref="C131:H131"/>
    <mergeCell ref="C132:H132"/>
    <mergeCell ref="C133:H133"/>
    <mergeCell ref="C134:H134"/>
    <mergeCell ref="C135:H135"/>
    <mergeCell ref="C136:H136"/>
    <mergeCell ref="C125:H125"/>
    <mergeCell ref="C126:H126"/>
    <mergeCell ref="C127:H127"/>
    <mergeCell ref="C128:H128"/>
    <mergeCell ref="C129:H129"/>
    <mergeCell ref="C130:H130"/>
    <mergeCell ref="C119:H119"/>
    <mergeCell ref="C120:H120"/>
    <mergeCell ref="C121:H121"/>
    <mergeCell ref="C122:H122"/>
    <mergeCell ref="C123:H123"/>
    <mergeCell ref="C124:H124"/>
    <mergeCell ref="C113:H113"/>
    <mergeCell ref="C114:H114"/>
    <mergeCell ref="C115:H115"/>
    <mergeCell ref="C116:H116"/>
    <mergeCell ref="C117:H117"/>
    <mergeCell ref="C118:H118"/>
    <mergeCell ref="C107:H107"/>
    <mergeCell ref="C108:H108"/>
    <mergeCell ref="C109:H109"/>
    <mergeCell ref="C110:H110"/>
    <mergeCell ref="C111:H111"/>
    <mergeCell ref="C112:H112"/>
    <mergeCell ref="C101:H101"/>
    <mergeCell ref="C102:H102"/>
    <mergeCell ref="C103:H103"/>
    <mergeCell ref="C104:H104"/>
    <mergeCell ref="C105:H105"/>
    <mergeCell ref="C106:H106"/>
    <mergeCell ref="C95:H95"/>
    <mergeCell ref="C96:H96"/>
    <mergeCell ref="C97:H97"/>
    <mergeCell ref="C98:H98"/>
    <mergeCell ref="C99:H99"/>
    <mergeCell ref="C100:H100"/>
    <mergeCell ref="C89:H89"/>
    <mergeCell ref="C90:H90"/>
    <mergeCell ref="C91:H91"/>
    <mergeCell ref="C92:H92"/>
    <mergeCell ref="C93:H93"/>
    <mergeCell ref="C94:H94"/>
    <mergeCell ref="C83:H83"/>
    <mergeCell ref="C84:H84"/>
    <mergeCell ref="C85:H85"/>
    <mergeCell ref="C86:H86"/>
    <mergeCell ref="C87:H87"/>
    <mergeCell ref="C88:H88"/>
    <mergeCell ref="C77:H77"/>
    <mergeCell ref="C78:H78"/>
    <mergeCell ref="C79:H79"/>
    <mergeCell ref="C80:H80"/>
    <mergeCell ref="C81:H81"/>
    <mergeCell ref="C82:H82"/>
    <mergeCell ref="C71:H71"/>
    <mergeCell ref="C72:H72"/>
    <mergeCell ref="C73:H73"/>
    <mergeCell ref="C74:H74"/>
    <mergeCell ref="C75:H75"/>
    <mergeCell ref="C76:H76"/>
    <mergeCell ref="C65:H65"/>
    <mergeCell ref="C66:H66"/>
    <mergeCell ref="C67:H67"/>
    <mergeCell ref="C68:H68"/>
    <mergeCell ref="C69:H69"/>
    <mergeCell ref="C70:H70"/>
    <mergeCell ref="C59:H59"/>
    <mergeCell ref="C60:H60"/>
    <mergeCell ref="C61:H61"/>
    <mergeCell ref="C62:H62"/>
    <mergeCell ref="C63:H63"/>
    <mergeCell ref="C64:H64"/>
    <mergeCell ref="C53:H53"/>
    <mergeCell ref="C54:H54"/>
    <mergeCell ref="C55:H55"/>
    <mergeCell ref="C56:H56"/>
    <mergeCell ref="C57:H57"/>
    <mergeCell ref="C58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C11:H11"/>
    <mergeCell ref="C12:H12"/>
    <mergeCell ref="C13:H13"/>
    <mergeCell ref="C14:H14"/>
    <mergeCell ref="C15:H15"/>
    <mergeCell ref="C16:H16"/>
    <mergeCell ref="I2:M3"/>
    <mergeCell ref="I4:M5"/>
    <mergeCell ref="I6:M7"/>
    <mergeCell ref="I8:M9"/>
    <mergeCell ref="C10:H10"/>
    <mergeCell ref="H4:H5"/>
    <mergeCell ref="H6:H7"/>
    <mergeCell ref="H8:H9"/>
    <mergeCell ref="C2:D3"/>
    <mergeCell ref="C4:D5"/>
    <mergeCell ref="C6:D7"/>
    <mergeCell ref="C8:D9"/>
    <mergeCell ref="G2:G3"/>
    <mergeCell ref="G4:G5"/>
    <mergeCell ref="G6:G7"/>
    <mergeCell ref="G8:G9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H2:H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Pavlína Tůmová</cp:lastModifiedBy>
  <dcterms:created xsi:type="dcterms:W3CDTF">2021-06-10T20:06:38Z</dcterms:created>
  <dcterms:modified xsi:type="dcterms:W3CDTF">2023-06-01T11:59:53Z</dcterms:modified>
  <cp:category/>
  <cp:version/>
  <cp:contentType/>
  <cp:contentStatus/>
</cp:coreProperties>
</file>