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Krycí list rozpočtu" sheetId="1" r:id="rId1"/>
    <sheet name="Stavební rozpočet" sheetId="2" r:id="rId2"/>
    <sheet name="Výkaz výměr" sheetId="3" r:id="rId3"/>
    <sheet name="VORN" sheetId="4" state="hidden" r:id="rId4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<sst xmlns="http://schemas.openxmlformats.org/spreadsheetml/2006/main" count="1789" uniqueCount="435">
  <si>
    <t>766661112R00</t>
  </si>
  <si>
    <t>Bourání základů z betonu prostého</t>
  </si>
  <si>
    <t>Doba výstavby:</t>
  </si>
  <si>
    <t>Vyvěšení dřevěných a plastových dveřních křídel pl. do 2 m2</t>
  </si>
  <si>
    <t>160000001RE0</t>
  </si>
  <si>
    <t>725219401R00</t>
  </si>
  <si>
    <t>Projektant</t>
  </si>
  <si>
    <t>67</t>
  </si>
  <si>
    <t>Malby</t>
  </si>
  <si>
    <t>781419705R00</t>
  </si>
  <si>
    <t>Hydroizolační stěrka jednovrstvá pod obklady Aquafin 2K</t>
  </si>
  <si>
    <t>771101210R00</t>
  </si>
  <si>
    <t>Penetrace podkladu pod dlažby</t>
  </si>
  <si>
    <t>725820801R00</t>
  </si>
  <si>
    <t>Základ 21%</t>
  </si>
  <si>
    <t>20</t>
  </si>
  <si>
    <t>998725201R00</t>
  </si>
  <si>
    <t>Přesun hmot pro obklady keramické, výšky do 6 m</t>
  </si>
  <si>
    <t>NUS celkem z obj.</t>
  </si>
  <si>
    <t>Vyrovnání podkladu maltou ze SMS tl. do 7 mm</t>
  </si>
  <si>
    <t>Vyplnění dilatačních spár tmelem, obklady</t>
  </si>
  <si>
    <t>72_</t>
  </si>
  <si>
    <t>24,75*16</t>
  </si>
  <si>
    <t>podlhy</t>
  </si>
  <si>
    <t>766661111R01</t>
  </si>
  <si>
    <t>Název stavby:</t>
  </si>
  <si>
    <t>Ostatní materiál</t>
  </si>
  <si>
    <t>48</t>
  </si>
  <si>
    <t>29</t>
  </si>
  <si>
    <t>Č</t>
  </si>
  <si>
    <t>725110814R00</t>
  </si>
  <si>
    <t>Poznámka:</t>
  </si>
  <si>
    <t>Lokalita:</t>
  </si>
  <si>
    <t>79</t>
  </si>
  <si>
    <t>71</t>
  </si>
  <si>
    <t>16</t>
  </si>
  <si>
    <t>PSV</t>
  </si>
  <si>
    <t>24</t>
  </si>
  <si>
    <t>961044111R00</t>
  </si>
  <si>
    <t>Celkem</t>
  </si>
  <si>
    <t>Zařízení staveniště</t>
  </si>
  <si>
    <t>59764230R</t>
  </si>
  <si>
    <t>5+2+2</t>
  </si>
  <si>
    <t>Dávkovač tekutého mýdla na stěnu</t>
  </si>
  <si>
    <t>766_</t>
  </si>
  <si>
    <t>6*2</t>
  </si>
  <si>
    <t>Stavební úpravy WC tělocvična</t>
  </si>
  <si>
    <t>Příplatek za spárovací hmotu-plošně,pórovin.obklad</t>
  </si>
  <si>
    <t>4</t>
  </si>
  <si>
    <t>Provedení úpravy vnitřní kanalizace, potrubí plastové, napojení pisoáru</t>
  </si>
  <si>
    <t>60</t>
  </si>
  <si>
    <t>Základní rozpočtové náklady</t>
  </si>
  <si>
    <t>Demontáž baterie nástěnné do G 3/4"</t>
  </si>
  <si>
    <t>26</t>
  </si>
  <si>
    <t>6_</t>
  </si>
  <si>
    <t>9901016</t>
  </si>
  <si>
    <t>650912165R00</t>
  </si>
  <si>
    <t>Uzávěrka zápachová umyvadlová bílý plast</t>
  </si>
  <si>
    <t>Celkem bez DPH</t>
  </si>
  <si>
    <t>Vedlejší a ostatní rozpočtové náklady</t>
  </si>
  <si>
    <t>Dodávka a montáž umyvadel na šrouby do zdiva</t>
  </si>
  <si>
    <t>00231401/CZ00231401</t>
  </si>
  <si>
    <t>M21</t>
  </si>
  <si>
    <t>Zásobník na toaletní papír</t>
  </si>
  <si>
    <t>Hmotnost (t)</t>
  </si>
  <si>
    <t>6</t>
  </si>
  <si>
    <t>Rozpočtové náklady v Kč</t>
  </si>
  <si>
    <t>(3,12+2,45+2,85+2,35)*2*2,15-0,6*2*3-0,8*2*3</t>
  </si>
  <si>
    <t>68</t>
  </si>
  <si>
    <t>81</t>
  </si>
  <si>
    <t>Osoušeč rukou např. Stream Flow</t>
  </si>
  <si>
    <t>735127110R00</t>
  </si>
  <si>
    <t>B</t>
  </si>
  <si>
    <t>Náklady na umístění stavby (NUS)</t>
  </si>
  <si>
    <t>42</t>
  </si>
  <si>
    <t>82</t>
  </si>
  <si>
    <t>Montáž</t>
  </si>
  <si>
    <t>Datum, razítko a podpis</t>
  </si>
  <si>
    <t>ZRN celkem</t>
  </si>
  <si>
    <t>(3,12+3,53+2,9+3,45)*2*2,15-0,6*2*3-0,8*2*3</t>
  </si>
  <si>
    <t>Dopravné</t>
  </si>
  <si>
    <t>Demontáž umyvadel bez výtokových armatur</t>
  </si>
  <si>
    <t>Demontáž armatur s jedním závitem G 2 1/2"</t>
  </si>
  <si>
    <t>Příplatek za výškovou úpravu dveří</t>
  </si>
  <si>
    <t>979990103R00</t>
  </si>
  <si>
    <t>Bourání dlažeb keramických tl.10 mm,</t>
  </si>
  <si>
    <t>Poplatek za uložení stavební suti</t>
  </si>
  <si>
    <t>69</t>
  </si>
  <si>
    <t>Tlaková zkouška otopných těles litinových - vodou</t>
  </si>
  <si>
    <t>33</t>
  </si>
  <si>
    <t>3,53*3,12+0,9*1,15*2+1,15*1,1</t>
  </si>
  <si>
    <t>Demontáž ventilu výtokového nástěnného</t>
  </si>
  <si>
    <t>132,82*1,1</t>
  </si>
  <si>
    <t>78</t>
  </si>
  <si>
    <t>Krycí list slepého rozpočtu</t>
  </si>
  <si>
    <t>63</t>
  </si>
  <si>
    <t>783_</t>
  </si>
  <si>
    <t>77_</t>
  </si>
  <si>
    <t>783222140R00</t>
  </si>
  <si>
    <t>Základna</t>
  </si>
  <si>
    <t>25</t>
  </si>
  <si>
    <t>kus</t>
  </si>
  <si>
    <t>2237</t>
  </si>
  <si>
    <t>(3,12+2,45+2,35+2,85)*2*0,4+(1,15*6+0,9*4+1,1*2)*0,4</t>
  </si>
  <si>
    <t>Dodávky</t>
  </si>
  <si>
    <t>735118110R00</t>
  </si>
  <si>
    <t>Otvor v obkladačce diamant.korunkou prům.do 90 mm</t>
  </si>
  <si>
    <t>Vnitrostaveništní doprava suti do 10 m</t>
  </si>
  <si>
    <t>Ostatní mat.</t>
  </si>
  <si>
    <t>781111115R00</t>
  </si>
  <si>
    <t>Montáž kliky a štítku</t>
  </si>
  <si>
    <t>HSV prac</t>
  </si>
  <si>
    <t>21,75+3</t>
  </si>
  <si>
    <t>2,35*2,85+2,45*3,12+1,15*(0,9+0,9+1,1)</t>
  </si>
  <si>
    <t>725920811R99</t>
  </si>
  <si>
    <t>Elektroinstalace</t>
  </si>
  <si>
    <t>(2,85+2,35+3,12+2,45+0,9*2+1,15*3+1,1)*2</t>
  </si>
  <si>
    <t>Zásobník na papírové ručníky nerezový</t>
  </si>
  <si>
    <t>13</t>
  </si>
  <si>
    <t>771579791R00</t>
  </si>
  <si>
    <t>Dodávka a montáž uzavíracích armatur závitových</t>
  </si>
  <si>
    <t>766662811R00</t>
  </si>
  <si>
    <t>71,21</t>
  </si>
  <si>
    <t>(2,9+1+3,12+1+2,85+1)+2</t>
  </si>
  <si>
    <t>771579793R00</t>
  </si>
  <si>
    <t>"M"</t>
  </si>
  <si>
    <t>VORN celkem z obj.</t>
  </si>
  <si>
    <t>Dodávka a montáž armatur závitových,s 1závitem, G 1/2</t>
  </si>
  <si>
    <t>Hrubá výplň rýh ve stěnách do 3x3 cm maltou ze SMS</t>
  </si>
  <si>
    <t>725139102R88</t>
  </si>
  <si>
    <t>722220855R00</t>
  </si>
  <si>
    <t>Cena/MJ</t>
  </si>
  <si>
    <t>Konec výstavby:</t>
  </si>
  <si>
    <t>Kód</t>
  </si>
  <si>
    <t>S</t>
  </si>
  <si>
    <t>Jednot.</t>
  </si>
  <si>
    <t>43</t>
  </si>
  <si>
    <t>Montáž podlah keram.,hladké, tmel, 30x30 cm</t>
  </si>
  <si>
    <t>Dodávka a montáž pisoáru splachování fotobuňka</t>
  </si>
  <si>
    <t>(3,53+3,12)*2-2,6+1,15*6+0,9*4+1,1*2-0,6*3</t>
  </si>
  <si>
    <t>435</t>
  </si>
  <si>
    <t>soubor</t>
  </si>
  <si>
    <t>MJ</t>
  </si>
  <si>
    <t>45</t>
  </si>
  <si>
    <t>40</t>
  </si>
  <si>
    <t>Nátěr syntetický potrubí a radiátorů 1x email</t>
  </si>
  <si>
    <t>9_</t>
  </si>
  <si>
    <t>Celkem ORN</t>
  </si>
  <si>
    <t>725825111RT0</t>
  </si>
  <si>
    <t>Doplňkové náklady</t>
  </si>
  <si>
    <t>735117110R00</t>
  </si>
  <si>
    <t>PSV prac</t>
  </si>
  <si>
    <t>HSV</t>
  </si>
  <si>
    <t>Vedlejší rozpočtové náklady VRN</t>
  </si>
  <si>
    <t>9</t>
  </si>
  <si>
    <t>905000   R01</t>
  </si>
  <si>
    <t>Zakrytí předmětů</t>
  </si>
  <si>
    <t>15</t>
  </si>
  <si>
    <t>781411013R00</t>
  </si>
  <si>
    <t>95</t>
  </si>
  <si>
    <t>Otvor v obkladačce diamant.korunkou prům.do 30 mm</t>
  </si>
  <si>
    <t>ISWORK</t>
  </si>
  <si>
    <t>Celkem včetně DPH</t>
  </si>
  <si>
    <t>Celkem NUS</t>
  </si>
  <si>
    <t>42,03+((3,12+3,53+2,9+3,45)*2+1,15*6+0,9*4+1,1*2)*0,4</t>
  </si>
  <si>
    <t>Základ 0%</t>
  </si>
  <si>
    <t>S_</t>
  </si>
  <si>
    <t>Manipulace materiál út</t>
  </si>
  <si>
    <t>725810811R00</t>
  </si>
  <si>
    <t>Hrubé vyčištění budov o výšce podlaží do 4 m</t>
  </si>
  <si>
    <t>766</t>
  </si>
  <si>
    <t>52</t>
  </si>
  <si>
    <t>Demontáž a zpětná montáž těles otopných litinových článkových</t>
  </si>
  <si>
    <t>14,35*0,07</t>
  </si>
  <si>
    <t>51</t>
  </si>
  <si>
    <t>Přesuny sutí</t>
  </si>
  <si>
    <t>Nátěr syntetický zárubní kov.vnitřních 2x</t>
  </si>
  <si>
    <t>Mont prac</t>
  </si>
  <si>
    <t>Obklady (keramické)</t>
  </si>
  <si>
    <t>44</t>
  </si>
  <si>
    <t>Příplatek k odvozu za každý další 1 km</t>
  </si>
  <si>
    <t>553407001</t>
  </si>
  <si>
    <t>78_</t>
  </si>
  <si>
    <t>23</t>
  </si>
  <si>
    <t>781_</t>
  </si>
  <si>
    <t>59</t>
  </si>
  <si>
    <t>734209103R00</t>
  </si>
  <si>
    <t>Odpojení topných okruhů</t>
  </si>
  <si>
    <t>t</t>
  </si>
  <si>
    <t>721210831R00</t>
  </si>
  <si>
    <t> </t>
  </si>
  <si>
    <t>53</t>
  </si>
  <si>
    <t>Konstrukce truhlářské</t>
  </si>
  <si>
    <t>784011221RT2</t>
  </si>
  <si>
    <t>783324140R00</t>
  </si>
  <si>
    <t>JKSO:</t>
  </si>
  <si>
    <t>64</t>
  </si>
  <si>
    <t>721170902R00</t>
  </si>
  <si>
    <t>Kliky se štítem dveř.  např WC Qubic</t>
  </si>
  <si>
    <t>Zakrytí podlah</t>
  </si>
  <si>
    <t>stěny</t>
  </si>
  <si>
    <t>77</t>
  </si>
  <si>
    <t>DN celkem</t>
  </si>
  <si>
    <t>Montáž obkladů stěn, porovin. do MC, 15x15 cm</t>
  </si>
  <si>
    <t>771101147R00</t>
  </si>
  <si>
    <t>GROUPCODE</t>
  </si>
  <si>
    <t>Elektromontážní práce - přívod vysoušeč 2x, ovládání pisoárů 4x, ovládání osvětlení 4x.</t>
  </si>
  <si>
    <t>Provozní vlivy</t>
  </si>
  <si>
    <t>5</t>
  </si>
  <si>
    <t>54914594</t>
  </si>
  <si>
    <t>76_</t>
  </si>
  <si>
    <t>66,4</t>
  </si>
  <si>
    <t>725210821R00</t>
  </si>
  <si>
    <t>Odsekání vnitřních obkladů stěn vč. podkladu</t>
  </si>
  <si>
    <t>Druh stavby:</t>
  </si>
  <si>
    <t>Penetrace podkladu pod obklady</t>
  </si>
  <si>
    <t>612479112RT1</t>
  </si>
  <si>
    <t>784</t>
  </si>
  <si>
    <t>96</t>
  </si>
  <si>
    <t>Zpracováno dne:</t>
  </si>
  <si>
    <t>735_</t>
  </si>
  <si>
    <t>Úprava rozvodu vody vč. zaslepení nepoužívané části</t>
  </si>
  <si>
    <t>(2,9+3,45+3,12+3,53+1,5*2+0,9*2+1,15+1,1)*2</t>
  </si>
  <si>
    <t>781101141R00</t>
  </si>
  <si>
    <t>783</t>
  </si>
  <si>
    <t>10</t>
  </si>
  <si>
    <t>58</t>
  </si>
  <si>
    <t>36</t>
  </si>
  <si>
    <t>632411107R00</t>
  </si>
  <si>
    <t>14</t>
  </si>
  <si>
    <t>31</t>
  </si>
  <si>
    <t>776421300R00</t>
  </si>
  <si>
    <t>Malba Primalex Plus, bílá, bez penetrace, 2 x</t>
  </si>
  <si>
    <t>Množství</t>
  </si>
  <si>
    <t>998771201R00</t>
  </si>
  <si>
    <t>38</t>
  </si>
  <si>
    <t>VORN celkem</t>
  </si>
  <si>
    <t>95_</t>
  </si>
  <si>
    <t>Typ skupiny</t>
  </si>
  <si>
    <t>73</t>
  </si>
  <si>
    <t>Demontáž drobného vybavení</t>
  </si>
  <si>
    <t>725122817R00</t>
  </si>
  <si>
    <t>Vyplnění dilatačních spár tmelem, dlažba</t>
  </si>
  <si>
    <t>61_</t>
  </si>
  <si>
    <t>56</t>
  </si>
  <si>
    <t>19</t>
  </si>
  <si>
    <t>C</t>
  </si>
  <si>
    <t>Náklady (Kč)</t>
  </si>
  <si>
    <t>39</t>
  </si>
  <si>
    <t>30</t>
  </si>
  <si>
    <t>Montáž dveří do zárubně,otevíravých 1kř.do 0,8 m</t>
  </si>
  <si>
    <t>965041321RT1</t>
  </si>
  <si>
    <t>IČO/DIČ:</t>
  </si>
  <si>
    <t>Ostatní</t>
  </si>
  <si>
    <t>725292001R00</t>
  </si>
  <si>
    <t>979081121R00</t>
  </si>
  <si>
    <t>55</t>
  </si>
  <si>
    <t>721225202R00</t>
  </si>
  <si>
    <t>Zpracoval:</t>
  </si>
  <si>
    <t>734209101R00</t>
  </si>
  <si>
    <t>21,6</t>
  </si>
  <si>
    <t>76</t>
  </si>
  <si>
    <t>Penetrace podkladu nátěrem V1308  1 x</t>
  </si>
  <si>
    <t>Příplatek za plochu podlah keram. do 5 m2 jednotl.</t>
  </si>
  <si>
    <t>Provedení hydroizol. stěrky pod dlažby jednovrstvé Aqufin 2K</t>
  </si>
  <si>
    <t>Zhotovitel</t>
  </si>
  <si>
    <t>2</t>
  </si>
  <si>
    <t>Projektant:</t>
  </si>
  <si>
    <t/>
  </si>
  <si>
    <t>17</t>
  </si>
  <si>
    <t>722132212R00</t>
  </si>
  <si>
    <t>ks</t>
  </si>
  <si>
    <t>735111810R00</t>
  </si>
  <si>
    <t>771101141R00</t>
  </si>
  <si>
    <t>965081712R00</t>
  </si>
  <si>
    <t>21</t>
  </si>
  <si>
    <t>132,82</t>
  </si>
  <si>
    <t>Nakládání nebo překládání suti a vybouraných hmot</t>
  </si>
  <si>
    <t>979081111R00</t>
  </si>
  <si>
    <t>Úprava povrchů vnitřní</t>
  </si>
  <si>
    <t>735119140R00</t>
  </si>
  <si>
    <t>Provedení štukových fabiónů obklad - stěna</t>
  </si>
  <si>
    <t>61</t>
  </si>
  <si>
    <t>978059511R00</t>
  </si>
  <si>
    <t>Přesun hmot pro otopná tělesa, výšky do 6 m</t>
  </si>
  <si>
    <t>12</t>
  </si>
  <si>
    <t>998735101R00</t>
  </si>
  <si>
    <t>Odvoz suti a vybour. hmot na skládku do 1 km</t>
  </si>
  <si>
    <t>Objekt</t>
  </si>
  <si>
    <t>Různé dokončovací konstrukce a práce na pozemních stavbách</t>
  </si>
  <si>
    <t>Otopná tělesa</t>
  </si>
  <si>
    <t>DPH 21%</t>
  </si>
  <si>
    <t>968061125R00</t>
  </si>
  <si>
    <t>Montáž klozetových mís kombinovaných bez dodávky</t>
  </si>
  <si>
    <t>Elektromontáže</t>
  </si>
  <si>
    <t>_</t>
  </si>
  <si>
    <t>784011222RT2</t>
  </si>
  <si>
    <t>kpl</t>
  </si>
  <si>
    <t>Přesun hmot pro podlahy z dlaždic, výšky do 6 m</t>
  </si>
  <si>
    <t>Demontáž těles otopných litinových článkových</t>
  </si>
  <si>
    <t>781101210R00</t>
  </si>
  <si>
    <t>49</t>
  </si>
  <si>
    <t>72</t>
  </si>
  <si>
    <t>24,75*2</t>
  </si>
  <si>
    <t>Přesuny</t>
  </si>
  <si>
    <t>979086112R00</t>
  </si>
  <si>
    <t>MAT</t>
  </si>
  <si>
    <t>725119305R00</t>
  </si>
  <si>
    <t>70</t>
  </si>
  <si>
    <t>766670021R00</t>
  </si>
  <si>
    <t>8</t>
  </si>
  <si>
    <t>Mimostav. doprava</t>
  </si>
  <si>
    <t>Nátěry</t>
  </si>
  <si>
    <t>18</t>
  </si>
  <si>
    <t>DN celkem z obj.</t>
  </si>
  <si>
    <t>46</t>
  </si>
  <si>
    <t>781</t>
  </si>
  <si>
    <t>781111131R00</t>
  </si>
  <si>
    <t>632413150R00</t>
  </si>
  <si>
    <t>50</t>
  </si>
  <si>
    <t>735191999R00</t>
  </si>
  <si>
    <t>m</t>
  </si>
  <si>
    <t>784111201R00</t>
  </si>
  <si>
    <t>11</t>
  </si>
  <si>
    <t>24,75</t>
  </si>
  <si>
    <t>Základ 12%</t>
  </si>
  <si>
    <t>32</t>
  </si>
  <si>
    <t>Objednatel:</t>
  </si>
  <si>
    <t>Bourání  mazanin, tl.10 cm, pl. 1 m2</t>
  </si>
  <si>
    <t>Město Benešov Masarykovo náměstí 100, 256 01  Bene</t>
  </si>
  <si>
    <t>612403380R00</t>
  </si>
  <si>
    <t>ZTI</t>
  </si>
  <si>
    <t>PSV mat</t>
  </si>
  <si>
    <t>998781201R00</t>
  </si>
  <si>
    <t>Potřebné množství</t>
  </si>
  <si>
    <t>Demontáž vpusti s obetonávkou vč. zaslepení</t>
  </si>
  <si>
    <t>3</t>
  </si>
  <si>
    <t>Samonivelační stěrka, ruč.zpracování tl.do 7 mm</t>
  </si>
  <si>
    <t>Provedení vnitřní omítky stěn jednovrstvé, ručně</t>
  </si>
  <si>
    <t>Revize elektro</t>
  </si>
  <si>
    <t>Zhotovitel:</t>
  </si>
  <si>
    <t>9010      AS01</t>
  </si>
  <si>
    <t>%</t>
  </si>
  <si>
    <t>Podlahy z dlaždic</t>
  </si>
  <si>
    <t>96_</t>
  </si>
  <si>
    <t>952901111R00</t>
  </si>
  <si>
    <t>784_</t>
  </si>
  <si>
    <t>1,15*(0,9+0,9+1,1)+3,12*3,53+3,45*2,9</t>
  </si>
  <si>
    <t>35</t>
  </si>
  <si>
    <t>M65</t>
  </si>
  <si>
    <t>Začátek výstavby:</t>
  </si>
  <si>
    <t>Bourání konstrukcí; demontáže</t>
  </si>
  <si>
    <t>781111116R00</t>
  </si>
  <si>
    <t>A</t>
  </si>
  <si>
    <t>Mont mat</t>
  </si>
  <si>
    <t>Slepý stavební rozpočet</t>
  </si>
  <si>
    <t>73_</t>
  </si>
  <si>
    <t>Manipulace materiál zti</t>
  </si>
  <si>
    <t>Koordinační činnost</t>
  </si>
  <si>
    <t>2,25*2*3+1,8+1,5*2</t>
  </si>
  <si>
    <t>75</t>
  </si>
  <si>
    <t>54</t>
  </si>
  <si>
    <t>Sedátko WC</t>
  </si>
  <si>
    <t xml:space="preserve"> </t>
  </si>
  <si>
    <t>725292041R00</t>
  </si>
  <si>
    <t>725114921R00</t>
  </si>
  <si>
    <t>Příplatek za spárovací hmotu - plošně,keram.dlažba</t>
  </si>
  <si>
    <t>Demontáž pisoárů bez nádrže + 1 záchodkem</t>
  </si>
  <si>
    <t>Objednatel</t>
  </si>
  <si>
    <t>57</t>
  </si>
  <si>
    <t>(Kč)</t>
  </si>
  <si>
    <t>Dlažba keramická 200x200x9 mm</t>
  </si>
  <si>
    <t>781101111R00</t>
  </si>
  <si>
    <t>22</t>
  </si>
  <si>
    <t>Potěr ze SMS Knauf, ruční zpracování, tl. do 50 mm</t>
  </si>
  <si>
    <t>Územní vlivy</t>
  </si>
  <si>
    <t>m3</t>
  </si>
  <si>
    <t>DPH 12%</t>
  </si>
  <si>
    <t>Datum:</t>
  </si>
  <si>
    <t>27</t>
  </si>
  <si>
    <t>37</t>
  </si>
  <si>
    <t>80</t>
  </si>
  <si>
    <t>m2</t>
  </si>
  <si>
    <t>41</t>
  </si>
  <si>
    <t>Přesun hmot a sutí</t>
  </si>
  <si>
    <t>NUS z rozpočtu</t>
  </si>
  <si>
    <t>Výkaz výměr</t>
  </si>
  <si>
    <t>Provedení bandáže koutů</t>
  </si>
  <si>
    <t>1</t>
  </si>
  <si>
    <t>7</t>
  </si>
  <si>
    <t>Rozměry</t>
  </si>
  <si>
    <t>1,15*0,9*2+1,15*1,1</t>
  </si>
  <si>
    <t>771575109R00</t>
  </si>
  <si>
    <t>74</t>
  </si>
  <si>
    <t>Položek:</t>
  </si>
  <si>
    <t>Baterie umyvadlová nástěnná ruční</t>
  </si>
  <si>
    <t>NUS celkem</t>
  </si>
  <si>
    <t>WORK</t>
  </si>
  <si>
    <t>979082111R00</t>
  </si>
  <si>
    <t>771_</t>
  </si>
  <si>
    <t>725292011R00</t>
  </si>
  <si>
    <t>Ostatní rozpočtové náklady ORN</t>
  </si>
  <si>
    <t>Demontáž prahů dveří 1křídlových</t>
  </si>
  <si>
    <t xml:space="preserve"> DTD dveře 600 x 1970 světlý dub HPL WC kování</t>
  </si>
  <si>
    <t>47</t>
  </si>
  <si>
    <t>735</t>
  </si>
  <si>
    <t>HSV mat</t>
  </si>
  <si>
    <t>Kč</t>
  </si>
  <si>
    <t>M21_</t>
  </si>
  <si>
    <t>66</t>
  </si>
  <si>
    <t>Celkem VRN</t>
  </si>
  <si>
    <t>Bourací a pomocné práce elektroinstalací</t>
  </si>
  <si>
    <t>Benešov; ZŠ Dukelská</t>
  </si>
  <si>
    <t>29.02.2024</t>
  </si>
  <si>
    <t>Ostatní rozpočtové náklady (ORN)</t>
  </si>
  <si>
    <t>Obkládačka keramická do 20 ks/m2</t>
  </si>
  <si>
    <t>Celkem DN</t>
  </si>
  <si>
    <t>771111131R00</t>
  </si>
  <si>
    <t>M65_</t>
  </si>
  <si>
    <t>Zkrácený popis</t>
  </si>
  <si>
    <t>59781346</t>
  </si>
  <si>
    <t>28</t>
  </si>
  <si>
    <t>771</t>
  </si>
  <si>
    <t>CELK</t>
  </si>
  <si>
    <t>Přesun hmot pro zařizovací předměty, výšky do 6 m</t>
  </si>
  <si>
    <t>784195212R00</t>
  </si>
  <si>
    <t>65</t>
  </si>
  <si>
    <t>14,35</t>
  </si>
  <si>
    <t>Demontáž klozetů kombinovaných</t>
  </si>
  <si>
    <t>34</t>
  </si>
  <si>
    <t>62</t>
  </si>
  <si>
    <t>Doplňkové náklady DN</t>
  </si>
  <si>
    <t>(1,15*6+0,9*4+1,1*2)*2,15*2-0,6*2*6</t>
  </si>
  <si>
    <t>Uzavření topného okruhu zamražením</t>
  </si>
  <si>
    <t>132,8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</si>
</sst>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i/>
      <sz val="9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i/>
      <sz val="9"/>
      <color rgb="FF000000"/>
      <name val="Arial"/>
      <family val="0"/>
    </font>
    <font>
      <b/>
      <sz val="20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7">
    <xf numFmtId="0" fontId="1" fillId="0" borderId="0" xfId="0" applyNumberFormat="1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6" fillId="33" borderId="12" xfId="0" applyNumberFormat="1" applyFont="1" applyFill="1" applyBorder="1" applyAlignment="1" applyProtection="1">
      <alignment horizontal="right" vertical="center"/>
      <protection/>
    </xf>
    <xf numFmtId="0" fontId="46" fillId="33" borderId="13" xfId="0" applyNumberFormat="1" applyFont="1" applyFill="1" applyBorder="1" applyAlignment="1" applyProtection="1">
      <alignment horizontal="left" vertical="center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46" fillId="33" borderId="12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4" fontId="49" fillId="0" borderId="17" xfId="0" applyNumberFormat="1" applyFont="1" applyFill="1" applyBorder="1" applyAlignment="1" applyProtection="1">
      <alignment horizontal="righ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4" fontId="47" fillId="0" borderId="15" xfId="0" applyNumberFormat="1" applyFont="1" applyFill="1" applyBorder="1" applyAlignment="1" applyProtection="1">
      <alignment horizontal="right" vertical="center"/>
      <protection/>
    </xf>
    <xf numFmtId="4" fontId="51" fillId="0" borderId="18" xfId="0" applyNumberFormat="1" applyFont="1" applyFill="1" applyBorder="1" applyAlignment="1" applyProtection="1">
      <alignment horizontal="righ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4" fontId="48" fillId="33" borderId="19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20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7" fillId="33" borderId="13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center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22" xfId="0" applyNumberFormat="1" applyFont="1" applyFill="1" applyBorder="1" applyAlignment="1" applyProtection="1">
      <alignment horizontal="center" vertical="center"/>
      <protection/>
    </xf>
    <xf numFmtId="4" fontId="47" fillId="0" borderId="12" xfId="0" applyNumberFormat="1" applyFont="1" applyFill="1" applyBorder="1" applyAlignment="1" applyProtection="1">
      <alignment horizontal="right" vertical="center"/>
      <protection/>
    </xf>
    <xf numFmtId="4" fontId="49" fillId="0" borderId="12" xfId="0" applyNumberFormat="1" applyFont="1" applyFill="1" applyBorder="1" applyAlignment="1" applyProtection="1">
      <alignment horizontal="right" vertical="center"/>
      <protection/>
    </xf>
    <xf numFmtId="4" fontId="49" fillId="0" borderId="15" xfId="0" applyNumberFormat="1" applyFont="1" applyFill="1" applyBorder="1" applyAlignment="1" applyProtection="1">
      <alignment horizontal="right" vertical="center"/>
      <protection/>
    </xf>
    <xf numFmtId="0" fontId="46" fillId="0" borderId="23" xfId="0" applyNumberFormat="1" applyFont="1" applyFill="1" applyBorder="1" applyAlignment="1" applyProtection="1">
      <alignment horizontal="left" vertical="center"/>
      <protection/>
    </xf>
    <xf numFmtId="0" fontId="51" fillId="0" borderId="18" xfId="0" applyNumberFormat="1" applyFont="1" applyFill="1" applyBorder="1" applyAlignment="1" applyProtection="1">
      <alignment horizontal="left" vertical="center"/>
      <protection/>
    </xf>
    <xf numFmtId="4" fontId="46" fillId="0" borderId="16" xfId="0" applyNumberFormat="1" applyFont="1" applyFill="1" applyBorder="1" applyAlignment="1" applyProtection="1">
      <alignment horizontal="right" vertical="center"/>
      <protection/>
    </xf>
    <xf numFmtId="0" fontId="52" fillId="33" borderId="24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center" vertical="center"/>
      <protection/>
    </xf>
    <xf numFmtId="0" fontId="48" fillId="0" borderId="26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33" borderId="13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center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9" fillId="0" borderId="12" xfId="0" applyNumberFormat="1" applyFont="1" applyFill="1" applyBorder="1" applyAlignment="1" applyProtection="1">
      <alignment horizontal="right" vertical="center"/>
      <protection/>
    </xf>
    <xf numFmtId="4" fontId="51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13" xfId="0" applyNumberFormat="1" applyFont="1" applyFill="1" applyBorder="1" applyAlignment="1" applyProtection="1">
      <alignment horizontal="left" vertical="center"/>
      <protection/>
    </xf>
    <xf numFmtId="0" fontId="52" fillId="33" borderId="19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4" fontId="49" fillId="0" borderId="19" xfId="0" applyNumberFormat="1" applyFont="1" applyFill="1" applyBorder="1" applyAlignment="1" applyProtection="1">
      <alignment horizontal="right" vertical="center"/>
      <protection/>
    </xf>
    <xf numFmtId="0" fontId="46" fillId="0" borderId="29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5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6" fillId="0" borderId="30" xfId="0" applyNumberFormat="1" applyFont="1" applyFill="1" applyBorder="1" applyAlignment="1" applyProtection="1">
      <alignment horizontal="right" vertical="center"/>
      <protection/>
    </xf>
    <xf numFmtId="0" fontId="46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4" fontId="47" fillId="0" borderId="18" xfId="0" applyNumberFormat="1" applyFont="1" applyFill="1" applyBorder="1" applyAlignment="1" applyProtection="1">
      <alignment horizontal="right" vertical="center"/>
      <protection/>
    </xf>
    <xf numFmtId="0" fontId="47" fillId="0" borderId="32" xfId="0" applyNumberFormat="1" applyFont="1" applyFill="1" applyBorder="1" applyAlignment="1" applyProtection="1">
      <alignment horizontal="left" vertical="center"/>
      <protection/>
    </xf>
    <xf numFmtId="4" fontId="48" fillId="33" borderId="15" xfId="0" applyNumberFormat="1" applyFont="1" applyFill="1" applyBorder="1" applyAlignment="1" applyProtection="1">
      <alignment horizontal="right" vertical="center"/>
      <protection/>
    </xf>
    <xf numFmtId="0" fontId="49" fillId="0" borderId="22" xfId="0" applyNumberFormat="1" applyFont="1" applyFill="1" applyBorder="1" applyAlignment="1" applyProtection="1">
      <alignment horizontal="left" vertical="center"/>
      <protection/>
    </xf>
    <xf numFmtId="0" fontId="49" fillId="0" borderId="33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34" xfId="0" applyNumberFormat="1" applyFont="1" applyFill="1" applyBorder="1" applyAlignment="1" applyProtection="1">
      <alignment horizontal="left" vertical="center"/>
      <protection/>
    </xf>
    <xf numFmtId="0" fontId="49" fillId="0" borderId="35" xfId="0" applyNumberFormat="1" applyFont="1" applyFill="1" applyBorder="1" applyAlignment="1" applyProtection="1">
      <alignment horizontal="left" vertical="center"/>
      <protection/>
    </xf>
    <xf numFmtId="0" fontId="49" fillId="0" borderId="31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36" xfId="0" applyNumberFormat="1" applyFont="1" applyFill="1" applyBorder="1" applyAlignment="1" applyProtection="1">
      <alignment horizontal="left" vertical="center"/>
      <protection/>
    </xf>
    <xf numFmtId="0" fontId="49" fillId="0" borderId="37" xfId="0" applyNumberFormat="1" applyFont="1" applyFill="1" applyBorder="1" applyAlignment="1" applyProtection="1">
      <alignment horizontal="left" vertical="center"/>
      <protection/>
    </xf>
    <xf numFmtId="0" fontId="49" fillId="0" borderId="38" xfId="0" applyNumberFormat="1" applyFont="1" applyFill="1" applyBorder="1" applyAlignment="1" applyProtection="1">
      <alignment horizontal="left" vertical="center"/>
      <protection/>
    </xf>
    <xf numFmtId="0" fontId="48" fillId="33" borderId="39" xfId="0" applyNumberFormat="1" applyFont="1" applyFill="1" applyBorder="1" applyAlignment="1" applyProtection="1">
      <alignment horizontal="left" vertical="center"/>
      <protection/>
    </xf>
    <xf numFmtId="0" fontId="48" fillId="33" borderId="40" xfId="0" applyNumberFormat="1" applyFont="1" applyFill="1" applyBorder="1" applyAlignment="1" applyProtection="1">
      <alignment horizontal="left" vertical="center"/>
      <protection/>
    </xf>
    <xf numFmtId="0" fontId="48" fillId="33" borderId="10" xfId="0" applyNumberFormat="1" applyFont="1" applyFill="1" applyBorder="1" applyAlignment="1" applyProtection="1">
      <alignment horizontal="left" vertical="center"/>
      <protection/>
    </xf>
    <xf numFmtId="0" fontId="48" fillId="33" borderId="18" xfId="0" applyNumberFormat="1" applyFont="1" applyFill="1" applyBorder="1" applyAlignment="1" applyProtection="1">
      <alignment horizontal="left" vertical="center"/>
      <protection/>
    </xf>
    <xf numFmtId="0" fontId="49" fillId="0" borderId="18" xfId="0" applyNumberFormat="1" applyFont="1" applyFill="1" applyBorder="1" applyAlignment="1" applyProtection="1">
      <alignment horizontal="left" vertical="center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40" xfId="0" applyNumberFormat="1" applyFont="1" applyFill="1" applyBorder="1" applyAlignment="1" applyProtection="1">
      <alignment horizontal="left" vertical="center"/>
      <protection/>
    </xf>
    <xf numFmtId="0" fontId="48" fillId="0" borderId="19" xfId="0" applyNumberFormat="1" applyFont="1" applyFill="1" applyBorder="1" applyAlignment="1" applyProtection="1">
      <alignment horizontal="left" vertical="center"/>
      <protection/>
    </xf>
    <xf numFmtId="0" fontId="48" fillId="0" borderId="18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0" fontId="53" fillId="0" borderId="40" xfId="0" applyNumberFormat="1" applyFont="1" applyFill="1" applyBorder="1" applyAlignment="1" applyProtection="1">
      <alignment horizontal="left" vertical="center"/>
      <protection/>
    </xf>
    <xf numFmtId="0" fontId="53" fillId="0" borderId="19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39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1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 wrapText="1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42" xfId="0" applyNumberFormat="1" applyFont="1" applyFill="1" applyBorder="1" applyAlignment="1" applyProtection="1">
      <alignment horizontal="left" vertical="center" wrapText="1"/>
      <protection/>
    </xf>
    <xf numFmtId="0" fontId="47" fillId="0" borderId="42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6" fillId="0" borderId="42" xfId="0" applyNumberFormat="1" applyFont="1" applyFill="1" applyBorder="1" applyAlignment="1" applyProtection="1">
      <alignment horizontal="left" vertical="center" wrapText="1"/>
      <protection/>
    </xf>
    <xf numFmtId="0" fontId="46" fillId="0" borderId="42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43" xfId="0" applyNumberFormat="1" applyFont="1" applyFill="1" applyBorder="1" applyAlignment="1" applyProtection="1">
      <alignment horizontal="left" vertical="center" wrapText="1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18" xfId="0" applyNumberFormat="1" applyFont="1" applyFill="1" applyBorder="1" applyAlignment="1" applyProtection="1">
      <alignment horizontal="left" vertical="center"/>
      <protection/>
    </xf>
    <xf numFmtId="0" fontId="46" fillId="0" borderId="29" xfId="0" applyNumberFormat="1" applyFont="1" applyFill="1" applyBorder="1" applyAlignment="1" applyProtection="1">
      <alignment horizontal="left" vertical="center"/>
      <protection/>
    </xf>
    <xf numFmtId="0" fontId="46" fillId="0" borderId="23" xfId="0" applyNumberFormat="1" applyFont="1" applyFill="1" applyBorder="1" applyAlignment="1" applyProtection="1">
      <alignment horizontal="left" vertical="center"/>
      <protection/>
    </xf>
    <xf numFmtId="0" fontId="46" fillId="0" borderId="44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44" xfId="0" applyNumberFormat="1" applyFont="1" applyFill="1" applyBorder="1" applyAlignment="1" applyProtection="1">
      <alignment horizontal="left" vertical="center"/>
      <protection/>
    </xf>
    <xf numFmtId="0" fontId="48" fillId="0" borderId="29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4" fontId="48" fillId="0" borderId="29" xfId="0" applyNumberFormat="1" applyFont="1" applyFill="1" applyBorder="1" applyAlignment="1" applyProtection="1">
      <alignment horizontal="right" vertical="center"/>
      <protection/>
    </xf>
    <xf numFmtId="0" fontId="48" fillId="0" borderId="29" xfId="0" applyNumberFormat="1" applyFont="1" applyFill="1" applyBorder="1" applyAlignment="1" applyProtection="1">
      <alignment horizontal="right" vertical="center"/>
      <protection/>
    </xf>
    <xf numFmtId="0" fontId="48" fillId="0" borderId="16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45" xfId="0" applyNumberFormat="1" applyFont="1" applyFill="1" applyBorder="1" applyAlignment="1" applyProtection="1">
      <alignment horizontal="left" vertical="center"/>
      <protection/>
    </xf>
    <xf numFmtId="0" fontId="46" fillId="0" borderId="46" xfId="0" applyNumberFormat="1" applyFont="1" applyFill="1" applyBorder="1" applyAlignment="1" applyProtection="1">
      <alignment horizontal="left" vertical="center"/>
      <protection/>
    </xf>
    <xf numFmtId="0" fontId="46" fillId="0" borderId="30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K16" sqref="K1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0" t="s">
        <v>94</v>
      </c>
      <c r="B1" s="111"/>
      <c r="C1" s="111"/>
      <c r="D1" s="111"/>
      <c r="E1" s="111"/>
      <c r="F1" s="111"/>
      <c r="G1" s="111"/>
      <c r="H1" s="111"/>
      <c r="I1" s="111"/>
    </row>
    <row r="2" spans="1:9" ht="15" customHeight="1">
      <c r="A2" s="112" t="s">
        <v>25</v>
      </c>
      <c r="B2" s="105"/>
      <c r="C2" s="107" t="str">
        <f>'Stavební rozpočet'!C2</f>
        <v>Stavební úpravy WC tělocvična</v>
      </c>
      <c r="D2" s="108"/>
      <c r="E2" s="104" t="s">
        <v>327</v>
      </c>
      <c r="F2" s="104" t="str">
        <f>'Stavební rozpočet'!I2</f>
        <v>Město Benešov Masarykovo náměstí 100, 256 01  Bene</v>
      </c>
      <c r="G2" s="105"/>
      <c r="H2" s="104" t="s">
        <v>252</v>
      </c>
      <c r="I2" s="98" t="s">
        <v>61</v>
      </c>
    </row>
    <row r="3" spans="1:9" ht="15" customHeight="1">
      <c r="A3" s="113"/>
      <c r="B3" s="77"/>
      <c r="C3" s="109"/>
      <c r="D3" s="109"/>
      <c r="E3" s="77"/>
      <c r="F3" s="77"/>
      <c r="G3" s="77"/>
      <c r="H3" s="77"/>
      <c r="I3" s="99"/>
    </row>
    <row r="4" spans="1:9" ht="15" customHeight="1">
      <c r="A4" s="114" t="s">
        <v>214</v>
      </c>
      <c r="B4" s="77"/>
      <c r="C4" s="76" t="str">
        <f>'Stavební rozpočet'!C4</f>
        <v> </v>
      </c>
      <c r="D4" s="77"/>
      <c r="E4" s="76" t="s">
        <v>267</v>
      </c>
      <c r="F4" s="76" t="str">
        <f>'Stavební rozpočet'!I4</f>
        <v> </v>
      </c>
      <c r="G4" s="77"/>
      <c r="H4" s="76" t="s">
        <v>252</v>
      </c>
      <c r="I4" s="99" t="s">
        <v>268</v>
      </c>
    </row>
    <row r="5" spans="1:9" ht="15" customHeight="1">
      <c r="A5" s="113"/>
      <c r="B5" s="77"/>
      <c r="C5" s="77"/>
      <c r="D5" s="77"/>
      <c r="E5" s="77"/>
      <c r="F5" s="77"/>
      <c r="G5" s="77"/>
      <c r="H5" s="77"/>
      <c r="I5" s="99"/>
    </row>
    <row r="6" spans="1:9" ht="15" customHeight="1">
      <c r="A6" s="114" t="s">
        <v>32</v>
      </c>
      <c r="B6" s="77"/>
      <c r="C6" s="76" t="str">
        <f>'Stavební rozpočet'!C6</f>
        <v>Benešov; ZŠ Dukelská</v>
      </c>
      <c r="D6" s="77"/>
      <c r="E6" s="76" t="s">
        <v>340</v>
      </c>
      <c r="F6" s="76" t="str">
        <f>'Stavební rozpočet'!I6</f>
        <v> </v>
      </c>
      <c r="G6" s="77"/>
      <c r="H6" s="76" t="s">
        <v>252</v>
      </c>
      <c r="I6" s="99" t="s">
        <v>268</v>
      </c>
    </row>
    <row r="7" spans="1:9" ht="15" customHeight="1">
      <c r="A7" s="113"/>
      <c r="B7" s="77"/>
      <c r="C7" s="77"/>
      <c r="D7" s="77"/>
      <c r="E7" s="77"/>
      <c r="F7" s="77"/>
      <c r="G7" s="77"/>
      <c r="H7" s="77"/>
      <c r="I7" s="99"/>
    </row>
    <row r="8" spans="1:9" ht="15" customHeight="1">
      <c r="A8" s="114" t="s">
        <v>350</v>
      </c>
      <c r="B8" s="77"/>
      <c r="C8" s="76" t="str">
        <f>'Stavební rozpočet'!G4</f>
        <v> </v>
      </c>
      <c r="D8" s="77"/>
      <c r="E8" s="76" t="s">
        <v>132</v>
      </c>
      <c r="F8" s="76" t="str">
        <f>'Stavební rozpočet'!G6</f>
        <v> </v>
      </c>
      <c r="G8" s="77"/>
      <c r="H8" s="77" t="s">
        <v>394</v>
      </c>
      <c r="I8" s="100">
        <v>82</v>
      </c>
    </row>
    <row r="9" spans="1:9" ht="15" customHeight="1">
      <c r="A9" s="113"/>
      <c r="B9" s="77"/>
      <c r="C9" s="77"/>
      <c r="D9" s="77"/>
      <c r="E9" s="77"/>
      <c r="F9" s="77"/>
      <c r="G9" s="77"/>
      <c r="H9" s="77"/>
      <c r="I9" s="99"/>
    </row>
    <row r="10" spans="1:9" ht="15" customHeight="1">
      <c r="A10" s="114" t="s">
        <v>195</v>
      </c>
      <c r="B10" s="77"/>
      <c r="C10" s="76" t="str">
        <f>'Stavební rozpočet'!C8</f>
        <v> </v>
      </c>
      <c r="D10" s="77"/>
      <c r="E10" s="76" t="s">
        <v>258</v>
      </c>
      <c r="F10" s="76" t="str">
        <f>'Stavební rozpočet'!I8</f>
        <v> </v>
      </c>
      <c r="G10" s="77"/>
      <c r="H10" s="77" t="s">
        <v>378</v>
      </c>
      <c r="I10" s="101" t="str">
        <f>'Stavební rozpočet'!G8</f>
        <v>29.02.2024</v>
      </c>
    </row>
    <row r="11" spans="1:9" ht="15" customHeight="1">
      <c r="A11" s="115"/>
      <c r="B11" s="106"/>
      <c r="C11" s="106"/>
      <c r="D11" s="106"/>
      <c r="E11" s="106"/>
      <c r="F11" s="106"/>
      <c r="G11" s="106"/>
      <c r="H11" s="106"/>
      <c r="I11" s="102"/>
    </row>
    <row r="12" spans="1:9" ht="22.5" customHeight="1">
      <c r="A12" s="103" t="s">
        <v>66</v>
      </c>
      <c r="B12" s="103"/>
      <c r="C12" s="103"/>
      <c r="D12" s="103"/>
      <c r="E12" s="103"/>
      <c r="F12" s="103"/>
      <c r="G12" s="103"/>
      <c r="H12" s="103"/>
      <c r="I12" s="103"/>
    </row>
    <row r="13" spans="1:9" ht="26.25" customHeight="1">
      <c r="A13" s="37" t="s">
        <v>353</v>
      </c>
      <c r="B13" s="93" t="s">
        <v>51</v>
      </c>
      <c r="C13" s="94"/>
      <c r="D13" s="50" t="s">
        <v>72</v>
      </c>
      <c r="E13" s="93" t="s">
        <v>149</v>
      </c>
      <c r="F13" s="94"/>
      <c r="G13" s="50" t="s">
        <v>246</v>
      </c>
      <c r="H13" s="93" t="s">
        <v>73</v>
      </c>
      <c r="I13" s="94"/>
    </row>
    <row r="14" spans="1:9" ht="15" customHeight="1">
      <c r="A14" s="41" t="s">
        <v>152</v>
      </c>
      <c r="B14" s="10" t="s">
        <v>104</v>
      </c>
      <c r="C14" s="33">
        <f>SUM('Stavební rozpočet'!AB12:AB106)</f>
        <v>0</v>
      </c>
      <c r="D14" s="85" t="s">
        <v>358</v>
      </c>
      <c r="E14" s="86"/>
      <c r="F14" s="33">
        <f>VORN!I15</f>
        <v>0</v>
      </c>
      <c r="G14" s="85" t="s">
        <v>40</v>
      </c>
      <c r="H14" s="86"/>
      <c r="I14" s="57">
        <f>VORN!I21</f>
        <v>0</v>
      </c>
    </row>
    <row r="15" spans="1:9" ht="15" customHeight="1">
      <c r="A15" s="3" t="s">
        <v>268</v>
      </c>
      <c r="B15" s="10" t="s">
        <v>76</v>
      </c>
      <c r="C15" s="33">
        <f>SUM('Stavební rozpočet'!AC12:AC106)</f>
        <v>0</v>
      </c>
      <c r="D15" s="85" t="s">
        <v>268</v>
      </c>
      <c r="E15" s="86"/>
      <c r="F15" s="33">
        <f>VORN!I16</f>
        <v>0</v>
      </c>
      <c r="G15" s="85" t="s">
        <v>311</v>
      </c>
      <c r="H15" s="86"/>
      <c r="I15" s="57">
        <f>VORN!I22</f>
        <v>0</v>
      </c>
    </row>
    <row r="16" spans="1:9" ht="15" customHeight="1">
      <c r="A16" s="41" t="s">
        <v>36</v>
      </c>
      <c r="B16" s="10" t="s">
        <v>104</v>
      </c>
      <c r="C16" s="33">
        <f>SUM('Stavební rozpočet'!AD12:AD106)</f>
        <v>0</v>
      </c>
      <c r="D16" s="85" t="s">
        <v>268</v>
      </c>
      <c r="E16" s="86"/>
      <c r="F16" s="33">
        <f>VORN!I17</f>
        <v>0</v>
      </c>
      <c r="G16" s="85" t="s">
        <v>375</v>
      </c>
      <c r="H16" s="86"/>
      <c r="I16" s="57">
        <f>VORN!I23</f>
        <v>0</v>
      </c>
    </row>
    <row r="17" spans="1:9" ht="15" customHeight="1">
      <c r="A17" s="3" t="s">
        <v>268</v>
      </c>
      <c r="B17" s="10" t="s">
        <v>76</v>
      </c>
      <c r="C17" s="33">
        <f>SUM('Stavební rozpočet'!AE12:AE106)</f>
        <v>0</v>
      </c>
      <c r="D17" s="85" t="s">
        <v>268</v>
      </c>
      <c r="E17" s="86"/>
      <c r="F17" s="57" t="s">
        <v>268</v>
      </c>
      <c r="G17" s="85" t="s">
        <v>207</v>
      </c>
      <c r="H17" s="86"/>
      <c r="I17" s="57">
        <f>VORN!I24</f>
        <v>0</v>
      </c>
    </row>
    <row r="18" spans="1:9" ht="15" customHeight="1">
      <c r="A18" s="41" t="s">
        <v>125</v>
      </c>
      <c r="B18" s="10" t="s">
        <v>104</v>
      </c>
      <c r="C18" s="33">
        <f>SUM('Stavební rozpočet'!AF12:AF106)</f>
        <v>0</v>
      </c>
      <c r="D18" s="85" t="s">
        <v>268</v>
      </c>
      <c r="E18" s="86"/>
      <c r="F18" s="57" t="s">
        <v>268</v>
      </c>
      <c r="G18" s="85" t="s">
        <v>253</v>
      </c>
      <c r="H18" s="86"/>
      <c r="I18" s="57">
        <f>VORN!I25</f>
        <v>0</v>
      </c>
    </row>
    <row r="19" spans="1:9" ht="15" customHeight="1">
      <c r="A19" s="3" t="s">
        <v>268</v>
      </c>
      <c r="B19" s="10" t="s">
        <v>76</v>
      </c>
      <c r="C19" s="33">
        <f>SUM('Stavební rozpočet'!AG12:AG106)</f>
        <v>0</v>
      </c>
      <c r="D19" s="85" t="s">
        <v>268</v>
      </c>
      <c r="E19" s="86"/>
      <c r="F19" s="57" t="s">
        <v>268</v>
      </c>
      <c r="G19" s="85" t="s">
        <v>385</v>
      </c>
      <c r="H19" s="86"/>
      <c r="I19" s="57">
        <f>VORN!I26</f>
        <v>0</v>
      </c>
    </row>
    <row r="20" spans="1:9" ht="15" customHeight="1">
      <c r="A20" s="92" t="s">
        <v>26</v>
      </c>
      <c r="B20" s="91"/>
      <c r="C20" s="33">
        <f>SUM('Stavební rozpočet'!AH12:AH106)</f>
        <v>0</v>
      </c>
      <c r="D20" s="85" t="s">
        <v>268</v>
      </c>
      <c r="E20" s="86"/>
      <c r="F20" s="57" t="s">
        <v>268</v>
      </c>
      <c r="G20" s="85" t="s">
        <v>268</v>
      </c>
      <c r="H20" s="86"/>
      <c r="I20" s="57" t="s">
        <v>268</v>
      </c>
    </row>
    <row r="21" spans="1:9" ht="15" customHeight="1">
      <c r="A21" s="95" t="s">
        <v>384</v>
      </c>
      <c r="B21" s="96"/>
      <c r="C21" s="32">
        <f>SUM('Stavební rozpočet'!Z12:Z106)</f>
        <v>0</v>
      </c>
      <c r="D21" s="72" t="s">
        <v>268</v>
      </c>
      <c r="E21" s="87"/>
      <c r="F21" s="47" t="s">
        <v>268</v>
      </c>
      <c r="G21" s="72" t="s">
        <v>268</v>
      </c>
      <c r="H21" s="87"/>
      <c r="I21" s="47" t="s">
        <v>268</v>
      </c>
    </row>
    <row r="22" spans="1:9" ht="16.5" customHeight="1">
      <c r="A22" s="97" t="s">
        <v>78</v>
      </c>
      <c r="B22" s="89"/>
      <c r="C22" s="52">
        <f>ROUND(SUM(C14:C21),0)</f>
        <v>0</v>
      </c>
      <c r="D22" s="88" t="s">
        <v>202</v>
      </c>
      <c r="E22" s="89"/>
      <c r="F22" s="52">
        <f>SUM(F14:F21)</f>
        <v>0</v>
      </c>
      <c r="G22" s="88" t="s">
        <v>396</v>
      </c>
      <c r="H22" s="89"/>
      <c r="I22" s="52">
        <f>SUM(I14:I21)</f>
        <v>0</v>
      </c>
    </row>
    <row r="23" spans="4:9" ht="15" customHeight="1">
      <c r="D23" s="92" t="s">
        <v>314</v>
      </c>
      <c r="E23" s="91"/>
      <c r="F23" s="15">
        <v>0</v>
      </c>
      <c r="G23" s="90" t="s">
        <v>18</v>
      </c>
      <c r="H23" s="91"/>
      <c r="I23" s="33">
        <v>0</v>
      </c>
    </row>
    <row r="24" spans="7:9" ht="15" customHeight="1">
      <c r="G24" s="92" t="s">
        <v>236</v>
      </c>
      <c r="H24" s="91"/>
      <c r="I24" s="32">
        <f>vorn_sum</f>
        <v>0</v>
      </c>
    </row>
    <row r="25" spans="7:9" ht="15" customHeight="1">
      <c r="G25" s="92" t="s">
        <v>126</v>
      </c>
      <c r="H25" s="91"/>
      <c r="I25" s="52">
        <v>0</v>
      </c>
    </row>
    <row r="27" spans="1:3" ht="15" customHeight="1">
      <c r="A27" s="81" t="s">
        <v>165</v>
      </c>
      <c r="B27" s="82"/>
      <c r="C27" s="21">
        <f>ROUND(SUM('Stavební rozpočet'!AJ12:AJ106),0)</f>
        <v>0</v>
      </c>
    </row>
    <row r="28" spans="1:9" ht="15" customHeight="1">
      <c r="A28" s="83" t="s">
        <v>325</v>
      </c>
      <c r="B28" s="84"/>
      <c r="C28" s="69">
        <f>ROUND(SUM('Stavební rozpočet'!AK12:AK106),0)</f>
        <v>0</v>
      </c>
      <c r="D28" s="82" t="s">
        <v>377</v>
      </c>
      <c r="E28" s="82"/>
      <c r="F28" s="21">
        <f>ROUND(C28*(12/100),2)</f>
        <v>0</v>
      </c>
      <c r="G28" s="82" t="s">
        <v>58</v>
      </c>
      <c r="H28" s="82"/>
      <c r="I28" s="21">
        <f>ROUND(SUM(C27:C29),0)</f>
        <v>0</v>
      </c>
    </row>
    <row r="29" spans="1:9" ht="15" customHeight="1">
      <c r="A29" s="83" t="s">
        <v>14</v>
      </c>
      <c r="B29" s="84"/>
      <c r="C29" s="69">
        <f>ROUND(SUM('Stavební rozpočet'!AL12:AL106)+(F22+I22+F23+I23+I24+I25),0)</f>
        <v>0</v>
      </c>
      <c r="D29" s="84" t="s">
        <v>291</v>
      </c>
      <c r="E29" s="84"/>
      <c r="F29" s="69">
        <f>ROUND(C29*(21/100),2)</f>
        <v>0</v>
      </c>
      <c r="G29" s="84" t="s">
        <v>162</v>
      </c>
      <c r="H29" s="84"/>
      <c r="I29" s="69">
        <f>SUM(F28:F29)+I28</f>
        <v>0</v>
      </c>
    </row>
    <row r="31" spans="1:9" ht="15" customHeight="1">
      <c r="A31" s="78" t="s">
        <v>6</v>
      </c>
      <c r="B31" s="70"/>
      <c r="C31" s="71"/>
      <c r="D31" s="70" t="s">
        <v>368</v>
      </c>
      <c r="E31" s="70"/>
      <c r="F31" s="71"/>
      <c r="G31" s="70" t="s">
        <v>265</v>
      </c>
      <c r="H31" s="70"/>
      <c r="I31" s="71"/>
    </row>
    <row r="32" spans="1:9" ht="15" customHeight="1">
      <c r="A32" s="79" t="s">
        <v>268</v>
      </c>
      <c r="B32" s="72"/>
      <c r="C32" s="73"/>
      <c r="D32" s="72" t="s">
        <v>268</v>
      </c>
      <c r="E32" s="72"/>
      <c r="F32" s="73"/>
      <c r="G32" s="72" t="s">
        <v>268</v>
      </c>
      <c r="H32" s="72"/>
      <c r="I32" s="73"/>
    </row>
    <row r="33" spans="1:9" ht="15" customHeight="1">
      <c r="A33" s="79" t="s">
        <v>268</v>
      </c>
      <c r="B33" s="72"/>
      <c r="C33" s="73"/>
      <c r="D33" s="72" t="s">
        <v>268</v>
      </c>
      <c r="E33" s="72"/>
      <c r="F33" s="73"/>
      <c r="G33" s="72" t="s">
        <v>268</v>
      </c>
      <c r="H33" s="72"/>
      <c r="I33" s="73"/>
    </row>
    <row r="34" spans="1:9" ht="15" customHeight="1">
      <c r="A34" s="79" t="s">
        <v>268</v>
      </c>
      <c r="B34" s="72"/>
      <c r="C34" s="73"/>
      <c r="D34" s="72" t="s">
        <v>268</v>
      </c>
      <c r="E34" s="72"/>
      <c r="F34" s="73"/>
      <c r="G34" s="72" t="s">
        <v>268</v>
      </c>
      <c r="H34" s="72"/>
      <c r="I34" s="73"/>
    </row>
    <row r="35" spans="1:9" ht="15" customHeight="1">
      <c r="A35" s="80" t="s">
        <v>77</v>
      </c>
      <c r="B35" s="74"/>
      <c r="C35" s="75"/>
      <c r="D35" s="74" t="s">
        <v>77</v>
      </c>
      <c r="E35" s="74"/>
      <c r="F35" s="75"/>
      <c r="G35" s="74" t="s">
        <v>77</v>
      </c>
      <c r="H35" s="74"/>
      <c r="I35" s="75"/>
    </row>
    <row r="36" ht="15" customHeight="1">
      <c r="A36" s="12" t="s">
        <v>31</v>
      </c>
    </row>
    <row r="37" spans="1:9" ht="12.75" customHeight="1">
      <c r="A37" s="76" t="s">
        <v>268</v>
      </c>
      <c r="B37" s="77"/>
      <c r="C37" s="77"/>
      <c r="D37" s="77"/>
      <c r="E37" s="77"/>
      <c r="F37" s="77"/>
      <c r="G37" s="77"/>
      <c r="H37" s="77"/>
      <c r="I37" s="77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9"/>
  <sheetViews>
    <sheetView showOutlineSymbols="0" zoomScalePageLayoutView="0" workbookViewId="0" topLeftCell="A1">
      <pane ySplit="11" topLeftCell="A12" activePane="bottomLeft" state="frozen"/>
      <selection pane="topLeft" activeCell="A109" sqref="A109:M109"/>
      <selection pane="bottomLeft" activeCell="N106" sqref="N106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82.5" style="0" customWidth="1"/>
    <col min="5" max="8" width="14.16015625" style="0" customWidth="1"/>
    <col min="9" max="9" width="7.5" style="0" customWidth="1"/>
    <col min="10" max="10" width="15" style="0" customWidth="1"/>
    <col min="11" max="11" width="14" style="0" customWidth="1"/>
    <col min="12" max="12" width="18.33203125" style="0" customWidth="1"/>
    <col min="13" max="13" width="13.66015625" style="0" customWidth="1"/>
    <col min="14" max="24" width="14.16015625" style="0" customWidth="1"/>
    <col min="25" max="74" width="14.16015625" style="0" hidden="1" customWidth="1"/>
  </cols>
  <sheetData>
    <row r="1" spans="1:47" ht="54.75" customHeight="1">
      <c r="A1" s="111" t="s">
        <v>355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AS1" s="61">
        <f>SUM(AJ1:AJ2)</f>
        <v>0</v>
      </c>
      <c r="AT1" s="61">
        <f>SUM(AK1:AK2)</f>
        <v>0</v>
      </c>
      <c r="AU1" s="61">
        <f>SUM(AL1:AL2)</f>
        <v>0</v>
      </c>
    </row>
    <row r="2" spans="1:13" ht="15" customHeight="1">
      <c r="A2" s="112" t="s">
        <v>25</v>
      </c>
      <c r="B2" s="105"/>
      <c r="C2" s="107" t="s">
        <v>46</v>
      </c>
      <c r="D2" s="108"/>
      <c r="E2" s="105" t="s">
        <v>2</v>
      </c>
      <c r="F2" s="105"/>
      <c r="G2" s="105" t="s">
        <v>363</v>
      </c>
      <c r="H2" s="104" t="s">
        <v>327</v>
      </c>
      <c r="I2" s="104" t="s">
        <v>329</v>
      </c>
      <c r="J2" s="105"/>
      <c r="K2" s="105"/>
      <c r="L2" s="105"/>
      <c r="M2" s="98"/>
    </row>
    <row r="3" spans="1:13" ht="15" customHeight="1">
      <c r="A3" s="113"/>
      <c r="B3" s="77"/>
      <c r="C3" s="109"/>
      <c r="D3" s="109"/>
      <c r="E3" s="77"/>
      <c r="F3" s="77"/>
      <c r="G3" s="77"/>
      <c r="H3" s="77"/>
      <c r="I3" s="77"/>
      <c r="J3" s="77"/>
      <c r="K3" s="77"/>
      <c r="L3" s="77"/>
      <c r="M3" s="99"/>
    </row>
    <row r="4" spans="1:13" ht="15" customHeight="1">
      <c r="A4" s="114" t="s">
        <v>214</v>
      </c>
      <c r="B4" s="77"/>
      <c r="C4" s="76" t="s">
        <v>363</v>
      </c>
      <c r="D4" s="77"/>
      <c r="E4" s="77" t="s">
        <v>350</v>
      </c>
      <c r="F4" s="77"/>
      <c r="G4" s="77" t="s">
        <v>363</v>
      </c>
      <c r="H4" s="76" t="s">
        <v>267</v>
      </c>
      <c r="I4" s="77" t="s">
        <v>190</v>
      </c>
      <c r="J4" s="77"/>
      <c r="K4" s="77"/>
      <c r="L4" s="77"/>
      <c r="M4" s="99"/>
    </row>
    <row r="5" spans="1:13" ht="15" customHeight="1">
      <c r="A5" s="113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99"/>
    </row>
    <row r="6" spans="1:13" ht="15" customHeight="1">
      <c r="A6" s="114" t="s">
        <v>32</v>
      </c>
      <c r="B6" s="77"/>
      <c r="C6" s="76" t="s">
        <v>412</v>
      </c>
      <c r="D6" s="77"/>
      <c r="E6" s="77" t="s">
        <v>132</v>
      </c>
      <c r="F6" s="77"/>
      <c r="G6" s="77" t="s">
        <v>363</v>
      </c>
      <c r="H6" s="76" t="s">
        <v>340</v>
      </c>
      <c r="I6" s="77" t="s">
        <v>190</v>
      </c>
      <c r="J6" s="77"/>
      <c r="K6" s="77"/>
      <c r="L6" s="77"/>
      <c r="M6" s="99"/>
    </row>
    <row r="7" spans="1:13" ht="15" customHeight="1">
      <c r="A7" s="113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99"/>
    </row>
    <row r="8" spans="1:13" ht="15" customHeight="1">
      <c r="A8" s="114" t="s">
        <v>195</v>
      </c>
      <c r="B8" s="77"/>
      <c r="C8" s="76" t="s">
        <v>363</v>
      </c>
      <c r="D8" s="77"/>
      <c r="E8" s="77" t="s">
        <v>219</v>
      </c>
      <c r="F8" s="77"/>
      <c r="G8" s="77" t="s">
        <v>413</v>
      </c>
      <c r="H8" s="76" t="s">
        <v>258</v>
      </c>
      <c r="I8" s="77" t="s">
        <v>190</v>
      </c>
      <c r="J8" s="77"/>
      <c r="K8" s="77"/>
      <c r="L8" s="77"/>
      <c r="M8" s="99"/>
    </row>
    <row r="9" spans="1:13" ht="15" customHeight="1">
      <c r="A9" s="113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9"/>
    </row>
    <row r="10" spans="1:64" ht="15" customHeight="1">
      <c r="A10" s="6" t="s">
        <v>29</v>
      </c>
      <c r="B10" s="26" t="s">
        <v>133</v>
      </c>
      <c r="C10" s="119" t="s">
        <v>419</v>
      </c>
      <c r="D10" s="119"/>
      <c r="E10" s="119"/>
      <c r="F10" s="119"/>
      <c r="G10" s="119"/>
      <c r="H10" s="120"/>
      <c r="I10" s="26" t="s">
        <v>142</v>
      </c>
      <c r="J10" s="28" t="s">
        <v>233</v>
      </c>
      <c r="K10" s="30" t="s">
        <v>131</v>
      </c>
      <c r="L10" s="44" t="s">
        <v>247</v>
      </c>
      <c r="M10" s="28" t="s">
        <v>64</v>
      </c>
      <c r="BK10" s="42" t="s">
        <v>161</v>
      </c>
      <c r="BL10" s="38" t="s">
        <v>205</v>
      </c>
    </row>
    <row r="11" spans="1:62" ht="15" customHeight="1">
      <c r="A11" s="68" t="s">
        <v>363</v>
      </c>
      <c r="B11" s="51" t="s">
        <v>363</v>
      </c>
      <c r="C11" s="117" t="s">
        <v>390</v>
      </c>
      <c r="D11" s="117"/>
      <c r="E11" s="117"/>
      <c r="F11" s="117"/>
      <c r="G11" s="117"/>
      <c r="H11" s="118"/>
      <c r="I11" s="51" t="s">
        <v>363</v>
      </c>
      <c r="J11" s="51" t="s">
        <v>363</v>
      </c>
      <c r="K11" s="60" t="s">
        <v>370</v>
      </c>
      <c r="L11" s="64" t="s">
        <v>39</v>
      </c>
      <c r="M11" s="40" t="s">
        <v>135</v>
      </c>
      <c r="Z11" s="42" t="s">
        <v>304</v>
      </c>
      <c r="AA11" s="42" t="s">
        <v>238</v>
      </c>
      <c r="AB11" s="42" t="s">
        <v>406</v>
      </c>
      <c r="AC11" s="42" t="s">
        <v>111</v>
      </c>
      <c r="AD11" s="42" t="s">
        <v>332</v>
      </c>
      <c r="AE11" s="42" t="s">
        <v>151</v>
      </c>
      <c r="AF11" s="42" t="s">
        <v>354</v>
      </c>
      <c r="AG11" s="42" t="s">
        <v>177</v>
      </c>
      <c r="AH11" s="42" t="s">
        <v>108</v>
      </c>
      <c r="BH11" s="42" t="s">
        <v>306</v>
      </c>
      <c r="BI11" s="42" t="s">
        <v>397</v>
      </c>
      <c r="BJ11" s="42" t="s">
        <v>423</v>
      </c>
    </row>
    <row r="12" spans="1:47" ht="15" customHeight="1">
      <c r="A12" s="27" t="s">
        <v>268</v>
      </c>
      <c r="B12" s="1" t="s">
        <v>282</v>
      </c>
      <c r="C12" s="116" t="s">
        <v>279</v>
      </c>
      <c r="D12" s="116"/>
      <c r="E12" s="116"/>
      <c r="F12" s="116"/>
      <c r="G12" s="116"/>
      <c r="H12" s="116"/>
      <c r="I12" s="39" t="s">
        <v>363</v>
      </c>
      <c r="J12" s="39" t="s">
        <v>363</v>
      </c>
      <c r="K12" s="39" t="s">
        <v>363</v>
      </c>
      <c r="L12" s="24">
        <f>SUM(L13:L15)</f>
        <v>0</v>
      </c>
      <c r="M12" s="11" t="s">
        <v>268</v>
      </c>
      <c r="AI12" s="42" t="s">
        <v>268</v>
      </c>
      <c r="AS12" s="61">
        <f>SUM(AJ13:AJ15)</f>
        <v>0</v>
      </c>
      <c r="AT12" s="61">
        <f>SUM(AK13:AK15)</f>
        <v>0</v>
      </c>
      <c r="AU12" s="61">
        <f>SUM(AL13:AL15)</f>
        <v>0</v>
      </c>
    </row>
    <row r="13" spans="1:64" ht="15" customHeight="1">
      <c r="A13" s="5" t="s">
        <v>388</v>
      </c>
      <c r="B13" s="17" t="s">
        <v>330</v>
      </c>
      <c r="C13" s="77" t="s">
        <v>128</v>
      </c>
      <c r="D13" s="77"/>
      <c r="E13" s="77"/>
      <c r="F13" s="77"/>
      <c r="G13" s="77"/>
      <c r="H13" s="77"/>
      <c r="I13" s="17" t="s">
        <v>321</v>
      </c>
      <c r="J13" s="16">
        <v>20</v>
      </c>
      <c r="K13" s="16">
        <v>0</v>
      </c>
      <c r="L13" s="16">
        <f>J13*K13</f>
        <v>0</v>
      </c>
      <c r="M13" s="31">
        <v>0.00156</v>
      </c>
      <c r="Z13" s="16">
        <f>IF(AQ13="5",BJ13,0)</f>
        <v>0</v>
      </c>
      <c r="AB13" s="16">
        <f>IF(AQ13="1",BH13,0)</f>
        <v>0</v>
      </c>
      <c r="AC13" s="16">
        <f>IF(AQ13="1",BI13,0)</f>
        <v>0</v>
      </c>
      <c r="AD13" s="16">
        <f>IF(AQ13="7",BH13,0)</f>
        <v>0</v>
      </c>
      <c r="AE13" s="16">
        <f>IF(AQ13="7",BI13,0)</f>
        <v>0</v>
      </c>
      <c r="AF13" s="16">
        <f>IF(AQ13="2",BH13,0)</f>
        <v>0</v>
      </c>
      <c r="AG13" s="16">
        <f>IF(AQ13="2",BI13,0)</f>
        <v>0</v>
      </c>
      <c r="AH13" s="16">
        <f>IF(AQ13="0",BJ13,0)</f>
        <v>0</v>
      </c>
      <c r="AI13" s="42" t="s">
        <v>268</v>
      </c>
      <c r="AJ13" s="16">
        <f>IF(AN13=0,L13,0)</f>
        <v>0</v>
      </c>
      <c r="AK13" s="16">
        <f>IF(AN13=12,L13,0)</f>
        <v>0</v>
      </c>
      <c r="AL13" s="16">
        <f>IF(AN13=21,L13,0)</f>
        <v>0</v>
      </c>
      <c r="AN13" s="16">
        <v>21</v>
      </c>
      <c r="AO13" s="16">
        <f>K13*0.135771276595745</f>
        <v>0</v>
      </c>
      <c r="AP13" s="16">
        <f>K13*(1-0.135771276595745)</f>
        <v>0</v>
      </c>
      <c r="AQ13" s="56" t="s">
        <v>388</v>
      </c>
      <c r="AV13" s="16">
        <f>AW13+AX13</f>
        <v>0</v>
      </c>
      <c r="AW13" s="16">
        <f>J13*AO13</f>
        <v>0</v>
      </c>
      <c r="AX13" s="16">
        <f>J13*AP13</f>
        <v>0</v>
      </c>
      <c r="AY13" s="56" t="s">
        <v>243</v>
      </c>
      <c r="AZ13" s="56" t="s">
        <v>54</v>
      </c>
      <c r="BA13" s="42" t="s">
        <v>295</v>
      </c>
      <c r="BC13" s="16">
        <f>AW13+AX13</f>
        <v>0</v>
      </c>
      <c r="BD13" s="16">
        <f>K13/(100-BE13)*100</f>
        <v>0</v>
      </c>
      <c r="BE13" s="16">
        <v>0</v>
      </c>
      <c r="BF13" s="16">
        <f>13</f>
        <v>13</v>
      </c>
      <c r="BH13" s="16">
        <f>J13*AO13</f>
        <v>0</v>
      </c>
      <c r="BI13" s="16">
        <f>J13*AP13</f>
        <v>0</v>
      </c>
      <c r="BJ13" s="16">
        <f>J13*K13</f>
        <v>0</v>
      </c>
      <c r="BK13" s="16"/>
      <c r="BL13" s="16">
        <v>61</v>
      </c>
    </row>
    <row r="14" spans="1:64" ht="15" customHeight="1">
      <c r="A14" s="5" t="s">
        <v>266</v>
      </c>
      <c r="B14" s="17" t="s">
        <v>216</v>
      </c>
      <c r="C14" s="77" t="s">
        <v>338</v>
      </c>
      <c r="D14" s="77"/>
      <c r="E14" s="77"/>
      <c r="F14" s="77"/>
      <c r="G14" s="77"/>
      <c r="H14" s="77"/>
      <c r="I14" s="17" t="s">
        <v>382</v>
      </c>
      <c r="J14" s="16">
        <v>132.8</v>
      </c>
      <c r="K14" s="16">
        <v>0</v>
      </c>
      <c r="L14" s="16">
        <f>J14*K14</f>
        <v>0</v>
      </c>
      <c r="M14" s="31">
        <v>0</v>
      </c>
      <c r="Z14" s="16">
        <f>IF(AQ14="5",BJ14,0)</f>
        <v>0</v>
      </c>
      <c r="AB14" s="16">
        <f>IF(AQ14="1",BH14,0)</f>
        <v>0</v>
      </c>
      <c r="AC14" s="16">
        <f>IF(AQ14="1",BI14,0)</f>
        <v>0</v>
      </c>
      <c r="AD14" s="16">
        <f>IF(AQ14="7",BH14,0)</f>
        <v>0</v>
      </c>
      <c r="AE14" s="16">
        <f>IF(AQ14="7",BI14,0)</f>
        <v>0</v>
      </c>
      <c r="AF14" s="16">
        <f>IF(AQ14="2",BH14,0)</f>
        <v>0</v>
      </c>
      <c r="AG14" s="16">
        <f>IF(AQ14="2",BI14,0)</f>
        <v>0</v>
      </c>
      <c r="AH14" s="16">
        <f>IF(AQ14="0",BJ14,0)</f>
        <v>0</v>
      </c>
      <c r="AI14" s="42" t="s">
        <v>268</v>
      </c>
      <c r="AJ14" s="16">
        <f>IF(AN14=0,L14,0)</f>
        <v>0</v>
      </c>
      <c r="AK14" s="16">
        <f>IF(AN14=12,L14,0)</f>
        <v>0</v>
      </c>
      <c r="AL14" s="16">
        <f>IF(AN14=21,L14,0)</f>
        <v>0</v>
      </c>
      <c r="AN14" s="16">
        <v>21</v>
      </c>
      <c r="AO14" s="16">
        <f>K14*0</f>
        <v>0</v>
      </c>
      <c r="AP14" s="16">
        <f>K14*(1-0)</f>
        <v>0</v>
      </c>
      <c r="AQ14" s="56" t="s">
        <v>388</v>
      </c>
      <c r="AV14" s="16">
        <f>AW14+AX14</f>
        <v>0</v>
      </c>
      <c r="AW14" s="16">
        <f>J14*AO14</f>
        <v>0</v>
      </c>
      <c r="AX14" s="16">
        <f>J14*AP14</f>
        <v>0</v>
      </c>
      <c r="AY14" s="56" t="s">
        <v>243</v>
      </c>
      <c r="AZ14" s="56" t="s">
        <v>54</v>
      </c>
      <c r="BA14" s="42" t="s">
        <v>295</v>
      </c>
      <c r="BC14" s="16">
        <f>AW14+AX14</f>
        <v>0</v>
      </c>
      <c r="BD14" s="16">
        <f>K14/(100-BE14)*100</f>
        <v>0</v>
      </c>
      <c r="BE14" s="16">
        <v>0</v>
      </c>
      <c r="BF14" s="16">
        <f>14</f>
        <v>14</v>
      </c>
      <c r="BH14" s="16">
        <f>J14*AO14</f>
        <v>0</v>
      </c>
      <c r="BI14" s="16">
        <f>J14*AP14</f>
        <v>0</v>
      </c>
      <c r="BJ14" s="16">
        <f>J14*K14</f>
        <v>0</v>
      </c>
      <c r="BK14" s="16"/>
      <c r="BL14" s="16">
        <v>61</v>
      </c>
    </row>
    <row r="15" spans="1:64" ht="15" customHeight="1">
      <c r="A15" s="5" t="s">
        <v>336</v>
      </c>
      <c r="B15" s="17" t="s">
        <v>318</v>
      </c>
      <c r="C15" s="77" t="s">
        <v>374</v>
      </c>
      <c r="D15" s="77"/>
      <c r="E15" s="77"/>
      <c r="F15" s="77"/>
      <c r="G15" s="77"/>
      <c r="H15" s="77"/>
      <c r="I15" s="17" t="s">
        <v>382</v>
      </c>
      <c r="J15" s="16">
        <v>14.35</v>
      </c>
      <c r="K15" s="16">
        <v>0</v>
      </c>
      <c r="L15" s="16">
        <f>J15*K15</f>
        <v>0</v>
      </c>
      <c r="M15" s="31">
        <v>0.105</v>
      </c>
      <c r="Z15" s="16">
        <f>IF(AQ15="5",BJ15,0)</f>
        <v>0</v>
      </c>
      <c r="AB15" s="16">
        <f>IF(AQ15="1",BH15,0)</f>
        <v>0</v>
      </c>
      <c r="AC15" s="16">
        <f>IF(AQ15="1",BI15,0)</f>
        <v>0</v>
      </c>
      <c r="AD15" s="16">
        <f>IF(AQ15="7",BH15,0)</f>
        <v>0</v>
      </c>
      <c r="AE15" s="16">
        <f>IF(AQ15="7",BI15,0)</f>
        <v>0</v>
      </c>
      <c r="AF15" s="16">
        <f>IF(AQ15="2",BH15,0)</f>
        <v>0</v>
      </c>
      <c r="AG15" s="16">
        <f>IF(AQ15="2",BI15,0)</f>
        <v>0</v>
      </c>
      <c r="AH15" s="16">
        <f>IF(AQ15="0",BJ15,0)</f>
        <v>0</v>
      </c>
      <c r="AI15" s="42" t="s">
        <v>268</v>
      </c>
      <c r="AJ15" s="16">
        <f>IF(AN15=0,L15,0)</f>
        <v>0</v>
      </c>
      <c r="AK15" s="16">
        <f>IF(AN15=12,L15,0)</f>
        <v>0</v>
      </c>
      <c r="AL15" s="16">
        <f>IF(AN15=21,L15,0)</f>
        <v>0</v>
      </c>
      <c r="AN15" s="16">
        <v>21</v>
      </c>
      <c r="AO15" s="16">
        <f>K15*0.705079958907628</f>
        <v>0</v>
      </c>
      <c r="AP15" s="16">
        <f>K15*(1-0.705079958907628)</f>
        <v>0</v>
      </c>
      <c r="AQ15" s="56" t="s">
        <v>388</v>
      </c>
      <c r="AV15" s="16">
        <f>AW15+AX15</f>
        <v>0</v>
      </c>
      <c r="AW15" s="16">
        <f>J15*AO15</f>
        <v>0</v>
      </c>
      <c r="AX15" s="16">
        <f>J15*AP15</f>
        <v>0</v>
      </c>
      <c r="AY15" s="56" t="s">
        <v>243</v>
      </c>
      <c r="AZ15" s="56" t="s">
        <v>54</v>
      </c>
      <c r="BA15" s="42" t="s">
        <v>295</v>
      </c>
      <c r="BC15" s="16">
        <f>AW15+AX15</f>
        <v>0</v>
      </c>
      <c r="BD15" s="16">
        <f>K15/(100-BE15)*100</f>
        <v>0</v>
      </c>
      <c r="BE15" s="16">
        <v>0</v>
      </c>
      <c r="BF15" s="16">
        <f>15</f>
        <v>15</v>
      </c>
      <c r="BH15" s="16">
        <f>J15*AO15</f>
        <v>0</v>
      </c>
      <c r="BI15" s="16">
        <f>J15*AP15</f>
        <v>0</v>
      </c>
      <c r="BJ15" s="16">
        <f>J15*K15</f>
        <v>0</v>
      </c>
      <c r="BK15" s="16"/>
      <c r="BL15" s="16">
        <v>61</v>
      </c>
    </row>
    <row r="16" spans="1:47" ht="15" customHeight="1">
      <c r="A16" s="43" t="s">
        <v>268</v>
      </c>
      <c r="B16" s="13" t="s">
        <v>302</v>
      </c>
      <c r="C16" s="116" t="s">
        <v>331</v>
      </c>
      <c r="D16" s="116"/>
      <c r="E16" s="116"/>
      <c r="F16" s="116"/>
      <c r="G16" s="116"/>
      <c r="H16" s="116"/>
      <c r="I16" s="58" t="s">
        <v>363</v>
      </c>
      <c r="J16" s="58" t="s">
        <v>363</v>
      </c>
      <c r="K16" s="58" t="s">
        <v>363</v>
      </c>
      <c r="L16" s="61">
        <f>SUM(L17:L30)</f>
        <v>0</v>
      </c>
      <c r="M16" s="8" t="s">
        <v>268</v>
      </c>
      <c r="AI16" s="42" t="s">
        <v>268</v>
      </c>
      <c r="AS16" s="61">
        <f>SUM(AJ17:AJ30)</f>
        <v>0</v>
      </c>
      <c r="AT16" s="61">
        <f>SUM(AK17:AK30)</f>
        <v>0</v>
      </c>
      <c r="AU16" s="61">
        <f>SUM(AL17:AL30)</f>
        <v>0</v>
      </c>
    </row>
    <row r="17" spans="1:64" ht="15" customHeight="1">
      <c r="A17" s="5" t="s">
        <v>48</v>
      </c>
      <c r="B17" s="17" t="s">
        <v>307</v>
      </c>
      <c r="C17" s="77" t="s">
        <v>293</v>
      </c>
      <c r="D17" s="77"/>
      <c r="E17" s="77"/>
      <c r="F17" s="77"/>
      <c r="G17" s="77"/>
      <c r="H17" s="77"/>
      <c r="I17" s="17" t="s">
        <v>141</v>
      </c>
      <c r="J17" s="16">
        <v>6</v>
      </c>
      <c r="K17" s="16">
        <v>0</v>
      </c>
      <c r="L17" s="16">
        <f aca="true" t="shared" si="0" ref="L17:L30">J17*K17</f>
        <v>0</v>
      </c>
      <c r="M17" s="31">
        <v>0.00186</v>
      </c>
      <c r="Z17" s="16">
        <f aca="true" t="shared" si="1" ref="Z17:Z30">IF(AQ17="5",BJ17,0)</f>
        <v>0</v>
      </c>
      <c r="AB17" s="16">
        <f aca="true" t="shared" si="2" ref="AB17:AB30">IF(AQ17="1",BH17,0)</f>
        <v>0</v>
      </c>
      <c r="AC17" s="16">
        <f aca="true" t="shared" si="3" ref="AC17:AC30">IF(AQ17="1",BI17,0)</f>
        <v>0</v>
      </c>
      <c r="AD17" s="16">
        <f aca="true" t="shared" si="4" ref="AD17:AD30">IF(AQ17="7",BH17,0)</f>
        <v>0</v>
      </c>
      <c r="AE17" s="16">
        <f aca="true" t="shared" si="5" ref="AE17:AE30">IF(AQ17="7",BI17,0)</f>
        <v>0</v>
      </c>
      <c r="AF17" s="16">
        <f aca="true" t="shared" si="6" ref="AF17:AF30">IF(AQ17="2",BH17,0)</f>
        <v>0</v>
      </c>
      <c r="AG17" s="16">
        <f aca="true" t="shared" si="7" ref="AG17:AG30">IF(AQ17="2",BI17,0)</f>
        <v>0</v>
      </c>
      <c r="AH17" s="16">
        <f aca="true" t="shared" si="8" ref="AH17:AH30">IF(AQ17="0",BJ17,0)</f>
        <v>0</v>
      </c>
      <c r="AI17" s="42" t="s">
        <v>268</v>
      </c>
      <c r="AJ17" s="16">
        <f aca="true" t="shared" si="9" ref="AJ17:AJ30">IF(AN17=0,L17,0)</f>
        <v>0</v>
      </c>
      <c r="AK17" s="16">
        <f aca="true" t="shared" si="10" ref="AK17:AK30">IF(AN17=12,L17,0)</f>
        <v>0</v>
      </c>
      <c r="AL17" s="16">
        <f aca="true" t="shared" si="11" ref="AL17:AL30">IF(AN17=21,L17,0)</f>
        <v>0</v>
      </c>
      <c r="AN17" s="16">
        <v>21</v>
      </c>
      <c r="AO17" s="16">
        <f>K17*0.445679389312977</f>
        <v>0</v>
      </c>
      <c r="AP17" s="16">
        <f>K17*(1-0.445679389312977)</f>
        <v>0</v>
      </c>
      <c r="AQ17" s="56" t="s">
        <v>389</v>
      </c>
      <c r="AV17" s="16">
        <f aca="true" t="shared" si="12" ref="AV17:AV30">AW17+AX17</f>
        <v>0</v>
      </c>
      <c r="AW17" s="16">
        <f aca="true" t="shared" si="13" ref="AW17:AW30">J17*AO17</f>
        <v>0</v>
      </c>
      <c r="AX17" s="16">
        <f aca="true" t="shared" si="14" ref="AX17:AX30">J17*AP17</f>
        <v>0</v>
      </c>
      <c r="AY17" s="56" t="s">
        <v>21</v>
      </c>
      <c r="AZ17" s="56" t="s">
        <v>21</v>
      </c>
      <c r="BA17" s="42" t="s">
        <v>295</v>
      </c>
      <c r="BC17" s="16">
        <f aca="true" t="shared" si="15" ref="BC17:BC30">AW17+AX17</f>
        <v>0</v>
      </c>
      <c r="BD17" s="16">
        <f aca="true" t="shared" si="16" ref="BD17:BD30">K17/(100-BE17)*100</f>
        <v>0</v>
      </c>
      <c r="BE17" s="16">
        <v>0</v>
      </c>
      <c r="BF17" s="16">
        <f>17</f>
        <v>17</v>
      </c>
      <c r="BH17" s="16">
        <f aca="true" t="shared" si="17" ref="BH17:BH30">J17*AO17</f>
        <v>0</v>
      </c>
      <c r="BI17" s="16">
        <f aca="true" t="shared" si="18" ref="BI17:BI30">J17*AP17</f>
        <v>0</v>
      </c>
      <c r="BJ17" s="16">
        <f aca="true" t="shared" si="19" ref="BJ17:BJ30">J17*K17</f>
        <v>0</v>
      </c>
      <c r="BK17" s="16"/>
      <c r="BL17" s="16">
        <v>72</v>
      </c>
    </row>
    <row r="18" spans="1:64" ht="15" customHeight="1">
      <c r="A18" s="5" t="s">
        <v>208</v>
      </c>
      <c r="B18" s="17" t="s">
        <v>365</v>
      </c>
      <c r="C18" s="77" t="s">
        <v>362</v>
      </c>
      <c r="D18" s="77"/>
      <c r="E18" s="77"/>
      <c r="F18" s="77"/>
      <c r="G18" s="77"/>
      <c r="H18" s="77"/>
      <c r="I18" s="17" t="s">
        <v>101</v>
      </c>
      <c r="J18" s="16">
        <v>6</v>
      </c>
      <c r="K18" s="16">
        <v>0</v>
      </c>
      <c r="L18" s="16">
        <f t="shared" si="0"/>
        <v>0</v>
      </c>
      <c r="M18" s="31">
        <v>1E-05</v>
      </c>
      <c r="Z18" s="16">
        <f t="shared" si="1"/>
        <v>0</v>
      </c>
      <c r="AB18" s="16">
        <f t="shared" si="2"/>
        <v>0</v>
      </c>
      <c r="AC18" s="16">
        <f t="shared" si="3"/>
        <v>0</v>
      </c>
      <c r="AD18" s="16">
        <f t="shared" si="4"/>
        <v>0</v>
      </c>
      <c r="AE18" s="16">
        <f t="shared" si="5"/>
        <v>0</v>
      </c>
      <c r="AF18" s="16">
        <f t="shared" si="6"/>
        <v>0</v>
      </c>
      <c r="AG18" s="16">
        <f t="shared" si="7"/>
        <v>0</v>
      </c>
      <c r="AH18" s="16">
        <f t="shared" si="8"/>
        <v>0</v>
      </c>
      <c r="AI18" s="42" t="s">
        <v>268</v>
      </c>
      <c r="AJ18" s="16">
        <f t="shared" si="9"/>
        <v>0</v>
      </c>
      <c r="AK18" s="16">
        <f t="shared" si="10"/>
        <v>0</v>
      </c>
      <c r="AL18" s="16">
        <f t="shared" si="11"/>
        <v>0</v>
      </c>
      <c r="AN18" s="16">
        <v>21</v>
      </c>
      <c r="AO18" s="16">
        <f>K18*0.0105213903743316</f>
        <v>0</v>
      </c>
      <c r="AP18" s="16">
        <f>K18*(1-0.0105213903743316)</f>
        <v>0</v>
      </c>
      <c r="AQ18" s="56" t="s">
        <v>389</v>
      </c>
      <c r="AV18" s="16">
        <f t="shared" si="12"/>
        <v>0</v>
      </c>
      <c r="AW18" s="16">
        <f t="shared" si="13"/>
        <v>0</v>
      </c>
      <c r="AX18" s="16">
        <f t="shared" si="14"/>
        <v>0</v>
      </c>
      <c r="AY18" s="56" t="s">
        <v>21</v>
      </c>
      <c r="AZ18" s="56" t="s">
        <v>21</v>
      </c>
      <c r="BA18" s="42" t="s">
        <v>295</v>
      </c>
      <c r="BC18" s="16">
        <f t="shared" si="15"/>
        <v>0</v>
      </c>
      <c r="BD18" s="16">
        <f t="shared" si="16"/>
        <v>0</v>
      </c>
      <c r="BE18" s="16">
        <v>0</v>
      </c>
      <c r="BF18" s="16">
        <f>18</f>
        <v>18</v>
      </c>
      <c r="BH18" s="16">
        <f t="shared" si="17"/>
        <v>0</v>
      </c>
      <c r="BI18" s="16">
        <f t="shared" si="18"/>
        <v>0</v>
      </c>
      <c r="BJ18" s="16">
        <f t="shared" si="19"/>
        <v>0</v>
      </c>
      <c r="BK18" s="16"/>
      <c r="BL18" s="16">
        <v>72</v>
      </c>
    </row>
    <row r="19" spans="1:64" ht="15" customHeight="1">
      <c r="A19" s="5" t="s">
        <v>65</v>
      </c>
      <c r="B19" s="17" t="s">
        <v>270</v>
      </c>
      <c r="C19" s="77" t="s">
        <v>221</v>
      </c>
      <c r="D19" s="77"/>
      <c r="E19" s="77"/>
      <c r="F19" s="77"/>
      <c r="G19" s="77"/>
      <c r="H19" s="77"/>
      <c r="I19" s="17" t="s">
        <v>297</v>
      </c>
      <c r="J19" s="16">
        <v>1</v>
      </c>
      <c r="K19" s="16">
        <v>0</v>
      </c>
      <c r="L19" s="16">
        <f t="shared" si="0"/>
        <v>0</v>
      </c>
      <c r="M19" s="31">
        <v>0.00068</v>
      </c>
      <c r="Z19" s="16">
        <f t="shared" si="1"/>
        <v>0</v>
      </c>
      <c r="AB19" s="16">
        <f t="shared" si="2"/>
        <v>0</v>
      </c>
      <c r="AC19" s="16">
        <f t="shared" si="3"/>
        <v>0</v>
      </c>
      <c r="AD19" s="16">
        <f t="shared" si="4"/>
        <v>0</v>
      </c>
      <c r="AE19" s="16">
        <f t="shared" si="5"/>
        <v>0</v>
      </c>
      <c r="AF19" s="16">
        <f t="shared" si="6"/>
        <v>0</v>
      </c>
      <c r="AG19" s="16">
        <f t="shared" si="7"/>
        <v>0</v>
      </c>
      <c r="AH19" s="16">
        <f t="shared" si="8"/>
        <v>0</v>
      </c>
      <c r="AI19" s="42" t="s">
        <v>268</v>
      </c>
      <c r="AJ19" s="16">
        <f t="shared" si="9"/>
        <v>0</v>
      </c>
      <c r="AK19" s="16">
        <f t="shared" si="10"/>
        <v>0</v>
      </c>
      <c r="AL19" s="16">
        <f t="shared" si="11"/>
        <v>0</v>
      </c>
      <c r="AN19" s="16">
        <v>21</v>
      </c>
      <c r="AO19" s="16">
        <f>K19*0.632560252365931</f>
        <v>0</v>
      </c>
      <c r="AP19" s="16">
        <f>K19*(1-0.632560252365931)</f>
        <v>0</v>
      </c>
      <c r="AQ19" s="56" t="s">
        <v>389</v>
      </c>
      <c r="AV19" s="16">
        <f t="shared" si="12"/>
        <v>0</v>
      </c>
      <c r="AW19" s="16">
        <f t="shared" si="13"/>
        <v>0</v>
      </c>
      <c r="AX19" s="16">
        <f t="shared" si="14"/>
        <v>0</v>
      </c>
      <c r="AY19" s="56" t="s">
        <v>21</v>
      </c>
      <c r="AZ19" s="56" t="s">
        <v>21</v>
      </c>
      <c r="BA19" s="42" t="s">
        <v>295</v>
      </c>
      <c r="BC19" s="16">
        <f t="shared" si="15"/>
        <v>0</v>
      </c>
      <c r="BD19" s="16">
        <f t="shared" si="16"/>
        <v>0</v>
      </c>
      <c r="BE19" s="16">
        <v>0</v>
      </c>
      <c r="BF19" s="16">
        <f>19</f>
        <v>19</v>
      </c>
      <c r="BH19" s="16">
        <f t="shared" si="17"/>
        <v>0</v>
      </c>
      <c r="BI19" s="16">
        <f t="shared" si="18"/>
        <v>0</v>
      </c>
      <c r="BJ19" s="16">
        <f t="shared" si="19"/>
        <v>0</v>
      </c>
      <c r="BK19" s="16"/>
      <c r="BL19" s="16">
        <v>72</v>
      </c>
    </row>
    <row r="20" spans="1:64" ht="15" customHeight="1">
      <c r="A20" s="5" t="s">
        <v>389</v>
      </c>
      <c r="B20" s="17" t="s">
        <v>197</v>
      </c>
      <c r="C20" s="77" t="s">
        <v>49</v>
      </c>
      <c r="D20" s="77"/>
      <c r="E20" s="77"/>
      <c r="F20" s="77"/>
      <c r="G20" s="77"/>
      <c r="H20" s="77"/>
      <c r="I20" s="17" t="s">
        <v>101</v>
      </c>
      <c r="J20" s="16">
        <v>1</v>
      </c>
      <c r="K20" s="16">
        <v>0</v>
      </c>
      <c r="L20" s="16">
        <f t="shared" si="0"/>
        <v>0</v>
      </c>
      <c r="M20" s="31">
        <v>0.00012</v>
      </c>
      <c r="Z20" s="16">
        <f t="shared" si="1"/>
        <v>0</v>
      </c>
      <c r="AB20" s="16">
        <f t="shared" si="2"/>
        <v>0</v>
      </c>
      <c r="AC20" s="16">
        <f t="shared" si="3"/>
        <v>0</v>
      </c>
      <c r="AD20" s="16">
        <f t="shared" si="4"/>
        <v>0</v>
      </c>
      <c r="AE20" s="16">
        <f t="shared" si="5"/>
        <v>0</v>
      </c>
      <c r="AF20" s="16">
        <f t="shared" si="6"/>
        <v>0</v>
      </c>
      <c r="AG20" s="16">
        <f t="shared" si="7"/>
        <v>0</v>
      </c>
      <c r="AH20" s="16">
        <f t="shared" si="8"/>
        <v>0</v>
      </c>
      <c r="AI20" s="42" t="s">
        <v>268</v>
      </c>
      <c r="AJ20" s="16">
        <f t="shared" si="9"/>
        <v>0</v>
      </c>
      <c r="AK20" s="16">
        <f t="shared" si="10"/>
        <v>0</v>
      </c>
      <c r="AL20" s="16">
        <f t="shared" si="11"/>
        <v>0</v>
      </c>
      <c r="AN20" s="16">
        <v>21</v>
      </c>
      <c r="AO20" s="16">
        <f>K20*0.21979375</f>
        <v>0</v>
      </c>
      <c r="AP20" s="16">
        <f>K20*(1-0.21979375)</f>
        <v>0</v>
      </c>
      <c r="AQ20" s="56" t="s">
        <v>389</v>
      </c>
      <c r="AV20" s="16">
        <f t="shared" si="12"/>
        <v>0</v>
      </c>
      <c r="AW20" s="16">
        <f t="shared" si="13"/>
        <v>0</v>
      </c>
      <c r="AX20" s="16">
        <f t="shared" si="14"/>
        <v>0</v>
      </c>
      <c r="AY20" s="56" t="s">
        <v>21</v>
      </c>
      <c r="AZ20" s="56" t="s">
        <v>21</v>
      </c>
      <c r="BA20" s="42" t="s">
        <v>295</v>
      </c>
      <c r="BC20" s="16">
        <f t="shared" si="15"/>
        <v>0</v>
      </c>
      <c r="BD20" s="16">
        <f t="shared" si="16"/>
        <v>0</v>
      </c>
      <c r="BE20" s="16">
        <v>0</v>
      </c>
      <c r="BF20" s="16">
        <f>20</f>
        <v>20</v>
      </c>
      <c r="BH20" s="16">
        <f t="shared" si="17"/>
        <v>0</v>
      </c>
      <c r="BI20" s="16">
        <f t="shared" si="18"/>
        <v>0</v>
      </c>
      <c r="BJ20" s="16">
        <f t="shared" si="19"/>
        <v>0</v>
      </c>
      <c r="BK20" s="16"/>
      <c r="BL20" s="16">
        <v>72</v>
      </c>
    </row>
    <row r="21" spans="1:64" ht="15" customHeight="1">
      <c r="A21" s="5" t="s">
        <v>310</v>
      </c>
      <c r="B21" s="17" t="s">
        <v>186</v>
      </c>
      <c r="C21" s="77" t="s">
        <v>127</v>
      </c>
      <c r="D21" s="77"/>
      <c r="E21" s="77"/>
      <c r="F21" s="77"/>
      <c r="G21" s="77"/>
      <c r="H21" s="77"/>
      <c r="I21" s="17" t="s">
        <v>101</v>
      </c>
      <c r="J21" s="16">
        <v>10</v>
      </c>
      <c r="K21" s="16">
        <v>0</v>
      </c>
      <c r="L21" s="16">
        <f t="shared" si="0"/>
        <v>0</v>
      </c>
      <c r="M21" s="31">
        <v>0</v>
      </c>
      <c r="Z21" s="16">
        <f t="shared" si="1"/>
        <v>0</v>
      </c>
      <c r="AB21" s="16">
        <f t="shared" si="2"/>
        <v>0</v>
      </c>
      <c r="AC21" s="16">
        <f t="shared" si="3"/>
        <v>0</v>
      </c>
      <c r="AD21" s="16">
        <f t="shared" si="4"/>
        <v>0</v>
      </c>
      <c r="AE21" s="16">
        <f t="shared" si="5"/>
        <v>0</v>
      </c>
      <c r="AF21" s="16">
        <f t="shared" si="6"/>
        <v>0</v>
      </c>
      <c r="AG21" s="16">
        <f t="shared" si="7"/>
        <v>0</v>
      </c>
      <c r="AH21" s="16">
        <f t="shared" si="8"/>
        <v>0</v>
      </c>
      <c r="AI21" s="42" t="s">
        <v>268</v>
      </c>
      <c r="AJ21" s="16">
        <f t="shared" si="9"/>
        <v>0</v>
      </c>
      <c r="AK21" s="16">
        <f t="shared" si="10"/>
        <v>0</v>
      </c>
      <c r="AL21" s="16">
        <f t="shared" si="11"/>
        <v>0</v>
      </c>
      <c r="AN21" s="16">
        <v>21</v>
      </c>
      <c r="AO21" s="16">
        <f>K21*0.0654747474747475</f>
        <v>0</v>
      </c>
      <c r="AP21" s="16">
        <f>K21*(1-0.0654747474747475)</f>
        <v>0</v>
      </c>
      <c r="AQ21" s="56" t="s">
        <v>389</v>
      </c>
      <c r="AV21" s="16">
        <f t="shared" si="12"/>
        <v>0</v>
      </c>
      <c r="AW21" s="16">
        <f t="shared" si="13"/>
        <v>0</v>
      </c>
      <c r="AX21" s="16">
        <f t="shared" si="14"/>
        <v>0</v>
      </c>
      <c r="AY21" s="56" t="s">
        <v>21</v>
      </c>
      <c r="AZ21" s="56" t="s">
        <v>21</v>
      </c>
      <c r="BA21" s="42" t="s">
        <v>295</v>
      </c>
      <c r="BC21" s="16">
        <f t="shared" si="15"/>
        <v>0</v>
      </c>
      <c r="BD21" s="16">
        <f t="shared" si="16"/>
        <v>0</v>
      </c>
      <c r="BE21" s="16">
        <v>0</v>
      </c>
      <c r="BF21" s="16">
        <f>21</f>
        <v>21</v>
      </c>
      <c r="BH21" s="16">
        <f t="shared" si="17"/>
        <v>0</v>
      </c>
      <c r="BI21" s="16">
        <f t="shared" si="18"/>
        <v>0</v>
      </c>
      <c r="BJ21" s="16">
        <f t="shared" si="19"/>
        <v>0</v>
      </c>
      <c r="BK21" s="16"/>
      <c r="BL21" s="16">
        <v>72</v>
      </c>
    </row>
    <row r="22" spans="1:64" ht="15" customHeight="1">
      <c r="A22" s="5" t="s">
        <v>154</v>
      </c>
      <c r="B22" s="17" t="s">
        <v>129</v>
      </c>
      <c r="C22" s="77" t="s">
        <v>138</v>
      </c>
      <c r="D22" s="77"/>
      <c r="E22" s="77"/>
      <c r="F22" s="77"/>
      <c r="G22" s="77"/>
      <c r="H22" s="77"/>
      <c r="I22" s="17" t="s">
        <v>141</v>
      </c>
      <c r="J22" s="16">
        <v>4</v>
      </c>
      <c r="K22" s="16">
        <v>0</v>
      </c>
      <c r="L22" s="16">
        <f t="shared" si="0"/>
        <v>0</v>
      </c>
      <c r="M22" s="31">
        <v>0.00392</v>
      </c>
      <c r="Z22" s="16">
        <f t="shared" si="1"/>
        <v>0</v>
      </c>
      <c r="AB22" s="16">
        <f t="shared" si="2"/>
        <v>0</v>
      </c>
      <c r="AC22" s="16">
        <f t="shared" si="3"/>
        <v>0</v>
      </c>
      <c r="AD22" s="16">
        <f t="shared" si="4"/>
        <v>0</v>
      </c>
      <c r="AE22" s="16">
        <f t="shared" si="5"/>
        <v>0</v>
      </c>
      <c r="AF22" s="16">
        <f t="shared" si="6"/>
        <v>0</v>
      </c>
      <c r="AG22" s="16">
        <f t="shared" si="7"/>
        <v>0</v>
      </c>
      <c r="AH22" s="16">
        <f t="shared" si="8"/>
        <v>0</v>
      </c>
      <c r="AI22" s="42" t="s">
        <v>268</v>
      </c>
      <c r="AJ22" s="16">
        <f t="shared" si="9"/>
        <v>0</v>
      </c>
      <c r="AK22" s="16">
        <f t="shared" si="10"/>
        <v>0</v>
      </c>
      <c r="AL22" s="16">
        <f t="shared" si="11"/>
        <v>0</v>
      </c>
      <c r="AN22" s="16">
        <v>21</v>
      </c>
      <c r="AO22" s="16">
        <f>K22*0.489988729219498</f>
        <v>0</v>
      </c>
      <c r="AP22" s="16">
        <f>K22*(1-0.489988729219498)</f>
        <v>0</v>
      </c>
      <c r="AQ22" s="56" t="s">
        <v>389</v>
      </c>
      <c r="AV22" s="16">
        <f t="shared" si="12"/>
        <v>0</v>
      </c>
      <c r="AW22" s="16">
        <f t="shared" si="13"/>
        <v>0</v>
      </c>
      <c r="AX22" s="16">
        <f t="shared" si="14"/>
        <v>0</v>
      </c>
      <c r="AY22" s="56" t="s">
        <v>21</v>
      </c>
      <c r="AZ22" s="56" t="s">
        <v>21</v>
      </c>
      <c r="BA22" s="42" t="s">
        <v>295</v>
      </c>
      <c r="BC22" s="16">
        <f t="shared" si="15"/>
        <v>0</v>
      </c>
      <c r="BD22" s="16">
        <f t="shared" si="16"/>
        <v>0</v>
      </c>
      <c r="BE22" s="16">
        <v>0</v>
      </c>
      <c r="BF22" s="16">
        <f>22</f>
        <v>22</v>
      </c>
      <c r="BH22" s="16">
        <f t="shared" si="17"/>
        <v>0</v>
      </c>
      <c r="BI22" s="16">
        <f t="shared" si="18"/>
        <v>0</v>
      </c>
      <c r="BJ22" s="16">
        <f t="shared" si="19"/>
        <v>0</v>
      </c>
      <c r="BK22" s="16"/>
      <c r="BL22" s="16">
        <v>72</v>
      </c>
    </row>
    <row r="23" spans="1:64" ht="15" customHeight="1">
      <c r="A23" s="5" t="s">
        <v>225</v>
      </c>
      <c r="B23" s="17" t="s">
        <v>5</v>
      </c>
      <c r="C23" s="77" t="s">
        <v>60</v>
      </c>
      <c r="D23" s="77"/>
      <c r="E23" s="77"/>
      <c r="F23" s="77"/>
      <c r="G23" s="77"/>
      <c r="H23" s="77"/>
      <c r="I23" s="17" t="s">
        <v>141</v>
      </c>
      <c r="J23" s="16">
        <v>8</v>
      </c>
      <c r="K23" s="16">
        <v>0</v>
      </c>
      <c r="L23" s="16">
        <f t="shared" si="0"/>
        <v>0</v>
      </c>
      <c r="M23" s="31">
        <v>0.00141</v>
      </c>
      <c r="Z23" s="16">
        <f t="shared" si="1"/>
        <v>0</v>
      </c>
      <c r="AB23" s="16">
        <f t="shared" si="2"/>
        <v>0</v>
      </c>
      <c r="AC23" s="16">
        <f t="shared" si="3"/>
        <v>0</v>
      </c>
      <c r="AD23" s="16">
        <f t="shared" si="4"/>
        <v>0</v>
      </c>
      <c r="AE23" s="16">
        <f t="shared" si="5"/>
        <v>0</v>
      </c>
      <c r="AF23" s="16">
        <f t="shared" si="6"/>
        <v>0</v>
      </c>
      <c r="AG23" s="16">
        <f t="shared" si="7"/>
        <v>0</v>
      </c>
      <c r="AH23" s="16">
        <f t="shared" si="8"/>
        <v>0</v>
      </c>
      <c r="AI23" s="42" t="s">
        <v>268</v>
      </c>
      <c r="AJ23" s="16">
        <f t="shared" si="9"/>
        <v>0</v>
      </c>
      <c r="AK23" s="16">
        <f t="shared" si="10"/>
        <v>0</v>
      </c>
      <c r="AL23" s="16">
        <f t="shared" si="11"/>
        <v>0</v>
      </c>
      <c r="AN23" s="16">
        <v>21</v>
      </c>
      <c r="AO23" s="16">
        <f>K23*0.151435736677116</f>
        <v>0</v>
      </c>
      <c r="AP23" s="16">
        <f>K23*(1-0.151435736677116)</f>
        <v>0</v>
      </c>
      <c r="AQ23" s="56" t="s">
        <v>389</v>
      </c>
      <c r="AV23" s="16">
        <f t="shared" si="12"/>
        <v>0</v>
      </c>
      <c r="AW23" s="16">
        <f t="shared" si="13"/>
        <v>0</v>
      </c>
      <c r="AX23" s="16">
        <f t="shared" si="14"/>
        <v>0</v>
      </c>
      <c r="AY23" s="56" t="s">
        <v>21</v>
      </c>
      <c r="AZ23" s="56" t="s">
        <v>21</v>
      </c>
      <c r="BA23" s="42" t="s">
        <v>295</v>
      </c>
      <c r="BC23" s="16">
        <f t="shared" si="15"/>
        <v>0</v>
      </c>
      <c r="BD23" s="16">
        <f t="shared" si="16"/>
        <v>0</v>
      </c>
      <c r="BE23" s="16">
        <v>0</v>
      </c>
      <c r="BF23" s="16">
        <f>23</f>
        <v>23</v>
      </c>
      <c r="BH23" s="16">
        <f t="shared" si="17"/>
        <v>0</v>
      </c>
      <c r="BI23" s="16">
        <f t="shared" si="18"/>
        <v>0</v>
      </c>
      <c r="BJ23" s="16">
        <f t="shared" si="19"/>
        <v>0</v>
      </c>
      <c r="BK23" s="16"/>
      <c r="BL23" s="16">
        <v>72</v>
      </c>
    </row>
    <row r="24" spans="1:64" ht="15" customHeight="1">
      <c r="A24" s="5" t="s">
        <v>323</v>
      </c>
      <c r="B24" s="17" t="s">
        <v>148</v>
      </c>
      <c r="C24" s="77" t="s">
        <v>395</v>
      </c>
      <c r="D24" s="77"/>
      <c r="E24" s="77"/>
      <c r="F24" s="77"/>
      <c r="G24" s="77"/>
      <c r="H24" s="77"/>
      <c r="I24" s="17" t="s">
        <v>101</v>
      </c>
      <c r="J24" s="16">
        <v>8</v>
      </c>
      <c r="K24" s="16">
        <v>0</v>
      </c>
      <c r="L24" s="16">
        <f t="shared" si="0"/>
        <v>0</v>
      </c>
      <c r="M24" s="31">
        <v>0.00142</v>
      </c>
      <c r="Z24" s="16">
        <f t="shared" si="1"/>
        <v>0</v>
      </c>
      <c r="AB24" s="16">
        <f t="shared" si="2"/>
        <v>0</v>
      </c>
      <c r="AC24" s="16">
        <f t="shared" si="3"/>
        <v>0</v>
      </c>
      <c r="AD24" s="16">
        <f t="shared" si="4"/>
        <v>0</v>
      </c>
      <c r="AE24" s="16">
        <f t="shared" si="5"/>
        <v>0</v>
      </c>
      <c r="AF24" s="16">
        <f t="shared" si="6"/>
        <v>0</v>
      </c>
      <c r="AG24" s="16">
        <f t="shared" si="7"/>
        <v>0</v>
      </c>
      <c r="AH24" s="16">
        <f t="shared" si="8"/>
        <v>0</v>
      </c>
      <c r="AI24" s="42" t="s">
        <v>268</v>
      </c>
      <c r="AJ24" s="16">
        <f t="shared" si="9"/>
        <v>0</v>
      </c>
      <c r="AK24" s="16">
        <f t="shared" si="10"/>
        <v>0</v>
      </c>
      <c r="AL24" s="16">
        <f t="shared" si="11"/>
        <v>0</v>
      </c>
      <c r="AN24" s="16">
        <v>21</v>
      </c>
      <c r="AO24" s="16">
        <f>K24*0.881146788990826</f>
        <v>0</v>
      </c>
      <c r="AP24" s="16">
        <f>K24*(1-0.881146788990826)</f>
        <v>0</v>
      </c>
      <c r="AQ24" s="56" t="s">
        <v>389</v>
      </c>
      <c r="AV24" s="16">
        <f t="shared" si="12"/>
        <v>0</v>
      </c>
      <c r="AW24" s="16">
        <f t="shared" si="13"/>
        <v>0</v>
      </c>
      <c r="AX24" s="16">
        <f t="shared" si="14"/>
        <v>0</v>
      </c>
      <c r="AY24" s="56" t="s">
        <v>21</v>
      </c>
      <c r="AZ24" s="56" t="s">
        <v>21</v>
      </c>
      <c r="BA24" s="42" t="s">
        <v>295</v>
      </c>
      <c r="BC24" s="16">
        <f t="shared" si="15"/>
        <v>0</v>
      </c>
      <c r="BD24" s="16">
        <f t="shared" si="16"/>
        <v>0</v>
      </c>
      <c r="BE24" s="16">
        <v>0</v>
      </c>
      <c r="BF24" s="16">
        <f>24</f>
        <v>24</v>
      </c>
      <c r="BH24" s="16">
        <f t="shared" si="17"/>
        <v>0</v>
      </c>
      <c r="BI24" s="16">
        <f t="shared" si="18"/>
        <v>0</v>
      </c>
      <c r="BJ24" s="16">
        <f t="shared" si="19"/>
        <v>0</v>
      </c>
      <c r="BK24" s="16"/>
      <c r="BL24" s="16">
        <v>72</v>
      </c>
    </row>
    <row r="25" spans="1:64" ht="15" customHeight="1">
      <c r="A25" s="5" t="s">
        <v>285</v>
      </c>
      <c r="B25" s="17" t="s">
        <v>257</v>
      </c>
      <c r="C25" s="77" t="s">
        <v>57</v>
      </c>
      <c r="D25" s="77"/>
      <c r="E25" s="77"/>
      <c r="F25" s="77"/>
      <c r="G25" s="77"/>
      <c r="H25" s="77"/>
      <c r="I25" s="17" t="s">
        <v>101</v>
      </c>
      <c r="J25" s="16">
        <v>8</v>
      </c>
      <c r="K25" s="16">
        <v>0</v>
      </c>
      <c r="L25" s="16">
        <f t="shared" si="0"/>
        <v>0</v>
      </c>
      <c r="M25" s="31">
        <v>0.00359</v>
      </c>
      <c r="Z25" s="16">
        <f t="shared" si="1"/>
        <v>0</v>
      </c>
      <c r="AB25" s="16">
        <f t="shared" si="2"/>
        <v>0</v>
      </c>
      <c r="AC25" s="16">
        <f t="shared" si="3"/>
        <v>0</v>
      </c>
      <c r="AD25" s="16">
        <f t="shared" si="4"/>
        <v>0</v>
      </c>
      <c r="AE25" s="16">
        <f t="shared" si="5"/>
        <v>0</v>
      </c>
      <c r="AF25" s="16">
        <f t="shared" si="6"/>
        <v>0</v>
      </c>
      <c r="AG25" s="16">
        <f t="shared" si="7"/>
        <v>0</v>
      </c>
      <c r="AH25" s="16">
        <f t="shared" si="8"/>
        <v>0</v>
      </c>
      <c r="AI25" s="42" t="s">
        <v>268</v>
      </c>
      <c r="AJ25" s="16">
        <f t="shared" si="9"/>
        <v>0</v>
      </c>
      <c r="AK25" s="16">
        <f t="shared" si="10"/>
        <v>0</v>
      </c>
      <c r="AL25" s="16">
        <f t="shared" si="11"/>
        <v>0</v>
      </c>
      <c r="AN25" s="16">
        <v>21</v>
      </c>
      <c r="AO25" s="16">
        <f>K25*0.328607954545455</f>
        <v>0</v>
      </c>
      <c r="AP25" s="16">
        <f>K25*(1-0.328607954545455)</f>
        <v>0</v>
      </c>
      <c r="AQ25" s="56" t="s">
        <v>389</v>
      </c>
      <c r="AV25" s="16">
        <f t="shared" si="12"/>
        <v>0</v>
      </c>
      <c r="AW25" s="16">
        <f t="shared" si="13"/>
        <v>0</v>
      </c>
      <c r="AX25" s="16">
        <f t="shared" si="14"/>
        <v>0</v>
      </c>
      <c r="AY25" s="56" t="s">
        <v>21</v>
      </c>
      <c r="AZ25" s="56" t="s">
        <v>21</v>
      </c>
      <c r="BA25" s="42" t="s">
        <v>295</v>
      </c>
      <c r="BC25" s="16">
        <f t="shared" si="15"/>
        <v>0</v>
      </c>
      <c r="BD25" s="16">
        <f t="shared" si="16"/>
        <v>0</v>
      </c>
      <c r="BE25" s="16">
        <v>0</v>
      </c>
      <c r="BF25" s="16">
        <f>25</f>
        <v>25</v>
      </c>
      <c r="BH25" s="16">
        <f t="shared" si="17"/>
        <v>0</v>
      </c>
      <c r="BI25" s="16">
        <f t="shared" si="18"/>
        <v>0</v>
      </c>
      <c r="BJ25" s="16">
        <f t="shared" si="19"/>
        <v>0</v>
      </c>
      <c r="BK25" s="16"/>
      <c r="BL25" s="16">
        <v>72</v>
      </c>
    </row>
    <row r="26" spans="1:64" ht="15" customHeight="1">
      <c r="A26" s="5" t="s">
        <v>118</v>
      </c>
      <c r="B26" s="17" t="s">
        <v>364</v>
      </c>
      <c r="C26" s="77" t="s">
        <v>43</v>
      </c>
      <c r="D26" s="77"/>
      <c r="E26" s="77"/>
      <c r="F26" s="77"/>
      <c r="G26" s="77"/>
      <c r="H26" s="77"/>
      <c r="I26" s="17" t="s">
        <v>141</v>
      </c>
      <c r="J26" s="16">
        <v>8</v>
      </c>
      <c r="K26" s="16">
        <v>0</v>
      </c>
      <c r="L26" s="16">
        <f t="shared" si="0"/>
        <v>0</v>
      </c>
      <c r="M26" s="31">
        <v>0.00056</v>
      </c>
      <c r="Z26" s="16">
        <f t="shared" si="1"/>
        <v>0</v>
      </c>
      <c r="AB26" s="16">
        <f t="shared" si="2"/>
        <v>0</v>
      </c>
      <c r="AC26" s="16">
        <f t="shared" si="3"/>
        <v>0</v>
      </c>
      <c r="AD26" s="16">
        <f t="shared" si="4"/>
        <v>0</v>
      </c>
      <c r="AE26" s="16">
        <f t="shared" si="5"/>
        <v>0</v>
      </c>
      <c r="AF26" s="16">
        <f t="shared" si="6"/>
        <v>0</v>
      </c>
      <c r="AG26" s="16">
        <f t="shared" si="7"/>
        <v>0</v>
      </c>
      <c r="AH26" s="16">
        <f t="shared" si="8"/>
        <v>0</v>
      </c>
      <c r="AI26" s="42" t="s">
        <v>268</v>
      </c>
      <c r="AJ26" s="16">
        <f t="shared" si="9"/>
        <v>0</v>
      </c>
      <c r="AK26" s="16">
        <f t="shared" si="10"/>
        <v>0</v>
      </c>
      <c r="AL26" s="16">
        <f t="shared" si="11"/>
        <v>0</v>
      </c>
      <c r="AN26" s="16">
        <v>21</v>
      </c>
      <c r="AO26" s="16">
        <f>K26*0.867383838383838</f>
        <v>0</v>
      </c>
      <c r="AP26" s="16">
        <f>K26*(1-0.867383838383838)</f>
        <v>0</v>
      </c>
      <c r="AQ26" s="56" t="s">
        <v>389</v>
      </c>
      <c r="AV26" s="16">
        <f t="shared" si="12"/>
        <v>0</v>
      </c>
      <c r="AW26" s="16">
        <f t="shared" si="13"/>
        <v>0</v>
      </c>
      <c r="AX26" s="16">
        <f t="shared" si="14"/>
        <v>0</v>
      </c>
      <c r="AY26" s="56" t="s">
        <v>21</v>
      </c>
      <c r="AZ26" s="56" t="s">
        <v>21</v>
      </c>
      <c r="BA26" s="42" t="s">
        <v>295</v>
      </c>
      <c r="BC26" s="16">
        <f t="shared" si="15"/>
        <v>0</v>
      </c>
      <c r="BD26" s="16">
        <f t="shared" si="16"/>
        <v>0</v>
      </c>
      <c r="BE26" s="16">
        <v>0</v>
      </c>
      <c r="BF26" s="16">
        <f>26</f>
        <v>26</v>
      </c>
      <c r="BH26" s="16">
        <f t="shared" si="17"/>
        <v>0</v>
      </c>
      <c r="BI26" s="16">
        <f t="shared" si="18"/>
        <v>0</v>
      </c>
      <c r="BJ26" s="16">
        <f t="shared" si="19"/>
        <v>0</v>
      </c>
      <c r="BK26" s="16"/>
      <c r="BL26" s="16">
        <v>72</v>
      </c>
    </row>
    <row r="27" spans="1:64" ht="15" customHeight="1">
      <c r="A27" s="5" t="s">
        <v>229</v>
      </c>
      <c r="B27" s="17" t="s">
        <v>254</v>
      </c>
      <c r="C27" s="77" t="s">
        <v>63</v>
      </c>
      <c r="D27" s="77"/>
      <c r="E27" s="77"/>
      <c r="F27" s="77"/>
      <c r="G27" s="77"/>
      <c r="H27" s="77"/>
      <c r="I27" s="17" t="s">
        <v>141</v>
      </c>
      <c r="J27" s="16">
        <v>2</v>
      </c>
      <c r="K27" s="16">
        <v>0</v>
      </c>
      <c r="L27" s="16">
        <f t="shared" si="0"/>
        <v>0</v>
      </c>
      <c r="M27" s="31">
        <v>0.00206</v>
      </c>
      <c r="Z27" s="16">
        <f t="shared" si="1"/>
        <v>0</v>
      </c>
      <c r="AB27" s="16">
        <f t="shared" si="2"/>
        <v>0</v>
      </c>
      <c r="AC27" s="16">
        <f t="shared" si="3"/>
        <v>0</v>
      </c>
      <c r="AD27" s="16">
        <f t="shared" si="4"/>
        <v>0</v>
      </c>
      <c r="AE27" s="16">
        <f t="shared" si="5"/>
        <v>0</v>
      </c>
      <c r="AF27" s="16">
        <f t="shared" si="6"/>
        <v>0</v>
      </c>
      <c r="AG27" s="16">
        <f t="shared" si="7"/>
        <v>0</v>
      </c>
      <c r="AH27" s="16">
        <f t="shared" si="8"/>
        <v>0</v>
      </c>
      <c r="AI27" s="42" t="s">
        <v>268</v>
      </c>
      <c r="AJ27" s="16">
        <f t="shared" si="9"/>
        <v>0</v>
      </c>
      <c r="AK27" s="16">
        <f t="shared" si="10"/>
        <v>0</v>
      </c>
      <c r="AL27" s="16">
        <f t="shared" si="11"/>
        <v>0</v>
      </c>
      <c r="AN27" s="16">
        <v>21</v>
      </c>
      <c r="AO27" s="16">
        <f>K27*0.940095693779904</f>
        <v>0</v>
      </c>
      <c r="AP27" s="16">
        <f>K27*(1-0.940095693779904)</f>
        <v>0</v>
      </c>
      <c r="AQ27" s="56" t="s">
        <v>389</v>
      </c>
      <c r="AV27" s="16">
        <f t="shared" si="12"/>
        <v>0</v>
      </c>
      <c r="AW27" s="16">
        <f t="shared" si="13"/>
        <v>0</v>
      </c>
      <c r="AX27" s="16">
        <f t="shared" si="14"/>
        <v>0</v>
      </c>
      <c r="AY27" s="56" t="s">
        <v>21</v>
      </c>
      <c r="AZ27" s="56" t="s">
        <v>21</v>
      </c>
      <c r="BA27" s="42" t="s">
        <v>295</v>
      </c>
      <c r="BC27" s="16">
        <f t="shared" si="15"/>
        <v>0</v>
      </c>
      <c r="BD27" s="16">
        <f t="shared" si="16"/>
        <v>0</v>
      </c>
      <c r="BE27" s="16">
        <v>0</v>
      </c>
      <c r="BF27" s="16">
        <f>27</f>
        <v>27</v>
      </c>
      <c r="BH27" s="16">
        <f t="shared" si="17"/>
        <v>0</v>
      </c>
      <c r="BI27" s="16">
        <f t="shared" si="18"/>
        <v>0</v>
      </c>
      <c r="BJ27" s="16">
        <f t="shared" si="19"/>
        <v>0</v>
      </c>
      <c r="BK27" s="16"/>
      <c r="BL27" s="16">
        <v>72</v>
      </c>
    </row>
    <row r="28" spans="1:64" ht="15" customHeight="1">
      <c r="A28" s="5" t="s">
        <v>157</v>
      </c>
      <c r="B28" s="17" t="s">
        <v>400</v>
      </c>
      <c r="C28" s="77" t="s">
        <v>117</v>
      </c>
      <c r="D28" s="77"/>
      <c r="E28" s="77"/>
      <c r="F28" s="77"/>
      <c r="G28" s="77"/>
      <c r="H28" s="77"/>
      <c r="I28" s="17" t="s">
        <v>141</v>
      </c>
      <c r="J28" s="16">
        <v>2</v>
      </c>
      <c r="K28" s="16">
        <v>0</v>
      </c>
      <c r="L28" s="16">
        <f t="shared" si="0"/>
        <v>0</v>
      </c>
      <c r="M28" s="31">
        <v>0.00206</v>
      </c>
      <c r="Z28" s="16">
        <f t="shared" si="1"/>
        <v>0</v>
      </c>
      <c r="AB28" s="16">
        <f t="shared" si="2"/>
        <v>0</v>
      </c>
      <c r="AC28" s="16">
        <f t="shared" si="3"/>
        <v>0</v>
      </c>
      <c r="AD28" s="16">
        <f t="shared" si="4"/>
        <v>0</v>
      </c>
      <c r="AE28" s="16">
        <f t="shared" si="5"/>
        <v>0</v>
      </c>
      <c r="AF28" s="16">
        <f t="shared" si="6"/>
        <v>0</v>
      </c>
      <c r="AG28" s="16">
        <f t="shared" si="7"/>
        <v>0</v>
      </c>
      <c r="AH28" s="16">
        <f t="shared" si="8"/>
        <v>0</v>
      </c>
      <c r="AI28" s="42" t="s">
        <v>268</v>
      </c>
      <c r="AJ28" s="16">
        <f t="shared" si="9"/>
        <v>0</v>
      </c>
      <c r="AK28" s="16">
        <f t="shared" si="10"/>
        <v>0</v>
      </c>
      <c r="AL28" s="16">
        <f t="shared" si="11"/>
        <v>0</v>
      </c>
      <c r="AN28" s="16">
        <v>21</v>
      </c>
      <c r="AO28" s="16">
        <f>K28*0.944845814977974</f>
        <v>0</v>
      </c>
      <c r="AP28" s="16">
        <f>K28*(1-0.944845814977974)</f>
        <v>0</v>
      </c>
      <c r="AQ28" s="56" t="s">
        <v>389</v>
      </c>
      <c r="AV28" s="16">
        <f t="shared" si="12"/>
        <v>0</v>
      </c>
      <c r="AW28" s="16">
        <f t="shared" si="13"/>
        <v>0</v>
      </c>
      <c r="AX28" s="16">
        <f t="shared" si="14"/>
        <v>0</v>
      </c>
      <c r="AY28" s="56" t="s">
        <v>21</v>
      </c>
      <c r="AZ28" s="56" t="s">
        <v>21</v>
      </c>
      <c r="BA28" s="42" t="s">
        <v>295</v>
      </c>
      <c r="BC28" s="16">
        <f t="shared" si="15"/>
        <v>0</v>
      </c>
      <c r="BD28" s="16">
        <f t="shared" si="16"/>
        <v>0</v>
      </c>
      <c r="BE28" s="16">
        <v>0</v>
      </c>
      <c r="BF28" s="16">
        <f>28</f>
        <v>28</v>
      </c>
      <c r="BH28" s="16">
        <f t="shared" si="17"/>
        <v>0</v>
      </c>
      <c r="BI28" s="16">
        <f t="shared" si="18"/>
        <v>0</v>
      </c>
      <c r="BJ28" s="16">
        <f t="shared" si="19"/>
        <v>0</v>
      </c>
      <c r="BK28" s="16"/>
      <c r="BL28" s="16">
        <v>72</v>
      </c>
    </row>
    <row r="29" spans="1:64" ht="15" customHeight="1">
      <c r="A29" s="5" t="s">
        <v>35</v>
      </c>
      <c r="B29" s="17" t="s">
        <v>320</v>
      </c>
      <c r="C29" s="77" t="s">
        <v>357</v>
      </c>
      <c r="D29" s="77"/>
      <c r="E29" s="77"/>
      <c r="F29" s="77"/>
      <c r="G29" s="77"/>
      <c r="H29" s="77"/>
      <c r="I29" s="17" t="s">
        <v>297</v>
      </c>
      <c r="J29" s="16">
        <v>1</v>
      </c>
      <c r="K29" s="16">
        <v>0</v>
      </c>
      <c r="L29" s="16">
        <f t="shared" si="0"/>
        <v>0</v>
      </c>
      <c r="M29" s="31">
        <v>0.15314</v>
      </c>
      <c r="Z29" s="16">
        <f t="shared" si="1"/>
        <v>0</v>
      </c>
      <c r="AB29" s="16">
        <f t="shared" si="2"/>
        <v>0</v>
      </c>
      <c r="AC29" s="16">
        <f t="shared" si="3"/>
        <v>0</v>
      </c>
      <c r="AD29" s="16">
        <f t="shared" si="4"/>
        <v>0</v>
      </c>
      <c r="AE29" s="16">
        <f t="shared" si="5"/>
        <v>0</v>
      </c>
      <c r="AF29" s="16">
        <f t="shared" si="6"/>
        <v>0</v>
      </c>
      <c r="AG29" s="16">
        <f t="shared" si="7"/>
        <v>0</v>
      </c>
      <c r="AH29" s="16">
        <f t="shared" si="8"/>
        <v>0</v>
      </c>
      <c r="AI29" s="42" t="s">
        <v>268</v>
      </c>
      <c r="AJ29" s="16">
        <f t="shared" si="9"/>
        <v>0</v>
      </c>
      <c r="AK29" s="16">
        <f t="shared" si="10"/>
        <v>0</v>
      </c>
      <c r="AL29" s="16">
        <f t="shared" si="11"/>
        <v>0</v>
      </c>
      <c r="AN29" s="16">
        <v>21</v>
      </c>
      <c r="AO29" s="16">
        <f>K29*0.59875935828877</f>
        <v>0</v>
      </c>
      <c r="AP29" s="16">
        <f>K29*(1-0.59875935828877)</f>
        <v>0</v>
      </c>
      <c r="AQ29" s="56" t="s">
        <v>389</v>
      </c>
      <c r="AV29" s="16">
        <f t="shared" si="12"/>
        <v>0</v>
      </c>
      <c r="AW29" s="16">
        <f t="shared" si="13"/>
        <v>0</v>
      </c>
      <c r="AX29" s="16">
        <f t="shared" si="14"/>
        <v>0</v>
      </c>
      <c r="AY29" s="56" t="s">
        <v>21</v>
      </c>
      <c r="AZ29" s="56" t="s">
        <v>21</v>
      </c>
      <c r="BA29" s="42" t="s">
        <v>295</v>
      </c>
      <c r="BC29" s="16">
        <f t="shared" si="15"/>
        <v>0</v>
      </c>
      <c r="BD29" s="16">
        <f t="shared" si="16"/>
        <v>0</v>
      </c>
      <c r="BE29" s="16">
        <v>0</v>
      </c>
      <c r="BF29" s="16">
        <f>29</f>
        <v>29</v>
      </c>
      <c r="BH29" s="16">
        <f t="shared" si="17"/>
        <v>0</v>
      </c>
      <c r="BI29" s="16">
        <f t="shared" si="18"/>
        <v>0</v>
      </c>
      <c r="BJ29" s="16">
        <f t="shared" si="19"/>
        <v>0</v>
      </c>
      <c r="BK29" s="16"/>
      <c r="BL29" s="16">
        <v>72</v>
      </c>
    </row>
    <row r="30" spans="1:64" ht="15" customHeight="1">
      <c r="A30" s="5" t="s">
        <v>269</v>
      </c>
      <c r="B30" s="17" t="s">
        <v>16</v>
      </c>
      <c r="C30" s="77" t="s">
        <v>424</v>
      </c>
      <c r="D30" s="77"/>
      <c r="E30" s="77"/>
      <c r="F30" s="77"/>
      <c r="G30" s="77"/>
      <c r="H30" s="77"/>
      <c r="I30" s="17" t="s">
        <v>297</v>
      </c>
      <c r="J30" s="16">
        <v>1</v>
      </c>
      <c r="K30" s="16">
        <v>0</v>
      </c>
      <c r="L30" s="16">
        <f t="shared" si="0"/>
        <v>0</v>
      </c>
      <c r="M30" s="31">
        <v>0</v>
      </c>
      <c r="Z30" s="16">
        <f t="shared" si="1"/>
        <v>0</v>
      </c>
      <c r="AB30" s="16">
        <f t="shared" si="2"/>
        <v>0</v>
      </c>
      <c r="AC30" s="16">
        <f t="shared" si="3"/>
        <v>0</v>
      </c>
      <c r="AD30" s="16">
        <f t="shared" si="4"/>
        <v>0</v>
      </c>
      <c r="AE30" s="16">
        <f t="shared" si="5"/>
        <v>0</v>
      </c>
      <c r="AF30" s="16">
        <f t="shared" si="6"/>
        <v>0</v>
      </c>
      <c r="AG30" s="16">
        <f t="shared" si="7"/>
        <v>0</v>
      </c>
      <c r="AH30" s="16">
        <f t="shared" si="8"/>
        <v>0</v>
      </c>
      <c r="AI30" s="42" t="s">
        <v>268</v>
      </c>
      <c r="AJ30" s="16">
        <f t="shared" si="9"/>
        <v>0</v>
      </c>
      <c r="AK30" s="16">
        <f t="shared" si="10"/>
        <v>0</v>
      </c>
      <c r="AL30" s="16">
        <f t="shared" si="11"/>
        <v>0</v>
      </c>
      <c r="AN30" s="16">
        <v>21</v>
      </c>
      <c r="AO30" s="16">
        <f>K30*0</f>
        <v>0</v>
      </c>
      <c r="AP30" s="16">
        <f>K30*(1-0)</f>
        <v>0</v>
      </c>
      <c r="AQ30" s="56" t="s">
        <v>208</v>
      </c>
      <c r="AV30" s="16">
        <f t="shared" si="12"/>
        <v>0</v>
      </c>
      <c r="AW30" s="16">
        <f t="shared" si="13"/>
        <v>0</v>
      </c>
      <c r="AX30" s="16">
        <f t="shared" si="14"/>
        <v>0</v>
      </c>
      <c r="AY30" s="56" t="s">
        <v>21</v>
      </c>
      <c r="AZ30" s="56" t="s">
        <v>21</v>
      </c>
      <c r="BA30" s="42" t="s">
        <v>295</v>
      </c>
      <c r="BC30" s="16">
        <f t="shared" si="15"/>
        <v>0</v>
      </c>
      <c r="BD30" s="16">
        <f t="shared" si="16"/>
        <v>0</v>
      </c>
      <c r="BE30" s="16">
        <v>0</v>
      </c>
      <c r="BF30" s="16">
        <f>30</f>
        <v>30</v>
      </c>
      <c r="BH30" s="16">
        <f t="shared" si="17"/>
        <v>0</v>
      </c>
      <c r="BI30" s="16">
        <f t="shared" si="18"/>
        <v>0</v>
      </c>
      <c r="BJ30" s="16">
        <f t="shared" si="19"/>
        <v>0</v>
      </c>
      <c r="BK30" s="16"/>
      <c r="BL30" s="16">
        <v>72</v>
      </c>
    </row>
    <row r="31" spans="1:47" ht="15" customHeight="1">
      <c r="A31" s="43" t="s">
        <v>268</v>
      </c>
      <c r="B31" s="13" t="s">
        <v>405</v>
      </c>
      <c r="C31" s="116" t="s">
        <v>290</v>
      </c>
      <c r="D31" s="116"/>
      <c r="E31" s="116"/>
      <c r="F31" s="116"/>
      <c r="G31" s="116"/>
      <c r="H31" s="116"/>
      <c r="I31" s="58" t="s">
        <v>363</v>
      </c>
      <c r="J31" s="58" t="s">
        <v>363</v>
      </c>
      <c r="K31" s="58" t="s">
        <v>363</v>
      </c>
      <c r="L31" s="61">
        <f>SUM(L32:L38)</f>
        <v>0</v>
      </c>
      <c r="M31" s="8" t="s">
        <v>268</v>
      </c>
      <c r="AI31" s="42" t="s">
        <v>268</v>
      </c>
      <c r="AS31" s="61">
        <f>SUM(AJ32:AJ38)</f>
        <v>0</v>
      </c>
      <c r="AT31" s="61">
        <f>SUM(AK32:AK38)</f>
        <v>0</v>
      </c>
      <c r="AU31" s="61">
        <f>SUM(AL32:AL38)</f>
        <v>0</v>
      </c>
    </row>
    <row r="32" spans="1:64" ht="15" customHeight="1">
      <c r="A32" s="5" t="s">
        <v>313</v>
      </c>
      <c r="B32" s="17" t="s">
        <v>71</v>
      </c>
      <c r="C32" s="77" t="s">
        <v>187</v>
      </c>
      <c r="D32" s="77"/>
      <c r="E32" s="77"/>
      <c r="F32" s="77"/>
      <c r="G32" s="77"/>
      <c r="H32" s="77"/>
      <c r="I32" s="17" t="s">
        <v>382</v>
      </c>
      <c r="J32" s="16">
        <v>1</v>
      </c>
      <c r="K32" s="16">
        <v>0</v>
      </c>
      <c r="L32" s="16">
        <f aca="true" t="shared" si="20" ref="L32:L38">J32*K32</f>
        <v>0</v>
      </c>
      <c r="M32" s="31">
        <v>0</v>
      </c>
      <c r="Z32" s="16">
        <f aca="true" t="shared" si="21" ref="Z32:Z38">IF(AQ32="5",BJ32,0)</f>
        <v>0</v>
      </c>
      <c r="AB32" s="16">
        <f aca="true" t="shared" si="22" ref="AB32:AB38">IF(AQ32="1",BH32,0)</f>
        <v>0</v>
      </c>
      <c r="AC32" s="16">
        <f aca="true" t="shared" si="23" ref="AC32:AC38">IF(AQ32="1",BI32,0)</f>
        <v>0</v>
      </c>
      <c r="AD32" s="16">
        <f aca="true" t="shared" si="24" ref="AD32:AD38">IF(AQ32="7",BH32,0)</f>
        <v>0</v>
      </c>
      <c r="AE32" s="16">
        <f aca="true" t="shared" si="25" ref="AE32:AE38">IF(AQ32="7",BI32,0)</f>
        <v>0</v>
      </c>
      <c r="AF32" s="16">
        <f aca="true" t="shared" si="26" ref="AF32:AF38">IF(AQ32="2",BH32,0)</f>
        <v>0</v>
      </c>
      <c r="AG32" s="16">
        <f aca="true" t="shared" si="27" ref="AG32:AG38">IF(AQ32="2",BI32,0)</f>
        <v>0</v>
      </c>
      <c r="AH32" s="16">
        <f aca="true" t="shared" si="28" ref="AH32:AH38">IF(AQ32="0",BJ32,0)</f>
        <v>0</v>
      </c>
      <c r="AI32" s="42" t="s">
        <v>268</v>
      </c>
      <c r="AJ32" s="16">
        <f aca="true" t="shared" si="29" ref="AJ32:AJ38">IF(AN32=0,L32,0)</f>
        <v>0</v>
      </c>
      <c r="AK32" s="16">
        <f aca="true" t="shared" si="30" ref="AK32:AK38">IF(AN32=12,L32,0)</f>
        <v>0</v>
      </c>
      <c r="AL32" s="16">
        <f aca="true" t="shared" si="31" ref="AL32:AL38">IF(AN32=21,L32,0)</f>
        <v>0</v>
      </c>
      <c r="AN32" s="16">
        <v>21</v>
      </c>
      <c r="AO32" s="16">
        <f>K32*0</f>
        <v>0</v>
      </c>
      <c r="AP32" s="16">
        <f>K32*(1-0)</f>
        <v>0</v>
      </c>
      <c r="AQ32" s="56" t="s">
        <v>389</v>
      </c>
      <c r="AV32" s="16">
        <f aca="true" t="shared" si="32" ref="AV32:AV38">AW32+AX32</f>
        <v>0</v>
      </c>
      <c r="AW32" s="16">
        <f aca="true" t="shared" si="33" ref="AW32:AW38">J32*AO32</f>
        <v>0</v>
      </c>
      <c r="AX32" s="16">
        <f aca="true" t="shared" si="34" ref="AX32:AX38">J32*AP32</f>
        <v>0</v>
      </c>
      <c r="AY32" s="56" t="s">
        <v>220</v>
      </c>
      <c r="AZ32" s="56" t="s">
        <v>356</v>
      </c>
      <c r="BA32" s="42" t="s">
        <v>295</v>
      </c>
      <c r="BC32" s="16">
        <f aca="true" t="shared" si="35" ref="BC32:BC38">AW32+AX32</f>
        <v>0</v>
      </c>
      <c r="BD32" s="16">
        <f aca="true" t="shared" si="36" ref="BD32:BD38">K32/(100-BE32)*100</f>
        <v>0</v>
      </c>
      <c r="BE32" s="16">
        <v>0</v>
      </c>
      <c r="BF32" s="16">
        <f>32</f>
        <v>32</v>
      </c>
      <c r="BH32" s="16">
        <f aca="true" t="shared" si="37" ref="BH32:BH38">J32*AO32</f>
        <v>0</v>
      </c>
      <c r="BI32" s="16">
        <f aca="true" t="shared" si="38" ref="BI32:BI38">J32*AP32</f>
        <v>0</v>
      </c>
      <c r="BJ32" s="16">
        <f aca="true" t="shared" si="39" ref="BJ32:BJ38">J32*K32</f>
        <v>0</v>
      </c>
      <c r="BK32" s="16"/>
      <c r="BL32" s="16">
        <v>735</v>
      </c>
    </row>
    <row r="33" spans="1:64" ht="15" customHeight="1">
      <c r="A33" s="5" t="s">
        <v>245</v>
      </c>
      <c r="B33" s="17" t="s">
        <v>150</v>
      </c>
      <c r="C33" s="77" t="s">
        <v>433</v>
      </c>
      <c r="D33" s="77"/>
      <c r="E33" s="77"/>
      <c r="F33" s="77"/>
      <c r="G33" s="77"/>
      <c r="H33" s="77"/>
      <c r="I33" s="17" t="s">
        <v>297</v>
      </c>
      <c r="J33" s="16">
        <v>2</v>
      </c>
      <c r="K33" s="16">
        <v>0</v>
      </c>
      <c r="L33" s="16">
        <f t="shared" si="20"/>
        <v>0</v>
      </c>
      <c r="M33" s="31">
        <v>0</v>
      </c>
      <c r="Z33" s="16">
        <f t="shared" si="21"/>
        <v>0</v>
      </c>
      <c r="AB33" s="16">
        <f t="shared" si="22"/>
        <v>0</v>
      </c>
      <c r="AC33" s="16">
        <f t="shared" si="23"/>
        <v>0</v>
      </c>
      <c r="AD33" s="16">
        <f t="shared" si="24"/>
        <v>0</v>
      </c>
      <c r="AE33" s="16">
        <f t="shared" si="25"/>
        <v>0</v>
      </c>
      <c r="AF33" s="16">
        <f t="shared" si="26"/>
        <v>0</v>
      </c>
      <c r="AG33" s="16">
        <f t="shared" si="27"/>
        <v>0</v>
      </c>
      <c r="AH33" s="16">
        <f t="shared" si="28"/>
        <v>0</v>
      </c>
      <c r="AI33" s="42" t="s">
        <v>268</v>
      </c>
      <c r="AJ33" s="16">
        <f t="shared" si="29"/>
        <v>0</v>
      </c>
      <c r="AK33" s="16">
        <f t="shared" si="30"/>
        <v>0</v>
      </c>
      <c r="AL33" s="16">
        <f t="shared" si="31"/>
        <v>0</v>
      </c>
      <c r="AN33" s="16">
        <v>21</v>
      </c>
      <c r="AO33" s="16">
        <f>K33*0</f>
        <v>0</v>
      </c>
      <c r="AP33" s="16">
        <f>K33*(1-0)</f>
        <v>0</v>
      </c>
      <c r="AQ33" s="56" t="s">
        <v>389</v>
      </c>
      <c r="AV33" s="16">
        <f t="shared" si="32"/>
        <v>0</v>
      </c>
      <c r="AW33" s="16">
        <f t="shared" si="33"/>
        <v>0</v>
      </c>
      <c r="AX33" s="16">
        <f t="shared" si="34"/>
        <v>0</v>
      </c>
      <c r="AY33" s="56" t="s">
        <v>220</v>
      </c>
      <c r="AZ33" s="56" t="s">
        <v>356</v>
      </c>
      <c r="BA33" s="42" t="s">
        <v>295</v>
      </c>
      <c r="BC33" s="16">
        <f t="shared" si="35"/>
        <v>0</v>
      </c>
      <c r="BD33" s="16">
        <f t="shared" si="36"/>
        <v>0</v>
      </c>
      <c r="BE33" s="16">
        <v>0</v>
      </c>
      <c r="BF33" s="16">
        <f>33</f>
        <v>33</v>
      </c>
      <c r="BH33" s="16">
        <f t="shared" si="37"/>
        <v>0</v>
      </c>
      <c r="BI33" s="16">
        <f t="shared" si="38"/>
        <v>0</v>
      </c>
      <c r="BJ33" s="16">
        <f t="shared" si="39"/>
        <v>0</v>
      </c>
      <c r="BK33" s="16"/>
      <c r="BL33" s="16">
        <v>735</v>
      </c>
    </row>
    <row r="34" spans="1:64" ht="15" customHeight="1">
      <c r="A34" s="5" t="s">
        <v>15</v>
      </c>
      <c r="B34" s="17" t="s">
        <v>280</v>
      </c>
      <c r="C34" s="77" t="s">
        <v>172</v>
      </c>
      <c r="D34" s="77"/>
      <c r="E34" s="77"/>
      <c r="F34" s="77"/>
      <c r="G34" s="77"/>
      <c r="H34" s="77"/>
      <c r="I34" s="17" t="s">
        <v>271</v>
      </c>
      <c r="J34" s="16">
        <v>2</v>
      </c>
      <c r="K34" s="16">
        <v>0</v>
      </c>
      <c r="L34" s="16">
        <f t="shared" si="20"/>
        <v>0</v>
      </c>
      <c r="M34" s="31">
        <v>0.01632</v>
      </c>
      <c r="Z34" s="16">
        <f t="shared" si="21"/>
        <v>0</v>
      </c>
      <c r="AB34" s="16">
        <f t="shared" si="22"/>
        <v>0</v>
      </c>
      <c r="AC34" s="16">
        <f t="shared" si="23"/>
        <v>0</v>
      </c>
      <c r="AD34" s="16">
        <f t="shared" si="24"/>
        <v>0</v>
      </c>
      <c r="AE34" s="16">
        <f t="shared" si="25"/>
        <v>0</v>
      </c>
      <c r="AF34" s="16">
        <f t="shared" si="26"/>
        <v>0</v>
      </c>
      <c r="AG34" s="16">
        <f t="shared" si="27"/>
        <v>0</v>
      </c>
      <c r="AH34" s="16">
        <f t="shared" si="28"/>
        <v>0</v>
      </c>
      <c r="AI34" s="42" t="s">
        <v>268</v>
      </c>
      <c r="AJ34" s="16">
        <f t="shared" si="29"/>
        <v>0</v>
      </c>
      <c r="AK34" s="16">
        <f t="shared" si="30"/>
        <v>0</v>
      </c>
      <c r="AL34" s="16">
        <f t="shared" si="31"/>
        <v>0</v>
      </c>
      <c r="AN34" s="16">
        <v>21</v>
      </c>
      <c r="AO34" s="16">
        <f>K34*0.390335227272727</f>
        <v>0</v>
      </c>
      <c r="AP34" s="16">
        <f>K34*(1-0.390335227272727)</f>
        <v>0</v>
      </c>
      <c r="AQ34" s="56" t="s">
        <v>389</v>
      </c>
      <c r="AV34" s="16">
        <f t="shared" si="32"/>
        <v>0</v>
      </c>
      <c r="AW34" s="16">
        <f t="shared" si="33"/>
        <v>0</v>
      </c>
      <c r="AX34" s="16">
        <f t="shared" si="34"/>
        <v>0</v>
      </c>
      <c r="AY34" s="56" t="s">
        <v>220</v>
      </c>
      <c r="AZ34" s="56" t="s">
        <v>356</v>
      </c>
      <c r="BA34" s="42" t="s">
        <v>295</v>
      </c>
      <c r="BC34" s="16">
        <f t="shared" si="35"/>
        <v>0</v>
      </c>
      <c r="BD34" s="16">
        <f t="shared" si="36"/>
        <v>0</v>
      </c>
      <c r="BE34" s="16">
        <v>0</v>
      </c>
      <c r="BF34" s="16">
        <f>34</f>
        <v>34</v>
      </c>
      <c r="BH34" s="16">
        <f t="shared" si="37"/>
        <v>0</v>
      </c>
      <c r="BI34" s="16">
        <f t="shared" si="38"/>
        <v>0</v>
      </c>
      <c r="BJ34" s="16">
        <f t="shared" si="39"/>
        <v>0</v>
      </c>
      <c r="BK34" s="16"/>
      <c r="BL34" s="16">
        <v>735</v>
      </c>
    </row>
    <row r="35" spans="1:64" ht="15" customHeight="1">
      <c r="A35" s="5" t="s">
        <v>275</v>
      </c>
      <c r="B35" s="17" t="s">
        <v>259</v>
      </c>
      <c r="C35" s="77" t="s">
        <v>120</v>
      </c>
      <c r="D35" s="77"/>
      <c r="E35" s="77"/>
      <c r="F35" s="77"/>
      <c r="G35" s="77"/>
      <c r="H35" s="77"/>
      <c r="I35" s="17" t="s">
        <v>297</v>
      </c>
      <c r="J35" s="16">
        <v>2</v>
      </c>
      <c r="K35" s="16">
        <v>0</v>
      </c>
      <c r="L35" s="16">
        <f t="shared" si="20"/>
        <v>0</v>
      </c>
      <c r="M35" s="31">
        <v>0</v>
      </c>
      <c r="Z35" s="16">
        <f t="shared" si="21"/>
        <v>0</v>
      </c>
      <c r="AB35" s="16">
        <f t="shared" si="22"/>
        <v>0</v>
      </c>
      <c r="AC35" s="16">
        <f t="shared" si="23"/>
        <v>0</v>
      </c>
      <c r="AD35" s="16">
        <f t="shared" si="24"/>
        <v>0</v>
      </c>
      <c r="AE35" s="16">
        <f t="shared" si="25"/>
        <v>0</v>
      </c>
      <c r="AF35" s="16">
        <f t="shared" si="26"/>
        <v>0</v>
      </c>
      <c r="AG35" s="16">
        <f t="shared" si="27"/>
        <v>0</v>
      </c>
      <c r="AH35" s="16">
        <f t="shared" si="28"/>
        <v>0</v>
      </c>
      <c r="AI35" s="42" t="s">
        <v>268</v>
      </c>
      <c r="AJ35" s="16">
        <f t="shared" si="29"/>
        <v>0</v>
      </c>
      <c r="AK35" s="16">
        <f t="shared" si="30"/>
        <v>0</v>
      </c>
      <c r="AL35" s="16">
        <f t="shared" si="31"/>
        <v>0</v>
      </c>
      <c r="AN35" s="16">
        <v>21</v>
      </c>
      <c r="AO35" s="16">
        <f>K35*0.0446893939393939</f>
        <v>0</v>
      </c>
      <c r="AP35" s="16">
        <f>K35*(1-0.0446893939393939)</f>
        <v>0</v>
      </c>
      <c r="AQ35" s="56" t="s">
        <v>389</v>
      </c>
      <c r="AV35" s="16">
        <f t="shared" si="32"/>
        <v>0</v>
      </c>
      <c r="AW35" s="16">
        <f t="shared" si="33"/>
        <v>0</v>
      </c>
      <c r="AX35" s="16">
        <f t="shared" si="34"/>
        <v>0</v>
      </c>
      <c r="AY35" s="56" t="s">
        <v>220</v>
      </c>
      <c r="AZ35" s="56" t="s">
        <v>356</v>
      </c>
      <c r="BA35" s="42" t="s">
        <v>295</v>
      </c>
      <c r="BC35" s="16">
        <f t="shared" si="35"/>
        <v>0</v>
      </c>
      <c r="BD35" s="16">
        <f t="shared" si="36"/>
        <v>0</v>
      </c>
      <c r="BE35" s="16">
        <v>0</v>
      </c>
      <c r="BF35" s="16">
        <f>35</f>
        <v>35</v>
      </c>
      <c r="BH35" s="16">
        <f t="shared" si="37"/>
        <v>0</v>
      </c>
      <c r="BI35" s="16">
        <f t="shared" si="38"/>
        <v>0</v>
      </c>
      <c r="BJ35" s="16">
        <f t="shared" si="39"/>
        <v>0</v>
      </c>
      <c r="BK35" s="16"/>
      <c r="BL35" s="16">
        <v>735</v>
      </c>
    </row>
    <row r="36" spans="1:64" ht="15" customHeight="1">
      <c r="A36" s="5" t="s">
        <v>373</v>
      </c>
      <c r="B36" s="17" t="s">
        <v>320</v>
      </c>
      <c r="C36" s="77" t="s">
        <v>167</v>
      </c>
      <c r="D36" s="77"/>
      <c r="E36" s="77"/>
      <c r="F36" s="77"/>
      <c r="G36" s="77"/>
      <c r="H36" s="77"/>
      <c r="I36" s="17" t="s">
        <v>297</v>
      </c>
      <c r="J36" s="16">
        <v>1</v>
      </c>
      <c r="K36" s="16">
        <v>0</v>
      </c>
      <c r="L36" s="16">
        <f t="shared" si="20"/>
        <v>0</v>
      </c>
      <c r="M36" s="31">
        <v>0.15314</v>
      </c>
      <c r="Z36" s="16">
        <f t="shared" si="21"/>
        <v>0</v>
      </c>
      <c r="AB36" s="16">
        <f t="shared" si="22"/>
        <v>0</v>
      </c>
      <c r="AC36" s="16">
        <f t="shared" si="23"/>
        <v>0</v>
      </c>
      <c r="AD36" s="16">
        <f t="shared" si="24"/>
        <v>0</v>
      </c>
      <c r="AE36" s="16">
        <f t="shared" si="25"/>
        <v>0</v>
      </c>
      <c r="AF36" s="16">
        <f t="shared" si="26"/>
        <v>0</v>
      </c>
      <c r="AG36" s="16">
        <f t="shared" si="27"/>
        <v>0</v>
      </c>
      <c r="AH36" s="16">
        <f t="shared" si="28"/>
        <v>0</v>
      </c>
      <c r="AI36" s="42" t="s">
        <v>268</v>
      </c>
      <c r="AJ36" s="16">
        <f t="shared" si="29"/>
        <v>0</v>
      </c>
      <c r="AK36" s="16">
        <f t="shared" si="30"/>
        <v>0</v>
      </c>
      <c r="AL36" s="16">
        <f t="shared" si="31"/>
        <v>0</v>
      </c>
      <c r="AN36" s="16">
        <v>21</v>
      </c>
      <c r="AO36" s="16">
        <f>K36*0.598748663101604</f>
        <v>0</v>
      </c>
      <c r="AP36" s="16">
        <f>K36*(1-0.598748663101604)</f>
        <v>0</v>
      </c>
      <c r="AQ36" s="56" t="s">
        <v>389</v>
      </c>
      <c r="AV36" s="16">
        <f t="shared" si="32"/>
        <v>0</v>
      </c>
      <c r="AW36" s="16">
        <f t="shared" si="33"/>
        <v>0</v>
      </c>
      <c r="AX36" s="16">
        <f t="shared" si="34"/>
        <v>0</v>
      </c>
      <c r="AY36" s="56" t="s">
        <v>220</v>
      </c>
      <c r="AZ36" s="56" t="s">
        <v>356</v>
      </c>
      <c r="BA36" s="42" t="s">
        <v>295</v>
      </c>
      <c r="BC36" s="16">
        <f t="shared" si="35"/>
        <v>0</v>
      </c>
      <c r="BD36" s="16">
        <f t="shared" si="36"/>
        <v>0</v>
      </c>
      <c r="BE36" s="16">
        <v>0</v>
      </c>
      <c r="BF36" s="16">
        <f>36</f>
        <v>36</v>
      </c>
      <c r="BH36" s="16">
        <f t="shared" si="37"/>
        <v>0</v>
      </c>
      <c r="BI36" s="16">
        <f t="shared" si="38"/>
        <v>0</v>
      </c>
      <c r="BJ36" s="16">
        <f t="shared" si="39"/>
        <v>0</v>
      </c>
      <c r="BK36" s="16"/>
      <c r="BL36" s="16">
        <v>735</v>
      </c>
    </row>
    <row r="37" spans="1:64" ht="15" customHeight="1">
      <c r="A37" s="5" t="s">
        <v>183</v>
      </c>
      <c r="B37" s="17" t="s">
        <v>105</v>
      </c>
      <c r="C37" s="77" t="s">
        <v>88</v>
      </c>
      <c r="D37" s="77"/>
      <c r="E37" s="77"/>
      <c r="F37" s="77"/>
      <c r="G37" s="77"/>
      <c r="H37" s="77"/>
      <c r="I37" s="17" t="s">
        <v>297</v>
      </c>
      <c r="J37" s="16">
        <v>1</v>
      </c>
      <c r="K37" s="16">
        <v>0</v>
      </c>
      <c r="L37" s="16">
        <f t="shared" si="20"/>
        <v>0</v>
      </c>
      <c r="M37" s="31">
        <v>0</v>
      </c>
      <c r="Z37" s="16">
        <f t="shared" si="21"/>
        <v>0</v>
      </c>
      <c r="AB37" s="16">
        <f t="shared" si="22"/>
        <v>0</v>
      </c>
      <c r="AC37" s="16">
        <f t="shared" si="23"/>
        <v>0</v>
      </c>
      <c r="AD37" s="16">
        <f t="shared" si="24"/>
        <v>0</v>
      </c>
      <c r="AE37" s="16">
        <f t="shared" si="25"/>
        <v>0</v>
      </c>
      <c r="AF37" s="16">
        <f t="shared" si="26"/>
        <v>0</v>
      </c>
      <c r="AG37" s="16">
        <f t="shared" si="27"/>
        <v>0</v>
      </c>
      <c r="AH37" s="16">
        <f t="shared" si="28"/>
        <v>0</v>
      </c>
      <c r="AI37" s="42" t="s">
        <v>268</v>
      </c>
      <c r="AJ37" s="16">
        <f t="shared" si="29"/>
        <v>0</v>
      </c>
      <c r="AK37" s="16">
        <f t="shared" si="30"/>
        <v>0</v>
      </c>
      <c r="AL37" s="16">
        <f t="shared" si="31"/>
        <v>0</v>
      </c>
      <c r="AN37" s="16">
        <v>21</v>
      </c>
      <c r="AO37" s="16">
        <f>K37*0.0144044117647059</f>
        <v>0</v>
      </c>
      <c r="AP37" s="16">
        <f>K37*(1-0.0144044117647059)</f>
        <v>0</v>
      </c>
      <c r="AQ37" s="56" t="s">
        <v>389</v>
      </c>
      <c r="AV37" s="16">
        <f t="shared" si="32"/>
        <v>0</v>
      </c>
      <c r="AW37" s="16">
        <f t="shared" si="33"/>
        <v>0</v>
      </c>
      <c r="AX37" s="16">
        <f t="shared" si="34"/>
        <v>0</v>
      </c>
      <c r="AY37" s="56" t="s">
        <v>220</v>
      </c>
      <c r="AZ37" s="56" t="s">
        <v>356</v>
      </c>
      <c r="BA37" s="42" t="s">
        <v>295</v>
      </c>
      <c r="BC37" s="16">
        <f t="shared" si="35"/>
        <v>0</v>
      </c>
      <c r="BD37" s="16">
        <f t="shared" si="36"/>
        <v>0</v>
      </c>
      <c r="BE37" s="16">
        <v>0</v>
      </c>
      <c r="BF37" s="16">
        <f>37</f>
        <v>37</v>
      </c>
      <c r="BH37" s="16">
        <f t="shared" si="37"/>
        <v>0</v>
      </c>
      <c r="BI37" s="16">
        <f t="shared" si="38"/>
        <v>0</v>
      </c>
      <c r="BJ37" s="16">
        <f t="shared" si="39"/>
        <v>0</v>
      </c>
      <c r="BK37" s="16"/>
      <c r="BL37" s="16">
        <v>735</v>
      </c>
    </row>
    <row r="38" spans="1:64" ht="15" customHeight="1">
      <c r="A38" s="5" t="s">
        <v>37</v>
      </c>
      <c r="B38" s="17" t="s">
        <v>286</v>
      </c>
      <c r="C38" s="77" t="s">
        <v>284</v>
      </c>
      <c r="D38" s="77"/>
      <c r="E38" s="77"/>
      <c r="F38" s="77"/>
      <c r="G38" s="77"/>
      <c r="H38" s="77"/>
      <c r="I38" s="17" t="s">
        <v>297</v>
      </c>
      <c r="J38" s="16">
        <v>1</v>
      </c>
      <c r="K38" s="16">
        <v>0</v>
      </c>
      <c r="L38" s="16">
        <f t="shared" si="20"/>
        <v>0</v>
      </c>
      <c r="M38" s="31">
        <v>0</v>
      </c>
      <c r="Z38" s="16">
        <f t="shared" si="21"/>
        <v>0</v>
      </c>
      <c r="AB38" s="16">
        <f t="shared" si="22"/>
        <v>0</v>
      </c>
      <c r="AC38" s="16">
        <f t="shared" si="23"/>
        <v>0</v>
      </c>
      <c r="AD38" s="16">
        <f t="shared" si="24"/>
        <v>0</v>
      </c>
      <c r="AE38" s="16">
        <f t="shared" si="25"/>
        <v>0</v>
      </c>
      <c r="AF38" s="16">
        <f t="shared" si="26"/>
        <v>0</v>
      </c>
      <c r="AG38" s="16">
        <f t="shared" si="27"/>
        <v>0</v>
      </c>
      <c r="AH38" s="16">
        <f t="shared" si="28"/>
        <v>0</v>
      </c>
      <c r="AI38" s="42" t="s">
        <v>268</v>
      </c>
      <c r="AJ38" s="16">
        <f t="shared" si="29"/>
        <v>0</v>
      </c>
      <c r="AK38" s="16">
        <f t="shared" si="30"/>
        <v>0</v>
      </c>
      <c r="AL38" s="16">
        <f t="shared" si="31"/>
        <v>0</v>
      </c>
      <c r="AN38" s="16">
        <v>21</v>
      </c>
      <c r="AO38" s="16">
        <f>K38*0</f>
        <v>0</v>
      </c>
      <c r="AP38" s="16">
        <f>K38*(1-0)</f>
        <v>0</v>
      </c>
      <c r="AQ38" s="56" t="s">
        <v>208</v>
      </c>
      <c r="AV38" s="16">
        <f t="shared" si="32"/>
        <v>0</v>
      </c>
      <c r="AW38" s="16">
        <f t="shared" si="33"/>
        <v>0</v>
      </c>
      <c r="AX38" s="16">
        <f t="shared" si="34"/>
        <v>0</v>
      </c>
      <c r="AY38" s="56" t="s">
        <v>220</v>
      </c>
      <c r="AZ38" s="56" t="s">
        <v>356</v>
      </c>
      <c r="BA38" s="42" t="s">
        <v>295</v>
      </c>
      <c r="BC38" s="16">
        <f t="shared" si="35"/>
        <v>0</v>
      </c>
      <c r="BD38" s="16">
        <f t="shared" si="36"/>
        <v>0</v>
      </c>
      <c r="BE38" s="16">
        <v>0</v>
      </c>
      <c r="BF38" s="16">
        <f>38</f>
        <v>38</v>
      </c>
      <c r="BH38" s="16">
        <f t="shared" si="37"/>
        <v>0</v>
      </c>
      <c r="BI38" s="16">
        <f t="shared" si="38"/>
        <v>0</v>
      </c>
      <c r="BJ38" s="16">
        <f t="shared" si="39"/>
        <v>0</v>
      </c>
      <c r="BK38" s="16"/>
      <c r="BL38" s="16">
        <v>735</v>
      </c>
    </row>
    <row r="39" spans="1:47" ht="15" customHeight="1">
      <c r="A39" s="43" t="s">
        <v>268</v>
      </c>
      <c r="B39" s="13" t="s">
        <v>170</v>
      </c>
      <c r="C39" s="116" t="s">
        <v>192</v>
      </c>
      <c r="D39" s="116"/>
      <c r="E39" s="116"/>
      <c r="F39" s="116"/>
      <c r="G39" s="116"/>
      <c r="H39" s="116"/>
      <c r="I39" s="58" t="s">
        <v>363</v>
      </c>
      <c r="J39" s="58" t="s">
        <v>363</v>
      </c>
      <c r="K39" s="58" t="s">
        <v>363</v>
      </c>
      <c r="L39" s="61">
        <f>SUM(L40:L44)</f>
        <v>0</v>
      </c>
      <c r="M39" s="8" t="s">
        <v>268</v>
      </c>
      <c r="AI39" s="42" t="s">
        <v>268</v>
      </c>
      <c r="AS39" s="61">
        <f>SUM(AJ40:AJ44)</f>
        <v>0</v>
      </c>
      <c r="AT39" s="61">
        <f>SUM(AK40:AK44)</f>
        <v>0</v>
      </c>
      <c r="AU39" s="61">
        <f>SUM(AL40:AL44)</f>
        <v>0</v>
      </c>
    </row>
    <row r="40" spans="1:64" ht="15" customHeight="1">
      <c r="A40" s="5" t="s">
        <v>100</v>
      </c>
      <c r="B40" s="17" t="s">
        <v>0</v>
      </c>
      <c r="C40" s="77" t="s">
        <v>250</v>
      </c>
      <c r="D40" s="77"/>
      <c r="E40" s="77"/>
      <c r="F40" s="77"/>
      <c r="G40" s="77"/>
      <c r="H40" s="77"/>
      <c r="I40" s="17" t="s">
        <v>101</v>
      </c>
      <c r="J40" s="16">
        <v>6</v>
      </c>
      <c r="K40" s="16">
        <v>0</v>
      </c>
      <c r="L40" s="16">
        <f>J40*K40</f>
        <v>0</v>
      </c>
      <c r="M40" s="31">
        <v>0</v>
      </c>
      <c r="Z40" s="16">
        <f>IF(AQ40="5",BJ40,0)</f>
        <v>0</v>
      </c>
      <c r="AB40" s="16">
        <f>IF(AQ40="1",BH40,0)</f>
        <v>0</v>
      </c>
      <c r="AC40" s="16">
        <f>IF(AQ40="1",BI40,0)</f>
        <v>0</v>
      </c>
      <c r="AD40" s="16">
        <f>IF(AQ40="7",BH40,0)</f>
        <v>0</v>
      </c>
      <c r="AE40" s="16">
        <f>IF(AQ40="7",BI40,0)</f>
        <v>0</v>
      </c>
      <c r="AF40" s="16">
        <f>IF(AQ40="2",BH40,0)</f>
        <v>0</v>
      </c>
      <c r="AG40" s="16">
        <f>IF(AQ40="2",BI40,0)</f>
        <v>0</v>
      </c>
      <c r="AH40" s="16">
        <f>IF(AQ40="0",BJ40,0)</f>
        <v>0</v>
      </c>
      <c r="AI40" s="42" t="s">
        <v>268</v>
      </c>
      <c r="AJ40" s="16">
        <f>IF(AN40=0,L40,0)</f>
        <v>0</v>
      </c>
      <c r="AK40" s="16">
        <f>IF(AN40=12,L40,0)</f>
        <v>0</v>
      </c>
      <c r="AL40" s="16">
        <f>IF(AN40=21,L40,0)</f>
        <v>0</v>
      </c>
      <c r="AN40" s="16">
        <v>21</v>
      </c>
      <c r="AO40" s="16">
        <f>K40*0</f>
        <v>0</v>
      </c>
      <c r="AP40" s="16">
        <f>K40*(1-0)</f>
        <v>0</v>
      </c>
      <c r="AQ40" s="56" t="s">
        <v>389</v>
      </c>
      <c r="AV40" s="16">
        <f>AW40+AX40</f>
        <v>0</v>
      </c>
      <c r="AW40" s="16">
        <f>J40*AO40</f>
        <v>0</v>
      </c>
      <c r="AX40" s="16">
        <f>J40*AP40</f>
        <v>0</v>
      </c>
      <c r="AY40" s="56" t="s">
        <v>44</v>
      </c>
      <c r="AZ40" s="56" t="s">
        <v>210</v>
      </c>
      <c r="BA40" s="42" t="s">
        <v>295</v>
      </c>
      <c r="BC40" s="16">
        <f>AW40+AX40</f>
        <v>0</v>
      </c>
      <c r="BD40" s="16">
        <f>K40/(100-BE40)*100</f>
        <v>0</v>
      </c>
      <c r="BE40" s="16">
        <v>0</v>
      </c>
      <c r="BF40" s="16">
        <f>40</f>
        <v>40</v>
      </c>
      <c r="BH40" s="16">
        <f>J40*AO40</f>
        <v>0</v>
      </c>
      <c r="BI40" s="16">
        <f>J40*AP40</f>
        <v>0</v>
      </c>
      <c r="BJ40" s="16">
        <f>J40*K40</f>
        <v>0</v>
      </c>
      <c r="BK40" s="16"/>
      <c r="BL40" s="16">
        <v>766</v>
      </c>
    </row>
    <row r="41" spans="1:64" ht="15" customHeight="1">
      <c r="A41" s="5" t="s">
        <v>53</v>
      </c>
      <c r="B41" s="17" t="s">
        <v>181</v>
      </c>
      <c r="C41" s="77" t="s">
        <v>403</v>
      </c>
      <c r="D41" s="77"/>
      <c r="E41" s="77"/>
      <c r="F41" s="77"/>
      <c r="G41" s="77"/>
      <c r="H41" s="77"/>
      <c r="I41" s="17" t="s">
        <v>101</v>
      </c>
      <c r="J41" s="16">
        <v>6</v>
      </c>
      <c r="K41" s="16">
        <v>0</v>
      </c>
      <c r="L41" s="16">
        <f>J41*K41</f>
        <v>0</v>
      </c>
      <c r="M41" s="31">
        <v>0.0344</v>
      </c>
      <c r="Z41" s="16">
        <f>IF(AQ41="5",BJ41,0)</f>
        <v>0</v>
      </c>
      <c r="AB41" s="16">
        <f>IF(AQ41="1",BH41,0)</f>
        <v>0</v>
      </c>
      <c r="AC41" s="16">
        <f>IF(AQ41="1",BI41,0)</f>
        <v>0</v>
      </c>
      <c r="AD41" s="16">
        <f>IF(AQ41="7",BH41,0)</f>
        <v>0</v>
      </c>
      <c r="AE41" s="16">
        <f>IF(AQ41="7",BI41,0)</f>
        <v>0</v>
      </c>
      <c r="AF41" s="16">
        <f>IF(AQ41="2",BH41,0)</f>
        <v>0</v>
      </c>
      <c r="AG41" s="16">
        <f>IF(AQ41="2",BI41,0)</f>
        <v>0</v>
      </c>
      <c r="AH41" s="16">
        <f>IF(AQ41="0",BJ41,0)</f>
        <v>0</v>
      </c>
      <c r="AI41" s="42" t="s">
        <v>268</v>
      </c>
      <c r="AJ41" s="16">
        <f>IF(AN41=0,L41,0)</f>
        <v>0</v>
      </c>
      <c r="AK41" s="16">
        <f>IF(AN41=12,L41,0)</f>
        <v>0</v>
      </c>
      <c r="AL41" s="16">
        <f>IF(AN41=21,L41,0)</f>
        <v>0</v>
      </c>
      <c r="AN41" s="16">
        <v>21</v>
      </c>
      <c r="AO41" s="16">
        <f>K41*1</f>
        <v>0</v>
      </c>
      <c r="AP41" s="16">
        <f>K41*(1-1)</f>
        <v>0</v>
      </c>
      <c r="AQ41" s="56" t="s">
        <v>389</v>
      </c>
      <c r="AV41" s="16">
        <f>AW41+AX41</f>
        <v>0</v>
      </c>
      <c r="AW41" s="16">
        <f>J41*AO41</f>
        <v>0</v>
      </c>
      <c r="AX41" s="16">
        <f>J41*AP41</f>
        <v>0</v>
      </c>
      <c r="AY41" s="56" t="s">
        <v>44</v>
      </c>
      <c r="AZ41" s="56" t="s">
        <v>210</v>
      </c>
      <c r="BA41" s="42" t="s">
        <v>295</v>
      </c>
      <c r="BC41" s="16">
        <f>AW41+AX41</f>
        <v>0</v>
      </c>
      <c r="BD41" s="16">
        <f>K41/(100-BE41)*100</f>
        <v>0</v>
      </c>
      <c r="BE41" s="16">
        <v>0</v>
      </c>
      <c r="BF41" s="16">
        <f>41</f>
        <v>41</v>
      </c>
      <c r="BH41" s="16">
        <f>J41*AO41</f>
        <v>0</v>
      </c>
      <c r="BI41" s="16">
        <f>J41*AP41</f>
        <v>0</v>
      </c>
      <c r="BJ41" s="16">
        <f>J41*K41</f>
        <v>0</v>
      </c>
      <c r="BK41" s="16"/>
      <c r="BL41" s="16">
        <v>766</v>
      </c>
    </row>
    <row r="42" spans="1:64" ht="15" customHeight="1">
      <c r="A42" s="5" t="s">
        <v>379</v>
      </c>
      <c r="B42" s="17" t="s">
        <v>309</v>
      </c>
      <c r="C42" s="77" t="s">
        <v>110</v>
      </c>
      <c r="D42" s="77"/>
      <c r="E42" s="77"/>
      <c r="F42" s="77"/>
      <c r="G42" s="77"/>
      <c r="H42" s="77"/>
      <c r="I42" s="17" t="s">
        <v>101</v>
      </c>
      <c r="J42" s="16">
        <v>6</v>
      </c>
      <c r="K42" s="16">
        <v>0</v>
      </c>
      <c r="L42" s="16">
        <f>J42*K42</f>
        <v>0</v>
      </c>
      <c r="M42" s="31">
        <v>0</v>
      </c>
      <c r="Z42" s="16">
        <f>IF(AQ42="5",BJ42,0)</f>
        <v>0</v>
      </c>
      <c r="AB42" s="16">
        <f>IF(AQ42="1",BH42,0)</f>
        <v>0</v>
      </c>
      <c r="AC42" s="16">
        <f>IF(AQ42="1",BI42,0)</f>
        <v>0</v>
      </c>
      <c r="AD42" s="16">
        <f>IF(AQ42="7",BH42,0)</f>
        <v>0</v>
      </c>
      <c r="AE42" s="16">
        <f>IF(AQ42="7",BI42,0)</f>
        <v>0</v>
      </c>
      <c r="AF42" s="16">
        <f>IF(AQ42="2",BH42,0)</f>
        <v>0</v>
      </c>
      <c r="AG42" s="16">
        <f>IF(AQ42="2",BI42,0)</f>
        <v>0</v>
      </c>
      <c r="AH42" s="16">
        <f>IF(AQ42="0",BJ42,0)</f>
        <v>0</v>
      </c>
      <c r="AI42" s="42" t="s">
        <v>268</v>
      </c>
      <c r="AJ42" s="16">
        <f>IF(AN42=0,L42,0)</f>
        <v>0</v>
      </c>
      <c r="AK42" s="16">
        <f>IF(AN42=12,L42,0)</f>
        <v>0</v>
      </c>
      <c r="AL42" s="16">
        <f>IF(AN42=21,L42,0)</f>
        <v>0</v>
      </c>
      <c r="AN42" s="16">
        <v>21</v>
      </c>
      <c r="AO42" s="16">
        <f>K42*0</f>
        <v>0</v>
      </c>
      <c r="AP42" s="16">
        <f>K42*(1-0)</f>
        <v>0</v>
      </c>
      <c r="AQ42" s="56" t="s">
        <v>389</v>
      </c>
      <c r="AV42" s="16">
        <f>AW42+AX42</f>
        <v>0</v>
      </c>
      <c r="AW42" s="16">
        <f>J42*AO42</f>
        <v>0</v>
      </c>
      <c r="AX42" s="16">
        <f>J42*AP42</f>
        <v>0</v>
      </c>
      <c r="AY42" s="56" t="s">
        <v>44</v>
      </c>
      <c r="AZ42" s="56" t="s">
        <v>210</v>
      </c>
      <c r="BA42" s="42" t="s">
        <v>295</v>
      </c>
      <c r="BC42" s="16">
        <f>AW42+AX42</f>
        <v>0</v>
      </c>
      <c r="BD42" s="16">
        <f>K42/(100-BE42)*100</f>
        <v>0</v>
      </c>
      <c r="BE42" s="16">
        <v>0</v>
      </c>
      <c r="BF42" s="16">
        <f>42</f>
        <v>42</v>
      </c>
      <c r="BH42" s="16">
        <f>J42*AO42</f>
        <v>0</v>
      </c>
      <c r="BI42" s="16">
        <f>J42*AP42</f>
        <v>0</v>
      </c>
      <c r="BJ42" s="16">
        <f>J42*K42</f>
        <v>0</v>
      </c>
      <c r="BK42" s="16"/>
      <c r="BL42" s="16">
        <v>766</v>
      </c>
    </row>
    <row r="43" spans="1:64" ht="15" customHeight="1">
      <c r="A43" s="5" t="s">
        <v>421</v>
      </c>
      <c r="B43" s="17" t="s">
        <v>209</v>
      </c>
      <c r="C43" s="77" t="s">
        <v>198</v>
      </c>
      <c r="D43" s="77"/>
      <c r="E43" s="77"/>
      <c r="F43" s="77"/>
      <c r="G43" s="77"/>
      <c r="H43" s="77"/>
      <c r="I43" s="17" t="s">
        <v>101</v>
      </c>
      <c r="J43" s="16">
        <v>6</v>
      </c>
      <c r="K43" s="16">
        <v>0</v>
      </c>
      <c r="L43" s="16">
        <f>J43*K43</f>
        <v>0</v>
      </c>
      <c r="M43" s="31">
        <v>0.00075</v>
      </c>
      <c r="Z43" s="16">
        <f>IF(AQ43="5",BJ43,0)</f>
        <v>0</v>
      </c>
      <c r="AB43" s="16">
        <f>IF(AQ43="1",BH43,0)</f>
        <v>0</v>
      </c>
      <c r="AC43" s="16">
        <f>IF(AQ43="1",BI43,0)</f>
        <v>0</v>
      </c>
      <c r="AD43" s="16">
        <f>IF(AQ43="7",BH43,0)</f>
        <v>0</v>
      </c>
      <c r="AE43" s="16">
        <f>IF(AQ43="7",BI43,0)</f>
        <v>0</v>
      </c>
      <c r="AF43" s="16">
        <f>IF(AQ43="2",BH43,0)</f>
        <v>0</v>
      </c>
      <c r="AG43" s="16">
        <f>IF(AQ43="2",BI43,0)</f>
        <v>0</v>
      </c>
      <c r="AH43" s="16">
        <f>IF(AQ43="0",BJ43,0)</f>
        <v>0</v>
      </c>
      <c r="AI43" s="42" t="s">
        <v>268</v>
      </c>
      <c r="AJ43" s="16">
        <f>IF(AN43=0,L43,0)</f>
        <v>0</v>
      </c>
      <c r="AK43" s="16">
        <f>IF(AN43=12,L43,0)</f>
        <v>0</v>
      </c>
      <c r="AL43" s="16">
        <f>IF(AN43=21,L43,0)</f>
        <v>0</v>
      </c>
      <c r="AN43" s="16">
        <v>21</v>
      </c>
      <c r="AO43" s="16">
        <f>K43*1</f>
        <v>0</v>
      </c>
      <c r="AP43" s="16">
        <f>K43*(1-1)</f>
        <v>0</v>
      </c>
      <c r="AQ43" s="56" t="s">
        <v>389</v>
      </c>
      <c r="AV43" s="16">
        <f>AW43+AX43</f>
        <v>0</v>
      </c>
      <c r="AW43" s="16">
        <f>J43*AO43</f>
        <v>0</v>
      </c>
      <c r="AX43" s="16">
        <f>J43*AP43</f>
        <v>0</v>
      </c>
      <c r="AY43" s="56" t="s">
        <v>44</v>
      </c>
      <c r="AZ43" s="56" t="s">
        <v>210</v>
      </c>
      <c r="BA43" s="42" t="s">
        <v>295</v>
      </c>
      <c r="BC43" s="16">
        <f>AW43+AX43</f>
        <v>0</v>
      </c>
      <c r="BD43" s="16">
        <f>K43/(100-BE43)*100</f>
        <v>0</v>
      </c>
      <c r="BE43" s="16">
        <v>0</v>
      </c>
      <c r="BF43" s="16">
        <f>43</f>
        <v>43</v>
      </c>
      <c r="BH43" s="16">
        <f>J43*AO43</f>
        <v>0</v>
      </c>
      <c r="BI43" s="16">
        <f>J43*AP43</f>
        <v>0</v>
      </c>
      <c r="BJ43" s="16">
        <f>J43*K43</f>
        <v>0</v>
      </c>
      <c r="BK43" s="16"/>
      <c r="BL43" s="16">
        <v>766</v>
      </c>
    </row>
    <row r="44" spans="1:64" ht="15" customHeight="1">
      <c r="A44" s="5" t="s">
        <v>28</v>
      </c>
      <c r="B44" s="17" t="s">
        <v>24</v>
      </c>
      <c r="C44" s="77" t="s">
        <v>83</v>
      </c>
      <c r="D44" s="77"/>
      <c r="E44" s="77"/>
      <c r="F44" s="77"/>
      <c r="G44" s="77"/>
      <c r="H44" s="77"/>
      <c r="I44" s="17" t="s">
        <v>271</v>
      </c>
      <c r="J44" s="16">
        <v>6</v>
      </c>
      <c r="K44" s="16">
        <v>0</v>
      </c>
      <c r="L44" s="16">
        <f>J44*K44</f>
        <v>0</v>
      </c>
      <c r="M44" s="31">
        <v>0</v>
      </c>
      <c r="Z44" s="16">
        <f>IF(AQ44="5",BJ44,0)</f>
        <v>0</v>
      </c>
      <c r="AB44" s="16">
        <f>IF(AQ44="1",BH44,0)</f>
        <v>0</v>
      </c>
      <c r="AC44" s="16">
        <f>IF(AQ44="1",BI44,0)</f>
        <v>0</v>
      </c>
      <c r="AD44" s="16">
        <f>IF(AQ44="7",BH44,0)</f>
        <v>0</v>
      </c>
      <c r="AE44" s="16">
        <f>IF(AQ44="7",BI44,0)</f>
        <v>0</v>
      </c>
      <c r="AF44" s="16">
        <f>IF(AQ44="2",BH44,0)</f>
        <v>0</v>
      </c>
      <c r="AG44" s="16">
        <f>IF(AQ44="2",BI44,0)</f>
        <v>0</v>
      </c>
      <c r="AH44" s="16">
        <f>IF(AQ44="0",BJ44,0)</f>
        <v>0</v>
      </c>
      <c r="AI44" s="42" t="s">
        <v>268</v>
      </c>
      <c r="AJ44" s="16">
        <f>IF(AN44=0,L44,0)</f>
        <v>0</v>
      </c>
      <c r="AK44" s="16">
        <f>IF(AN44=12,L44,0)</f>
        <v>0</v>
      </c>
      <c r="AL44" s="16">
        <f>IF(AN44=21,L44,0)</f>
        <v>0</v>
      </c>
      <c r="AN44" s="16">
        <v>21</v>
      </c>
      <c r="AO44" s="16">
        <f>K44*0</f>
        <v>0</v>
      </c>
      <c r="AP44" s="16">
        <f>K44*(1-0)</f>
        <v>0</v>
      </c>
      <c r="AQ44" s="56" t="s">
        <v>389</v>
      </c>
      <c r="AV44" s="16">
        <f>AW44+AX44</f>
        <v>0</v>
      </c>
      <c r="AW44" s="16">
        <f>J44*AO44</f>
        <v>0</v>
      </c>
      <c r="AX44" s="16">
        <f>J44*AP44</f>
        <v>0</v>
      </c>
      <c r="AY44" s="56" t="s">
        <v>44</v>
      </c>
      <c r="AZ44" s="56" t="s">
        <v>210</v>
      </c>
      <c r="BA44" s="42" t="s">
        <v>295</v>
      </c>
      <c r="BC44" s="16">
        <f>AW44+AX44</f>
        <v>0</v>
      </c>
      <c r="BD44" s="16">
        <f>K44/(100-BE44)*100</f>
        <v>0</v>
      </c>
      <c r="BE44" s="16">
        <v>0</v>
      </c>
      <c r="BF44" s="16">
        <f>44</f>
        <v>44</v>
      </c>
      <c r="BH44" s="16">
        <f>J44*AO44</f>
        <v>0</v>
      </c>
      <c r="BI44" s="16">
        <f>J44*AP44</f>
        <v>0</v>
      </c>
      <c r="BJ44" s="16">
        <f>J44*K44</f>
        <v>0</v>
      </c>
      <c r="BK44" s="16"/>
      <c r="BL44" s="16">
        <v>766</v>
      </c>
    </row>
    <row r="45" spans="1:47" ht="15" customHeight="1">
      <c r="A45" s="43" t="s">
        <v>268</v>
      </c>
      <c r="B45" s="13" t="s">
        <v>422</v>
      </c>
      <c r="C45" s="116" t="s">
        <v>343</v>
      </c>
      <c r="D45" s="116"/>
      <c r="E45" s="116"/>
      <c r="F45" s="116"/>
      <c r="G45" s="116"/>
      <c r="H45" s="116"/>
      <c r="I45" s="58" t="s">
        <v>363</v>
      </c>
      <c r="J45" s="58" t="s">
        <v>363</v>
      </c>
      <c r="K45" s="58" t="s">
        <v>363</v>
      </c>
      <c r="L45" s="61">
        <f>SUM(L46:L55)</f>
        <v>0</v>
      </c>
      <c r="M45" s="8" t="s">
        <v>268</v>
      </c>
      <c r="AI45" s="42" t="s">
        <v>268</v>
      </c>
      <c r="AS45" s="61">
        <f>SUM(AJ46:AJ55)</f>
        <v>0</v>
      </c>
      <c r="AT45" s="61">
        <f>SUM(AK46:AK55)</f>
        <v>0</v>
      </c>
      <c r="AU45" s="61">
        <f>SUM(AL46:AL55)</f>
        <v>0</v>
      </c>
    </row>
    <row r="46" spans="1:64" ht="15" customHeight="1">
      <c r="A46" s="5" t="s">
        <v>249</v>
      </c>
      <c r="B46" s="17" t="s">
        <v>228</v>
      </c>
      <c r="C46" s="77" t="s">
        <v>337</v>
      </c>
      <c r="D46" s="77"/>
      <c r="E46" s="77"/>
      <c r="F46" s="77"/>
      <c r="G46" s="77"/>
      <c r="H46" s="77"/>
      <c r="I46" s="17" t="s">
        <v>382</v>
      </c>
      <c r="J46" s="16">
        <v>14.35</v>
      </c>
      <c r="K46" s="16">
        <v>0</v>
      </c>
      <c r="L46" s="16">
        <f aca="true" t="shared" si="40" ref="L46:L55">J46*K46</f>
        <v>0</v>
      </c>
      <c r="M46" s="31">
        <v>0.01249</v>
      </c>
      <c r="Z46" s="16">
        <f aca="true" t="shared" si="41" ref="Z46:Z55">IF(AQ46="5",BJ46,0)</f>
        <v>0</v>
      </c>
      <c r="AB46" s="16">
        <f aca="true" t="shared" si="42" ref="AB46:AB55">IF(AQ46="1",BH46,0)</f>
        <v>0</v>
      </c>
      <c r="AC46" s="16">
        <f aca="true" t="shared" si="43" ref="AC46:AC55">IF(AQ46="1",BI46,0)</f>
        <v>0</v>
      </c>
      <c r="AD46" s="16">
        <f aca="true" t="shared" si="44" ref="AD46:AD55">IF(AQ46="7",BH46,0)</f>
        <v>0</v>
      </c>
      <c r="AE46" s="16">
        <f aca="true" t="shared" si="45" ref="AE46:AE55">IF(AQ46="7",BI46,0)</f>
        <v>0</v>
      </c>
      <c r="AF46" s="16">
        <f aca="true" t="shared" si="46" ref="AF46:AF55">IF(AQ46="2",BH46,0)</f>
        <v>0</v>
      </c>
      <c r="AG46" s="16">
        <f aca="true" t="shared" si="47" ref="AG46:AG55">IF(AQ46="2",BI46,0)</f>
        <v>0</v>
      </c>
      <c r="AH46" s="16">
        <f aca="true" t="shared" si="48" ref="AH46:AH55">IF(AQ46="0",BJ46,0)</f>
        <v>0</v>
      </c>
      <c r="AI46" s="42" t="s">
        <v>268</v>
      </c>
      <c r="AJ46" s="16">
        <f aca="true" t="shared" si="49" ref="AJ46:AJ55">IF(AN46=0,L46,0)</f>
        <v>0</v>
      </c>
      <c r="AK46" s="16">
        <f aca="true" t="shared" si="50" ref="AK46:AK55">IF(AN46=12,L46,0)</f>
        <v>0</v>
      </c>
      <c r="AL46" s="16">
        <f aca="true" t="shared" si="51" ref="AL46:AL55">IF(AN46=21,L46,0)</f>
        <v>0</v>
      </c>
      <c r="AN46" s="16">
        <v>21</v>
      </c>
      <c r="AO46" s="16">
        <f>K46*0.720147601476015</f>
        <v>0</v>
      </c>
      <c r="AP46" s="16">
        <f>K46*(1-0.720147601476015)</f>
        <v>0</v>
      </c>
      <c r="AQ46" s="56" t="s">
        <v>389</v>
      </c>
      <c r="AV46" s="16">
        <f aca="true" t="shared" si="52" ref="AV46:AV55">AW46+AX46</f>
        <v>0</v>
      </c>
      <c r="AW46" s="16">
        <f aca="true" t="shared" si="53" ref="AW46:AW55">J46*AO46</f>
        <v>0</v>
      </c>
      <c r="AX46" s="16">
        <f aca="true" t="shared" si="54" ref="AX46:AX55">J46*AP46</f>
        <v>0</v>
      </c>
      <c r="AY46" s="56" t="s">
        <v>399</v>
      </c>
      <c r="AZ46" s="56" t="s">
        <v>97</v>
      </c>
      <c r="BA46" s="42" t="s">
        <v>295</v>
      </c>
      <c r="BC46" s="16">
        <f aca="true" t="shared" si="55" ref="BC46:BC55">AW46+AX46</f>
        <v>0</v>
      </c>
      <c r="BD46" s="16">
        <f aca="true" t="shared" si="56" ref="BD46:BD55">K46/(100-BE46)*100</f>
        <v>0</v>
      </c>
      <c r="BE46" s="16">
        <v>0</v>
      </c>
      <c r="BF46" s="16">
        <f>46</f>
        <v>46</v>
      </c>
      <c r="BH46" s="16">
        <f aca="true" t="shared" si="57" ref="BH46:BH55">J46*AO46</f>
        <v>0</v>
      </c>
      <c r="BI46" s="16">
        <f aca="true" t="shared" si="58" ref="BI46:BI55">J46*AP46</f>
        <v>0</v>
      </c>
      <c r="BJ46" s="16">
        <f aca="true" t="shared" si="59" ref="BJ46:BJ55">J46*K46</f>
        <v>0</v>
      </c>
      <c r="BK46" s="16"/>
      <c r="BL46" s="16">
        <v>771</v>
      </c>
    </row>
    <row r="47" spans="1:64" ht="15" customHeight="1">
      <c r="A47" s="5" t="s">
        <v>230</v>
      </c>
      <c r="B47" s="17" t="s">
        <v>11</v>
      </c>
      <c r="C47" s="77" t="s">
        <v>12</v>
      </c>
      <c r="D47" s="77"/>
      <c r="E47" s="77"/>
      <c r="F47" s="77"/>
      <c r="G47" s="77"/>
      <c r="H47" s="77"/>
      <c r="I47" s="17" t="s">
        <v>382</v>
      </c>
      <c r="J47" s="16">
        <v>14.35</v>
      </c>
      <c r="K47" s="16">
        <v>0</v>
      </c>
      <c r="L47" s="16">
        <f t="shared" si="40"/>
        <v>0</v>
      </c>
      <c r="M47" s="31">
        <v>0.00021</v>
      </c>
      <c r="Z47" s="16">
        <f t="shared" si="41"/>
        <v>0</v>
      </c>
      <c r="AB47" s="16">
        <f t="shared" si="42"/>
        <v>0</v>
      </c>
      <c r="AC47" s="16">
        <f t="shared" si="43"/>
        <v>0</v>
      </c>
      <c r="AD47" s="16">
        <f t="shared" si="44"/>
        <v>0</v>
      </c>
      <c r="AE47" s="16">
        <f t="shared" si="45"/>
        <v>0</v>
      </c>
      <c r="AF47" s="16">
        <f t="shared" si="46"/>
        <v>0</v>
      </c>
      <c r="AG47" s="16">
        <f t="shared" si="47"/>
        <v>0</v>
      </c>
      <c r="AH47" s="16">
        <f t="shared" si="48"/>
        <v>0</v>
      </c>
      <c r="AI47" s="42" t="s">
        <v>268</v>
      </c>
      <c r="AJ47" s="16">
        <f t="shared" si="49"/>
        <v>0</v>
      </c>
      <c r="AK47" s="16">
        <f t="shared" si="50"/>
        <v>0</v>
      </c>
      <c r="AL47" s="16">
        <f t="shared" si="51"/>
        <v>0</v>
      </c>
      <c r="AN47" s="16">
        <v>21</v>
      </c>
      <c r="AO47" s="16">
        <f>K47*0.479788339670469</f>
        <v>0</v>
      </c>
      <c r="AP47" s="16">
        <f>K47*(1-0.479788339670469)</f>
        <v>0</v>
      </c>
      <c r="AQ47" s="56" t="s">
        <v>389</v>
      </c>
      <c r="AV47" s="16">
        <f t="shared" si="52"/>
        <v>0</v>
      </c>
      <c r="AW47" s="16">
        <f t="shared" si="53"/>
        <v>0</v>
      </c>
      <c r="AX47" s="16">
        <f t="shared" si="54"/>
        <v>0</v>
      </c>
      <c r="AY47" s="56" t="s">
        <v>399</v>
      </c>
      <c r="AZ47" s="56" t="s">
        <v>97</v>
      </c>
      <c r="BA47" s="42" t="s">
        <v>295</v>
      </c>
      <c r="BC47" s="16">
        <f t="shared" si="55"/>
        <v>0</v>
      </c>
      <c r="BD47" s="16">
        <f t="shared" si="56"/>
        <v>0</v>
      </c>
      <c r="BE47" s="16">
        <v>0</v>
      </c>
      <c r="BF47" s="16">
        <f>47</f>
        <v>47</v>
      </c>
      <c r="BH47" s="16">
        <f t="shared" si="57"/>
        <v>0</v>
      </c>
      <c r="BI47" s="16">
        <f t="shared" si="58"/>
        <v>0</v>
      </c>
      <c r="BJ47" s="16">
        <f t="shared" si="59"/>
        <v>0</v>
      </c>
      <c r="BK47" s="16"/>
      <c r="BL47" s="16">
        <v>771</v>
      </c>
    </row>
    <row r="48" spans="1:64" ht="15" customHeight="1">
      <c r="A48" s="5" t="s">
        <v>326</v>
      </c>
      <c r="B48" s="17" t="s">
        <v>204</v>
      </c>
      <c r="C48" s="77" t="s">
        <v>387</v>
      </c>
      <c r="D48" s="77"/>
      <c r="E48" s="77"/>
      <c r="F48" s="77"/>
      <c r="G48" s="77"/>
      <c r="H48" s="77"/>
      <c r="I48" s="17" t="s">
        <v>321</v>
      </c>
      <c r="J48" s="16">
        <v>33.6</v>
      </c>
      <c r="K48" s="16">
        <v>0</v>
      </c>
      <c r="L48" s="16">
        <f t="shared" si="40"/>
        <v>0</v>
      </c>
      <c r="M48" s="31">
        <v>0</v>
      </c>
      <c r="Z48" s="16">
        <f t="shared" si="41"/>
        <v>0</v>
      </c>
      <c r="AB48" s="16">
        <f t="shared" si="42"/>
        <v>0</v>
      </c>
      <c r="AC48" s="16">
        <f t="shared" si="43"/>
        <v>0</v>
      </c>
      <c r="AD48" s="16">
        <f t="shared" si="44"/>
        <v>0</v>
      </c>
      <c r="AE48" s="16">
        <f t="shared" si="45"/>
        <v>0</v>
      </c>
      <c r="AF48" s="16">
        <f t="shared" si="46"/>
        <v>0</v>
      </c>
      <c r="AG48" s="16">
        <f t="shared" si="47"/>
        <v>0</v>
      </c>
      <c r="AH48" s="16">
        <f t="shared" si="48"/>
        <v>0</v>
      </c>
      <c r="AI48" s="42" t="s">
        <v>268</v>
      </c>
      <c r="AJ48" s="16">
        <f t="shared" si="49"/>
        <v>0</v>
      </c>
      <c r="AK48" s="16">
        <f t="shared" si="50"/>
        <v>0</v>
      </c>
      <c r="AL48" s="16">
        <f t="shared" si="51"/>
        <v>0</v>
      </c>
      <c r="AN48" s="16">
        <v>21</v>
      </c>
      <c r="AO48" s="16">
        <f>K48*0</f>
        <v>0</v>
      </c>
      <c r="AP48" s="16">
        <f>K48*(1-0)</f>
        <v>0</v>
      </c>
      <c r="AQ48" s="56" t="s">
        <v>389</v>
      </c>
      <c r="AV48" s="16">
        <f t="shared" si="52"/>
        <v>0</v>
      </c>
      <c r="AW48" s="16">
        <f t="shared" si="53"/>
        <v>0</v>
      </c>
      <c r="AX48" s="16">
        <f t="shared" si="54"/>
        <v>0</v>
      </c>
      <c r="AY48" s="56" t="s">
        <v>399</v>
      </c>
      <c r="AZ48" s="56" t="s">
        <v>97</v>
      </c>
      <c r="BA48" s="42" t="s">
        <v>295</v>
      </c>
      <c r="BC48" s="16">
        <f t="shared" si="55"/>
        <v>0</v>
      </c>
      <c r="BD48" s="16">
        <f t="shared" si="56"/>
        <v>0</v>
      </c>
      <c r="BE48" s="16">
        <v>0</v>
      </c>
      <c r="BF48" s="16">
        <f>48</f>
        <v>48</v>
      </c>
      <c r="BH48" s="16">
        <f t="shared" si="57"/>
        <v>0</v>
      </c>
      <c r="BI48" s="16">
        <f t="shared" si="58"/>
        <v>0</v>
      </c>
      <c r="BJ48" s="16">
        <f t="shared" si="59"/>
        <v>0</v>
      </c>
      <c r="BK48" s="16"/>
      <c r="BL48" s="16">
        <v>771</v>
      </c>
    </row>
    <row r="49" spans="1:64" ht="15" customHeight="1">
      <c r="A49" s="5" t="s">
        <v>89</v>
      </c>
      <c r="B49" s="17" t="s">
        <v>273</v>
      </c>
      <c r="C49" s="77" t="s">
        <v>264</v>
      </c>
      <c r="D49" s="77"/>
      <c r="E49" s="77"/>
      <c r="F49" s="77"/>
      <c r="G49" s="77"/>
      <c r="H49" s="77"/>
      <c r="I49" s="17" t="s">
        <v>382</v>
      </c>
      <c r="J49" s="16">
        <v>14.35</v>
      </c>
      <c r="K49" s="16">
        <v>0</v>
      </c>
      <c r="L49" s="16">
        <f t="shared" si="40"/>
        <v>0</v>
      </c>
      <c r="M49" s="31">
        <v>0</v>
      </c>
      <c r="Z49" s="16">
        <f t="shared" si="41"/>
        <v>0</v>
      </c>
      <c r="AB49" s="16">
        <f t="shared" si="42"/>
        <v>0</v>
      </c>
      <c r="AC49" s="16">
        <f t="shared" si="43"/>
        <v>0</v>
      </c>
      <c r="AD49" s="16">
        <f t="shared" si="44"/>
        <v>0</v>
      </c>
      <c r="AE49" s="16">
        <f t="shared" si="45"/>
        <v>0</v>
      </c>
      <c r="AF49" s="16">
        <f t="shared" si="46"/>
        <v>0</v>
      </c>
      <c r="AG49" s="16">
        <f t="shared" si="47"/>
        <v>0</v>
      </c>
      <c r="AH49" s="16">
        <f t="shared" si="48"/>
        <v>0</v>
      </c>
      <c r="AI49" s="42" t="s">
        <v>268</v>
      </c>
      <c r="AJ49" s="16">
        <f t="shared" si="49"/>
        <v>0</v>
      </c>
      <c r="AK49" s="16">
        <f t="shared" si="50"/>
        <v>0</v>
      </c>
      <c r="AL49" s="16">
        <f t="shared" si="51"/>
        <v>0</v>
      </c>
      <c r="AN49" s="16">
        <v>21</v>
      </c>
      <c r="AO49" s="16">
        <f>K49*0</f>
        <v>0</v>
      </c>
      <c r="AP49" s="16">
        <f>K49*(1-0)</f>
        <v>0</v>
      </c>
      <c r="AQ49" s="56" t="s">
        <v>389</v>
      </c>
      <c r="AV49" s="16">
        <f t="shared" si="52"/>
        <v>0</v>
      </c>
      <c r="AW49" s="16">
        <f t="shared" si="53"/>
        <v>0</v>
      </c>
      <c r="AX49" s="16">
        <f t="shared" si="54"/>
        <v>0</v>
      </c>
      <c r="AY49" s="56" t="s">
        <v>399</v>
      </c>
      <c r="AZ49" s="56" t="s">
        <v>97</v>
      </c>
      <c r="BA49" s="42" t="s">
        <v>295</v>
      </c>
      <c r="BC49" s="16">
        <f t="shared" si="55"/>
        <v>0</v>
      </c>
      <c r="BD49" s="16">
        <f t="shared" si="56"/>
        <v>0</v>
      </c>
      <c r="BE49" s="16">
        <v>0</v>
      </c>
      <c r="BF49" s="16">
        <f>49</f>
        <v>49</v>
      </c>
      <c r="BH49" s="16">
        <f t="shared" si="57"/>
        <v>0</v>
      </c>
      <c r="BI49" s="16">
        <f t="shared" si="58"/>
        <v>0</v>
      </c>
      <c r="BJ49" s="16">
        <f t="shared" si="59"/>
        <v>0</v>
      </c>
      <c r="BK49" s="16"/>
      <c r="BL49" s="16">
        <v>771</v>
      </c>
    </row>
    <row r="50" spans="1:64" ht="15" customHeight="1">
      <c r="A50" s="5" t="s">
        <v>429</v>
      </c>
      <c r="B50" s="17" t="s">
        <v>417</v>
      </c>
      <c r="C50" s="77" t="s">
        <v>242</v>
      </c>
      <c r="D50" s="77"/>
      <c r="E50" s="77"/>
      <c r="F50" s="77"/>
      <c r="G50" s="77"/>
      <c r="H50" s="77"/>
      <c r="I50" s="17" t="s">
        <v>321</v>
      </c>
      <c r="J50" s="16">
        <v>21.6</v>
      </c>
      <c r="K50" s="16">
        <v>0</v>
      </c>
      <c r="L50" s="16">
        <f t="shared" si="40"/>
        <v>0</v>
      </c>
      <c r="M50" s="31">
        <v>0</v>
      </c>
      <c r="Z50" s="16">
        <f t="shared" si="41"/>
        <v>0</v>
      </c>
      <c r="AB50" s="16">
        <f t="shared" si="42"/>
        <v>0</v>
      </c>
      <c r="AC50" s="16">
        <f t="shared" si="43"/>
        <v>0</v>
      </c>
      <c r="AD50" s="16">
        <f t="shared" si="44"/>
        <v>0</v>
      </c>
      <c r="AE50" s="16">
        <f t="shared" si="45"/>
        <v>0</v>
      </c>
      <c r="AF50" s="16">
        <f t="shared" si="46"/>
        <v>0</v>
      </c>
      <c r="AG50" s="16">
        <f t="shared" si="47"/>
        <v>0</v>
      </c>
      <c r="AH50" s="16">
        <f t="shared" si="48"/>
        <v>0</v>
      </c>
      <c r="AI50" s="42" t="s">
        <v>268</v>
      </c>
      <c r="AJ50" s="16">
        <f t="shared" si="49"/>
        <v>0</v>
      </c>
      <c r="AK50" s="16">
        <f t="shared" si="50"/>
        <v>0</v>
      </c>
      <c r="AL50" s="16">
        <f t="shared" si="51"/>
        <v>0</v>
      </c>
      <c r="AN50" s="16">
        <v>21</v>
      </c>
      <c r="AO50" s="16">
        <f>K50*0</f>
        <v>0</v>
      </c>
      <c r="AP50" s="16">
        <f>K50*(1-0)</f>
        <v>0</v>
      </c>
      <c r="AQ50" s="56" t="s">
        <v>389</v>
      </c>
      <c r="AV50" s="16">
        <f t="shared" si="52"/>
        <v>0</v>
      </c>
      <c r="AW50" s="16">
        <f t="shared" si="53"/>
        <v>0</v>
      </c>
      <c r="AX50" s="16">
        <f t="shared" si="54"/>
        <v>0</v>
      </c>
      <c r="AY50" s="56" t="s">
        <v>399</v>
      </c>
      <c r="AZ50" s="56" t="s">
        <v>97</v>
      </c>
      <c r="BA50" s="42" t="s">
        <v>295</v>
      </c>
      <c r="BC50" s="16">
        <f t="shared" si="55"/>
        <v>0</v>
      </c>
      <c r="BD50" s="16">
        <f t="shared" si="56"/>
        <v>0</v>
      </c>
      <c r="BE50" s="16">
        <v>0</v>
      </c>
      <c r="BF50" s="16">
        <f>50</f>
        <v>50</v>
      </c>
      <c r="BH50" s="16">
        <f t="shared" si="57"/>
        <v>0</v>
      </c>
      <c r="BI50" s="16">
        <f t="shared" si="58"/>
        <v>0</v>
      </c>
      <c r="BJ50" s="16">
        <f t="shared" si="59"/>
        <v>0</v>
      </c>
      <c r="BK50" s="16"/>
      <c r="BL50" s="16">
        <v>771</v>
      </c>
    </row>
    <row r="51" spans="1:64" ht="15" customHeight="1">
      <c r="A51" s="5" t="s">
        <v>348</v>
      </c>
      <c r="B51" s="17" t="s">
        <v>392</v>
      </c>
      <c r="C51" s="77" t="s">
        <v>137</v>
      </c>
      <c r="D51" s="77"/>
      <c r="E51" s="77"/>
      <c r="F51" s="77"/>
      <c r="G51" s="77"/>
      <c r="H51" s="77"/>
      <c r="I51" s="17" t="s">
        <v>382</v>
      </c>
      <c r="J51" s="16">
        <v>14.35</v>
      </c>
      <c r="K51" s="16">
        <v>0</v>
      </c>
      <c r="L51" s="16">
        <f t="shared" si="40"/>
        <v>0</v>
      </c>
      <c r="M51" s="31">
        <v>0.00504</v>
      </c>
      <c r="Z51" s="16">
        <f t="shared" si="41"/>
        <v>0</v>
      </c>
      <c r="AB51" s="16">
        <f t="shared" si="42"/>
        <v>0</v>
      </c>
      <c r="AC51" s="16">
        <f t="shared" si="43"/>
        <v>0</v>
      </c>
      <c r="AD51" s="16">
        <f t="shared" si="44"/>
        <v>0</v>
      </c>
      <c r="AE51" s="16">
        <f t="shared" si="45"/>
        <v>0</v>
      </c>
      <c r="AF51" s="16">
        <f t="shared" si="46"/>
        <v>0</v>
      </c>
      <c r="AG51" s="16">
        <f t="shared" si="47"/>
        <v>0</v>
      </c>
      <c r="AH51" s="16">
        <f t="shared" si="48"/>
        <v>0</v>
      </c>
      <c r="AI51" s="42" t="s">
        <v>268</v>
      </c>
      <c r="AJ51" s="16">
        <f t="shared" si="49"/>
        <v>0</v>
      </c>
      <c r="AK51" s="16">
        <f t="shared" si="50"/>
        <v>0</v>
      </c>
      <c r="AL51" s="16">
        <f t="shared" si="51"/>
        <v>0</v>
      </c>
      <c r="AN51" s="16">
        <v>21</v>
      </c>
      <c r="AO51" s="16">
        <f>K51*0.2289531299777</f>
        <v>0</v>
      </c>
      <c r="AP51" s="16">
        <f>K51*(1-0.2289531299777)</f>
        <v>0</v>
      </c>
      <c r="AQ51" s="56" t="s">
        <v>389</v>
      </c>
      <c r="AV51" s="16">
        <f t="shared" si="52"/>
        <v>0</v>
      </c>
      <c r="AW51" s="16">
        <f t="shared" si="53"/>
        <v>0</v>
      </c>
      <c r="AX51" s="16">
        <f t="shared" si="54"/>
        <v>0</v>
      </c>
      <c r="AY51" s="56" t="s">
        <v>399</v>
      </c>
      <c r="AZ51" s="56" t="s">
        <v>97</v>
      </c>
      <c r="BA51" s="42" t="s">
        <v>295</v>
      </c>
      <c r="BC51" s="16">
        <f t="shared" si="55"/>
        <v>0</v>
      </c>
      <c r="BD51" s="16">
        <f t="shared" si="56"/>
        <v>0</v>
      </c>
      <c r="BE51" s="16">
        <v>0</v>
      </c>
      <c r="BF51" s="16">
        <f>51</f>
        <v>51</v>
      </c>
      <c r="BH51" s="16">
        <f t="shared" si="57"/>
        <v>0</v>
      </c>
      <c r="BI51" s="16">
        <f t="shared" si="58"/>
        <v>0</v>
      </c>
      <c r="BJ51" s="16">
        <f t="shared" si="59"/>
        <v>0</v>
      </c>
      <c r="BK51" s="16"/>
      <c r="BL51" s="16">
        <v>771</v>
      </c>
    </row>
    <row r="52" spans="1:64" ht="15" customHeight="1">
      <c r="A52" s="5" t="s">
        <v>227</v>
      </c>
      <c r="B52" s="17" t="s">
        <v>119</v>
      </c>
      <c r="C52" s="77" t="s">
        <v>263</v>
      </c>
      <c r="D52" s="77"/>
      <c r="E52" s="77"/>
      <c r="F52" s="77"/>
      <c r="G52" s="77"/>
      <c r="H52" s="77"/>
      <c r="I52" s="17" t="s">
        <v>382</v>
      </c>
      <c r="J52" s="16">
        <v>3.33</v>
      </c>
      <c r="K52" s="16">
        <v>0</v>
      </c>
      <c r="L52" s="16">
        <f t="shared" si="40"/>
        <v>0</v>
      </c>
      <c r="M52" s="31">
        <v>0</v>
      </c>
      <c r="Z52" s="16">
        <f t="shared" si="41"/>
        <v>0</v>
      </c>
      <c r="AB52" s="16">
        <f t="shared" si="42"/>
        <v>0</v>
      </c>
      <c r="AC52" s="16">
        <f t="shared" si="43"/>
        <v>0</v>
      </c>
      <c r="AD52" s="16">
        <f t="shared" si="44"/>
        <v>0</v>
      </c>
      <c r="AE52" s="16">
        <f t="shared" si="45"/>
        <v>0</v>
      </c>
      <c r="AF52" s="16">
        <f t="shared" si="46"/>
        <v>0</v>
      </c>
      <c r="AG52" s="16">
        <f t="shared" si="47"/>
        <v>0</v>
      </c>
      <c r="AH52" s="16">
        <f t="shared" si="48"/>
        <v>0</v>
      </c>
      <c r="AI52" s="42" t="s">
        <v>268</v>
      </c>
      <c r="AJ52" s="16">
        <f t="shared" si="49"/>
        <v>0</v>
      </c>
      <c r="AK52" s="16">
        <f t="shared" si="50"/>
        <v>0</v>
      </c>
      <c r="AL52" s="16">
        <f t="shared" si="51"/>
        <v>0</v>
      </c>
      <c r="AN52" s="16">
        <v>21</v>
      </c>
      <c r="AO52" s="16">
        <f>K52*0</f>
        <v>0</v>
      </c>
      <c r="AP52" s="16">
        <f>K52*(1-0)</f>
        <v>0</v>
      </c>
      <c r="AQ52" s="56" t="s">
        <v>389</v>
      </c>
      <c r="AV52" s="16">
        <f t="shared" si="52"/>
        <v>0</v>
      </c>
      <c r="AW52" s="16">
        <f t="shared" si="53"/>
        <v>0</v>
      </c>
      <c r="AX52" s="16">
        <f t="shared" si="54"/>
        <v>0</v>
      </c>
      <c r="AY52" s="56" t="s">
        <v>399</v>
      </c>
      <c r="AZ52" s="56" t="s">
        <v>97</v>
      </c>
      <c r="BA52" s="42" t="s">
        <v>295</v>
      </c>
      <c r="BC52" s="16">
        <f t="shared" si="55"/>
        <v>0</v>
      </c>
      <c r="BD52" s="16">
        <f t="shared" si="56"/>
        <v>0</v>
      </c>
      <c r="BE52" s="16">
        <v>0</v>
      </c>
      <c r="BF52" s="16">
        <f>52</f>
        <v>52</v>
      </c>
      <c r="BH52" s="16">
        <f t="shared" si="57"/>
        <v>0</v>
      </c>
      <c r="BI52" s="16">
        <f t="shared" si="58"/>
        <v>0</v>
      </c>
      <c r="BJ52" s="16">
        <f t="shared" si="59"/>
        <v>0</v>
      </c>
      <c r="BK52" s="16"/>
      <c r="BL52" s="16">
        <v>771</v>
      </c>
    </row>
    <row r="53" spans="1:64" ht="15" customHeight="1">
      <c r="A53" s="5" t="s">
        <v>380</v>
      </c>
      <c r="B53" s="17" t="s">
        <v>41</v>
      </c>
      <c r="C53" s="77" t="s">
        <v>371</v>
      </c>
      <c r="D53" s="77"/>
      <c r="E53" s="77"/>
      <c r="F53" s="77"/>
      <c r="G53" s="77"/>
      <c r="H53" s="77"/>
      <c r="I53" s="17" t="s">
        <v>382</v>
      </c>
      <c r="J53" s="16">
        <v>14.35</v>
      </c>
      <c r="K53" s="16">
        <v>0</v>
      </c>
      <c r="L53" s="16">
        <f t="shared" si="40"/>
        <v>0</v>
      </c>
      <c r="M53" s="31">
        <v>0.0192</v>
      </c>
      <c r="Z53" s="16">
        <f t="shared" si="41"/>
        <v>0</v>
      </c>
      <c r="AB53" s="16">
        <f t="shared" si="42"/>
        <v>0</v>
      </c>
      <c r="AC53" s="16">
        <f t="shared" si="43"/>
        <v>0</v>
      </c>
      <c r="AD53" s="16">
        <f t="shared" si="44"/>
        <v>0</v>
      </c>
      <c r="AE53" s="16">
        <f t="shared" si="45"/>
        <v>0</v>
      </c>
      <c r="AF53" s="16">
        <f t="shared" si="46"/>
        <v>0</v>
      </c>
      <c r="AG53" s="16">
        <f t="shared" si="47"/>
        <v>0</v>
      </c>
      <c r="AH53" s="16">
        <f t="shared" si="48"/>
        <v>0</v>
      </c>
      <c r="AI53" s="42" t="s">
        <v>268</v>
      </c>
      <c r="AJ53" s="16">
        <f t="shared" si="49"/>
        <v>0</v>
      </c>
      <c r="AK53" s="16">
        <f t="shared" si="50"/>
        <v>0</v>
      </c>
      <c r="AL53" s="16">
        <f t="shared" si="51"/>
        <v>0</v>
      </c>
      <c r="AN53" s="16">
        <v>21</v>
      </c>
      <c r="AO53" s="16">
        <f>K53*1</f>
        <v>0</v>
      </c>
      <c r="AP53" s="16">
        <f>K53*(1-1)</f>
        <v>0</v>
      </c>
      <c r="AQ53" s="56" t="s">
        <v>389</v>
      </c>
      <c r="AV53" s="16">
        <f t="shared" si="52"/>
        <v>0</v>
      </c>
      <c r="AW53" s="16">
        <f t="shared" si="53"/>
        <v>0</v>
      </c>
      <c r="AX53" s="16">
        <f t="shared" si="54"/>
        <v>0</v>
      </c>
      <c r="AY53" s="56" t="s">
        <v>399</v>
      </c>
      <c r="AZ53" s="56" t="s">
        <v>97</v>
      </c>
      <c r="BA53" s="42" t="s">
        <v>295</v>
      </c>
      <c r="BC53" s="16">
        <f t="shared" si="55"/>
        <v>0</v>
      </c>
      <c r="BD53" s="16">
        <f t="shared" si="56"/>
        <v>0</v>
      </c>
      <c r="BE53" s="16">
        <v>0</v>
      </c>
      <c r="BF53" s="16">
        <f>53</f>
        <v>53</v>
      </c>
      <c r="BH53" s="16">
        <f t="shared" si="57"/>
        <v>0</v>
      </c>
      <c r="BI53" s="16">
        <f t="shared" si="58"/>
        <v>0</v>
      </c>
      <c r="BJ53" s="16">
        <f t="shared" si="59"/>
        <v>0</v>
      </c>
      <c r="BK53" s="16"/>
      <c r="BL53" s="16">
        <v>771</v>
      </c>
    </row>
    <row r="54" spans="1:64" ht="15" customHeight="1">
      <c r="A54" s="5" t="s">
        <v>235</v>
      </c>
      <c r="B54" s="17" t="s">
        <v>124</v>
      </c>
      <c r="C54" s="77" t="s">
        <v>366</v>
      </c>
      <c r="D54" s="77"/>
      <c r="E54" s="77"/>
      <c r="F54" s="77"/>
      <c r="G54" s="77"/>
      <c r="H54" s="77"/>
      <c r="I54" s="17" t="s">
        <v>382</v>
      </c>
      <c r="J54" s="16">
        <v>14.35</v>
      </c>
      <c r="K54" s="16">
        <v>0</v>
      </c>
      <c r="L54" s="16">
        <f t="shared" si="40"/>
        <v>0</v>
      </c>
      <c r="M54" s="31">
        <v>0.0012</v>
      </c>
      <c r="Z54" s="16">
        <f t="shared" si="41"/>
        <v>0</v>
      </c>
      <c r="AB54" s="16">
        <f t="shared" si="42"/>
        <v>0</v>
      </c>
      <c r="AC54" s="16">
        <f t="shared" si="43"/>
        <v>0</v>
      </c>
      <c r="AD54" s="16">
        <f t="shared" si="44"/>
        <v>0</v>
      </c>
      <c r="AE54" s="16">
        <f t="shared" si="45"/>
        <v>0</v>
      </c>
      <c r="AF54" s="16">
        <f t="shared" si="46"/>
        <v>0</v>
      </c>
      <c r="AG54" s="16">
        <f t="shared" si="47"/>
        <v>0</v>
      </c>
      <c r="AH54" s="16">
        <f t="shared" si="48"/>
        <v>0</v>
      </c>
      <c r="AI54" s="42" t="s">
        <v>268</v>
      </c>
      <c r="AJ54" s="16">
        <f t="shared" si="49"/>
        <v>0</v>
      </c>
      <c r="AK54" s="16">
        <f t="shared" si="50"/>
        <v>0</v>
      </c>
      <c r="AL54" s="16">
        <f t="shared" si="51"/>
        <v>0</v>
      </c>
      <c r="AN54" s="16">
        <v>21</v>
      </c>
      <c r="AO54" s="16">
        <f>K54*1.00072368421053</f>
        <v>0</v>
      </c>
      <c r="AP54" s="16">
        <f>K54*(1-1.00072368421053)</f>
        <v>0</v>
      </c>
      <c r="AQ54" s="56" t="s">
        <v>389</v>
      </c>
      <c r="AV54" s="16">
        <f t="shared" si="52"/>
        <v>0</v>
      </c>
      <c r="AW54" s="16">
        <f t="shared" si="53"/>
        <v>0</v>
      </c>
      <c r="AX54" s="16">
        <f t="shared" si="54"/>
        <v>0</v>
      </c>
      <c r="AY54" s="56" t="s">
        <v>399</v>
      </c>
      <c r="AZ54" s="56" t="s">
        <v>97</v>
      </c>
      <c r="BA54" s="42" t="s">
        <v>295</v>
      </c>
      <c r="BC54" s="16">
        <f t="shared" si="55"/>
        <v>0</v>
      </c>
      <c r="BD54" s="16">
        <f t="shared" si="56"/>
        <v>0</v>
      </c>
      <c r="BE54" s="16">
        <v>0</v>
      </c>
      <c r="BF54" s="16">
        <f>54</f>
        <v>54</v>
      </c>
      <c r="BH54" s="16">
        <f t="shared" si="57"/>
        <v>0</v>
      </c>
      <c r="BI54" s="16">
        <f t="shared" si="58"/>
        <v>0</v>
      </c>
      <c r="BJ54" s="16">
        <f t="shared" si="59"/>
        <v>0</v>
      </c>
      <c r="BK54" s="16"/>
      <c r="BL54" s="16">
        <v>771</v>
      </c>
    </row>
    <row r="55" spans="1:64" ht="15" customHeight="1">
      <c r="A55" s="5" t="s">
        <v>248</v>
      </c>
      <c r="B55" s="17" t="s">
        <v>234</v>
      </c>
      <c r="C55" s="77" t="s">
        <v>298</v>
      </c>
      <c r="D55" s="77"/>
      <c r="E55" s="77"/>
      <c r="F55" s="77"/>
      <c r="G55" s="77"/>
      <c r="H55" s="77"/>
      <c r="I55" s="17" t="s">
        <v>342</v>
      </c>
      <c r="J55" s="16">
        <v>435</v>
      </c>
      <c r="K55" s="16">
        <v>0</v>
      </c>
      <c r="L55" s="16">
        <f t="shared" si="40"/>
        <v>0</v>
      </c>
      <c r="M55" s="31">
        <v>0</v>
      </c>
      <c r="Z55" s="16">
        <f t="shared" si="41"/>
        <v>0</v>
      </c>
      <c r="AB55" s="16">
        <f t="shared" si="42"/>
        <v>0</v>
      </c>
      <c r="AC55" s="16">
        <f t="shared" si="43"/>
        <v>0</v>
      </c>
      <c r="AD55" s="16">
        <f t="shared" si="44"/>
        <v>0</v>
      </c>
      <c r="AE55" s="16">
        <f t="shared" si="45"/>
        <v>0</v>
      </c>
      <c r="AF55" s="16">
        <f t="shared" si="46"/>
        <v>0</v>
      </c>
      <c r="AG55" s="16">
        <f t="shared" si="47"/>
        <v>0</v>
      </c>
      <c r="AH55" s="16">
        <f t="shared" si="48"/>
        <v>0</v>
      </c>
      <c r="AI55" s="42" t="s">
        <v>268</v>
      </c>
      <c r="AJ55" s="16">
        <f t="shared" si="49"/>
        <v>0</v>
      </c>
      <c r="AK55" s="16">
        <f t="shared" si="50"/>
        <v>0</v>
      </c>
      <c r="AL55" s="16">
        <f t="shared" si="51"/>
        <v>0</v>
      </c>
      <c r="AN55" s="16">
        <v>21</v>
      </c>
      <c r="AO55" s="16">
        <f>K55*0</f>
        <v>0</v>
      </c>
      <c r="AP55" s="16">
        <f>K55*(1-0)</f>
        <v>0</v>
      </c>
      <c r="AQ55" s="56" t="s">
        <v>208</v>
      </c>
      <c r="AV55" s="16">
        <f t="shared" si="52"/>
        <v>0</v>
      </c>
      <c r="AW55" s="16">
        <f t="shared" si="53"/>
        <v>0</v>
      </c>
      <c r="AX55" s="16">
        <f t="shared" si="54"/>
        <v>0</v>
      </c>
      <c r="AY55" s="56" t="s">
        <v>399</v>
      </c>
      <c r="AZ55" s="56" t="s">
        <v>97</v>
      </c>
      <c r="BA55" s="42" t="s">
        <v>295</v>
      </c>
      <c r="BC55" s="16">
        <f t="shared" si="55"/>
        <v>0</v>
      </c>
      <c r="BD55" s="16">
        <f t="shared" si="56"/>
        <v>0</v>
      </c>
      <c r="BE55" s="16">
        <v>0</v>
      </c>
      <c r="BF55" s="16">
        <f>55</f>
        <v>55</v>
      </c>
      <c r="BH55" s="16">
        <f t="shared" si="57"/>
        <v>0</v>
      </c>
      <c r="BI55" s="16">
        <f t="shared" si="58"/>
        <v>0</v>
      </c>
      <c r="BJ55" s="16">
        <f t="shared" si="59"/>
        <v>0</v>
      </c>
      <c r="BK55" s="16"/>
      <c r="BL55" s="16">
        <v>771</v>
      </c>
    </row>
    <row r="56" spans="1:47" ht="15" customHeight="1">
      <c r="A56" s="43" t="s">
        <v>268</v>
      </c>
      <c r="B56" s="13" t="s">
        <v>316</v>
      </c>
      <c r="C56" s="116" t="s">
        <v>178</v>
      </c>
      <c r="D56" s="116"/>
      <c r="E56" s="116"/>
      <c r="F56" s="116"/>
      <c r="G56" s="116"/>
      <c r="H56" s="116"/>
      <c r="I56" s="58" t="s">
        <v>363</v>
      </c>
      <c r="J56" s="58" t="s">
        <v>363</v>
      </c>
      <c r="K56" s="58" t="s">
        <v>363</v>
      </c>
      <c r="L56" s="61">
        <f>SUM(L57:L67)</f>
        <v>0</v>
      </c>
      <c r="M56" s="8" t="s">
        <v>268</v>
      </c>
      <c r="AI56" s="42" t="s">
        <v>268</v>
      </c>
      <c r="AS56" s="61">
        <f>SUM(AJ57:AJ67)</f>
        <v>0</v>
      </c>
      <c r="AT56" s="61">
        <f>SUM(AK57:AK67)</f>
        <v>0</v>
      </c>
      <c r="AU56" s="61">
        <f>SUM(AL57:AL67)</f>
        <v>0</v>
      </c>
    </row>
    <row r="57" spans="1:64" ht="15" customHeight="1">
      <c r="A57" s="5" t="s">
        <v>144</v>
      </c>
      <c r="B57" s="17" t="s">
        <v>372</v>
      </c>
      <c r="C57" s="77" t="s">
        <v>19</v>
      </c>
      <c r="D57" s="77"/>
      <c r="E57" s="77"/>
      <c r="F57" s="77"/>
      <c r="G57" s="77"/>
      <c r="H57" s="77"/>
      <c r="I57" s="17" t="s">
        <v>382</v>
      </c>
      <c r="J57" s="16">
        <v>30</v>
      </c>
      <c r="K57" s="16">
        <v>0</v>
      </c>
      <c r="L57" s="16">
        <f aca="true" t="shared" si="60" ref="L57:L67">J57*K57</f>
        <v>0</v>
      </c>
      <c r="M57" s="31">
        <v>0</v>
      </c>
      <c r="Z57" s="16">
        <f aca="true" t="shared" si="61" ref="Z57:Z67">IF(AQ57="5",BJ57,0)</f>
        <v>0</v>
      </c>
      <c r="AB57" s="16">
        <f aca="true" t="shared" si="62" ref="AB57:AB67">IF(AQ57="1",BH57,0)</f>
        <v>0</v>
      </c>
      <c r="AC57" s="16">
        <f aca="true" t="shared" si="63" ref="AC57:AC67">IF(AQ57="1",BI57,0)</f>
        <v>0</v>
      </c>
      <c r="AD57" s="16">
        <f aca="true" t="shared" si="64" ref="AD57:AD67">IF(AQ57="7",BH57,0)</f>
        <v>0</v>
      </c>
      <c r="AE57" s="16">
        <f aca="true" t="shared" si="65" ref="AE57:AE67">IF(AQ57="7",BI57,0)</f>
        <v>0</v>
      </c>
      <c r="AF57" s="16">
        <f aca="true" t="shared" si="66" ref="AF57:AF67">IF(AQ57="2",BH57,0)</f>
        <v>0</v>
      </c>
      <c r="AG57" s="16">
        <f aca="true" t="shared" si="67" ref="AG57:AG67">IF(AQ57="2",BI57,0)</f>
        <v>0</v>
      </c>
      <c r="AH57" s="16">
        <f aca="true" t="shared" si="68" ref="AH57:AH67">IF(AQ57="0",BJ57,0)</f>
        <v>0</v>
      </c>
      <c r="AI57" s="42" t="s">
        <v>268</v>
      </c>
      <c r="AJ57" s="16">
        <f aca="true" t="shared" si="69" ref="AJ57:AJ67">IF(AN57=0,L57,0)</f>
        <v>0</v>
      </c>
      <c r="AK57" s="16">
        <f aca="true" t="shared" si="70" ref="AK57:AK67">IF(AN57=12,L57,0)</f>
        <v>0</v>
      </c>
      <c r="AL57" s="16">
        <f aca="true" t="shared" si="71" ref="AL57:AL67">IF(AN57=21,L57,0)</f>
        <v>0</v>
      </c>
      <c r="AN57" s="16">
        <v>21</v>
      </c>
      <c r="AO57" s="16">
        <f>K57*0</f>
        <v>0</v>
      </c>
      <c r="AP57" s="16">
        <f>K57*(1-0)</f>
        <v>0</v>
      </c>
      <c r="AQ57" s="56" t="s">
        <v>389</v>
      </c>
      <c r="AV57" s="16">
        <f aca="true" t="shared" si="72" ref="AV57:AV67">AW57+AX57</f>
        <v>0</v>
      </c>
      <c r="AW57" s="16">
        <f aca="true" t="shared" si="73" ref="AW57:AW67">J57*AO57</f>
        <v>0</v>
      </c>
      <c r="AX57" s="16">
        <f aca="true" t="shared" si="74" ref="AX57:AX67">J57*AP57</f>
        <v>0</v>
      </c>
      <c r="AY57" s="56" t="s">
        <v>184</v>
      </c>
      <c r="AZ57" s="56" t="s">
        <v>182</v>
      </c>
      <c r="BA57" s="42" t="s">
        <v>295</v>
      </c>
      <c r="BC57" s="16">
        <f aca="true" t="shared" si="75" ref="BC57:BC67">AW57+AX57</f>
        <v>0</v>
      </c>
      <c r="BD57" s="16">
        <f aca="true" t="shared" si="76" ref="BD57:BD67">K57/(100-BE57)*100</f>
        <v>0</v>
      </c>
      <c r="BE57" s="16">
        <v>0</v>
      </c>
      <c r="BF57" s="16">
        <f>57</f>
        <v>57</v>
      </c>
      <c r="BH57" s="16">
        <f aca="true" t="shared" si="77" ref="BH57:BH67">J57*AO57</f>
        <v>0</v>
      </c>
      <c r="BI57" s="16">
        <f aca="true" t="shared" si="78" ref="BI57:BI67">J57*AP57</f>
        <v>0</v>
      </c>
      <c r="BJ57" s="16">
        <f aca="true" t="shared" si="79" ref="BJ57:BJ67">J57*K57</f>
        <v>0</v>
      </c>
      <c r="BK57" s="16"/>
      <c r="BL57" s="16">
        <v>781</v>
      </c>
    </row>
    <row r="58" spans="1:64" ht="15" customHeight="1">
      <c r="A58" s="5" t="s">
        <v>383</v>
      </c>
      <c r="B58" s="17" t="s">
        <v>300</v>
      </c>
      <c r="C58" s="77" t="s">
        <v>215</v>
      </c>
      <c r="D58" s="77"/>
      <c r="E58" s="77"/>
      <c r="F58" s="77"/>
      <c r="G58" s="77"/>
      <c r="H58" s="77"/>
      <c r="I58" s="17" t="s">
        <v>382</v>
      </c>
      <c r="J58" s="16">
        <v>132.82</v>
      </c>
      <c r="K58" s="16">
        <v>0</v>
      </c>
      <c r="L58" s="16">
        <f t="shared" si="60"/>
        <v>0</v>
      </c>
      <c r="M58" s="31">
        <v>0.00021</v>
      </c>
      <c r="Z58" s="16">
        <f t="shared" si="61"/>
        <v>0</v>
      </c>
      <c r="AB58" s="16">
        <f t="shared" si="62"/>
        <v>0</v>
      </c>
      <c r="AC58" s="16">
        <f t="shared" si="63"/>
        <v>0</v>
      </c>
      <c r="AD58" s="16">
        <f t="shared" si="64"/>
        <v>0</v>
      </c>
      <c r="AE58" s="16">
        <f t="shared" si="65"/>
        <v>0</v>
      </c>
      <c r="AF58" s="16">
        <f t="shared" si="66"/>
        <v>0</v>
      </c>
      <c r="AG58" s="16">
        <f t="shared" si="67"/>
        <v>0</v>
      </c>
      <c r="AH58" s="16">
        <f t="shared" si="68"/>
        <v>0</v>
      </c>
      <c r="AI58" s="42" t="s">
        <v>268</v>
      </c>
      <c r="AJ58" s="16">
        <f t="shared" si="69"/>
        <v>0</v>
      </c>
      <c r="AK58" s="16">
        <f t="shared" si="70"/>
        <v>0</v>
      </c>
      <c r="AL58" s="16">
        <f t="shared" si="71"/>
        <v>0</v>
      </c>
      <c r="AN58" s="16">
        <v>21</v>
      </c>
      <c r="AO58" s="16">
        <f>K58*0.47976587964296</f>
        <v>0</v>
      </c>
      <c r="AP58" s="16">
        <f>K58*(1-0.47976587964296)</f>
        <v>0</v>
      </c>
      <c r="AQ58" s="56" t="s">
        <v>389</v>
      </c>
      <c r="AV58" s="16">
        <f t="shared" si="72"/>
        <v>0</v>
      </c>
      <c r="AW58" s="16">
        <f t="shared" si="73"/>
        <v>0</v>
      </c>
      <c r="AX58" s="16">
        <f t="shared" si="74"/>
        <v>0</v>
      </c>
      <c r="AY58" s="56" t="s">
        <v>184</v>
      </c>
      <c r="AZ58" s="56" t="s">
        <v>182</v>
      </c>
      <c r="BA58" s="42" t="s">
        <v>295</v>
      </c>
      <c r="BC58" s="16">
        <f t="shared" si="75"/>
        <v>0</v>
      </c>
      <c r="BD58" s="16">
        <f t="shared" si="76"/>
        <v>0</v>
      </c>
      <c r="BE58" s="16">
        <v>0</v>
      </c>
      <c r="BF58" s="16">
        <f>58</f>
        <v>58</v>
      </c>
      <c r="BH58" s="16">
        <f t="shared" si="77"/>
        <v>0</v>
      </c>
      <c r="BI58" s="16">
        <f t="shared" si="78"/>
        <v>0</v>
      </c>
      <c r="BJ58" s="16">
        <f t="shared" si="79"/>
        <v>0</v>
      </c>
      <c r="BK58" s="16"/>
      <c r="BL58" s="16">
        <v>781</v>
      </c>
    </row>
    <row r="59" spans="1:64" ht="15" customHeight="1">
      <c r="A59" s="5" t="s">
        <v>74</v>
      </c>
      <c r="B59" s="17" t="s">
        <v>223</v>
      </c>
      <c r="C59" s="77" t="s">
        <v>10</v>
      </c>
      <c r="D59" s="77"/>
      <c r="E59" s="77"/>
      <c r="F59" s="77"/>
      <c r="G59" s="77"/>
      <c r="H59" s="77"/>
      <c r="I59" s="17" t="s">
        <v>382</v>
      </c>
      <c r="J59" s="16">
        <v>13.87</v>
      </c>
      <c r="K59" s="16">
        <v>0</v>
      </c>
      <c r="L59" s="16">
        <f t="shared" si="60"/>
        <v>0</v>
      </c>
      <c r="M59" s="31">
        <v>0</v>
      </c>
      <c r="Z59" s="16">
        <f t="shared" si="61"/>
        <v>0</v>
      </c>
      <c r="AB59" s="16">
        <f t="shared" si="62"/>
        <v>0</v>
      </c>
      <c r="AC59" s="16">
        <f t="shared" si="63"/>
        <v>0</v>
      </c>
      <c r="AD59" s="16">
        <f t="shared" si="64"/>
        <v>0</v>
      </c>
      <c r="AE59" s="16">
        <f t="shared" si="65"/>
        <v>0</v>
      </c>
      <c r="AF59" s="16">
        <f t="shared" si="66"/>
        <v>0</v>
      </c>
      <c r="AG59" s="16">
        <f t="shared" si="67"/>
        <v>0</v>
      </c>
      <c r="AH59" s="16">
        <f t="shared" si="68"/>
        <v>0</v>
      </c>
      <c r="AI59" s="42" t="s">
        <v>268</v>
      </c>
      <c r="AJ59" s="16">
        <f t="shared" si="69"/>
        <v>0</v>
      </c>
      <c r="AK59" s="16">
        <f t="shared" si="70"/>
        <v>0</v>
      </c>
      <c r="AL59" s="16">
        <f t="shared" si="71"/>
        <v>0</v>
      </c>
      <c r="AN59" s="16">
        <v>21</v>
      </c>
      <c r="AO59" s="16">
        <f>K59*0</f>
        <v>0</v>
      </c>
      <c r="AP59" s="16">
        <f>K59*(1-0)</f>
        <v>0</v>
      </c>
      <c r="AQ59" s="56" t="s">
        <v>389</v>
      </c>
      <c r="AV59" s="16">
        <f t="shared" si="72"/>
        <v>0</v>
      </c>
      <c r="AW59" s="16">
        <f t="shared" si="73"/>
        <v>0</v>
      </c>
      <c r="AX59" s="16">
        <f t="shared" si="74"/>
        <v>0</v>
      </c>
      <c r="AY59" s="56" t="s">
        <v>184</v>
      </c>
      <c r="AZ59" s="56" t="s">
        <v>182</v>
      </c>
      <c r="BA59" s="42" t="s">
        <v>295</v>
      </c>
      <c r="BC59" s="16">
        <f t="shared" si="75"/>
        <v>0</v>
      </c>
      <c r="BD59" s="16">
        <f t="shared" si="76"/>
        <v>0</v>
      </c>
      <c r="BE59" s="16">
        <v>0</v>
      </c>
      <c r="BF59" s="16">
        <f>59</f>
        <v>59</v>
      </c>
      <c r="BH59" s="16">
        <f t="shared" si="77"/>
        <v>0</v>
      </c>
      <c r="BI59" s="16">
        <f t="shared" si="78"/>
        <v>0</v>
      </c>
      <c r="BJ59" s="16">
        <f t="shared" si="79"/>
        <v>0</v>
      </c>
      <c r="BK59" s="16"/>
      <c r="BL59" s="16">
        <v>781</v>
      </c>
    </row>
    <row r="60" spans="1:64" ht="15" customHeight="1">
      <c r="A60" s="5" t="s">
        <v>136</v>
      </c>
      <c r="B60" s="17" t="s">
        <v>109</v>
      </c>
      <c r="C60" s="77" t="s">
        <v>160</v>
      </c>
      <c r="D60" s="77"/>
      <c r="E60" s="77"/>
      <c r="F60" s="77"/>
      <c r="G60" s="77"/>
      <c r="H60" s="77"/>
      <c r="I60" s="17" t="s">
        <v>101</v>
      </c>
      <c r="J60" s="16">
        <v>42</v>
      </c>
      <c r="K60" s="16">
        <v>0</v>
      </c>
      <c r="L60" s="16">
        <f t="shared" si="60"/>
        <v>0</v>
      </c>
      <c r="M60" s="31">
        <v>0</v>
      </c>
      <c r="Z60" s="16">
        <f t="shared" si="61"/>
        <v>0</v>
      </c>
      <c r="AB60" s="16">
        <f t="shared" si="62"/>
        <v>0</v>
      </c>
      <c r="AC60" s="16">
        <f t="shared" si="63"/>
        <v>0</v>
      </c>
      <c r="AD60" s="16">
        <f t="shared" si="64"/>
        <v>0</v>
      </c>
      <c r="AE60" s="16">
        <f t="shared" si="65"/>
        <v>0</v>
      </c>
      <c r="AF60" s="16">
        <f t="shared" si="66"/>
        <v>0</v>
      </c>
      <c r="AG60" s="16">
        <f t="shared" si="67"/>
        <v>0</v>
      </c>
      <c r="AH60" s="16">
        <f t="shared" si="68"/>
        <v>0</v>
      </c>
      <c r="AI60" s="42" t="s">
        <v>268</v>
      </c>
      <c r="AJ60" s="16">
        <f t="shared" si="69"/>
        <v>0</v>
      </c>
      <c r="AK60" s="16">
        <f t="shared" si="70"/>
        <v>0</v>
      </c>
      <c r="AL60" s="16">
        <f t="shared" si="71"/>
        <v>0</v>
      </c>
      <c r="AN60" s="16">
        <v>21</v>
      </c>
      <c r="AO60" s="16">
        <f>K60*0.0182105263157895</f>
        <v>0</v>
      </c>
      <c r="AP60" s="16">
        <f>K60*(1-0.0182105263157895)</f>
        <v>0</v>
      </c>
      <c r="AQ60" s="56" t="s">
        <v>389</v>
      </c>
      <c r="AV60" s="16">
        <f t="shared" si="72"/>
        <v>0</v>
      </c>
      <c r="AW60" s="16">
        <f t="shared" si="73"/>
        <v>0</v>
      </c>
      <c r="AX60" s="16">
        <f t="shared" si="74"/>
        <v>0</v>
      </c>
      <c r="AY60" s="56" t="s">
        <v>184</v>
      </c>
      <c r="AZ60" s="56" t="s">
        <v>182</v>
      </c>
      <c r="BA60" s="42" t="s">
        <v>295</v>
      </c>
      <c r="BC60" s="16">
        <f t="shared" si="75"/>
        <v>0</v>
      </c>
      <c r="BD60" s="16">
        <f t="shared" si="76"/>
        <v>0</v>
      </c>
      <c r="BE60" s="16">
        <v>0</v>
      </c>
      <c r="BF60" s="16">
        <f>60</f>
        <v>60</v>
      </c>
      <c r="BH60" s="16">
        <f t="shared" si="77"/>
        <v>0</v>
      </c>
      <c r="BI60" s="16">
        <f t="shared" si="78"/>
        <v>0</v>
      </c>
      <c r="BJ60" s="16">
        <f t="shared" si="79"/>
        <v>0</v>
      </c>
      <c r="BK60" s="16"/>
      <c r="BL60" s="16">
        <v>781</v>
      </c>
    </row>
    <row r="61" spans="1:64" ht="15" customHeight="1">
      <c r="A61" s="5" t="s">
        <v>179</v>
      </c>
      <c r="B61" s="17" t="s">
        <v>352</v>
      </c>
      <c r="C61" s="77" t="s">
        <v>106</v>
      </c>
      <c r="D61" s="77"/>
      <c r="E61" s="77"/>
      <c r="F61" s="77"/>
      <c r="G61" s="77"/>
      <c r="H61" s="77"/>
      <c r="I61" s="17" t="s">
        <v>101</v>
      </c>
      <c r="J61" s="16">
        <v>6</v>
      </c>
      <c r="K61" s="16">
        <v>0</v>
      </c>
      <c r="L61" s="16">
        <f t="shared" si="60"/>
        <v>0</v>
      </c>
      <c r="M61" s="31">
        <v>0</v>
      </c>
      <c r="Z61" s="16">
        <f t="shared" si="61"/>
        <v>0</v>
      </c>
      <c r="AB61" s="16">
        <f t="shared" si="62"/>
        <v>0</v>
      </c>
      <c r="AC61" s="16">
        <f t="shared" si="63"/>
        <v>0</v>
      </c>
      <c r="AD61" s="16">
        <f t="shared" si="64"/>
        <v>0</v>
      </c>
      <c r="AE61" s="16">
        <f t="shared" si="65"/>
        <v>0</v>
      </c>
      <c r="AF61" s="16">
        <f t="shared" si="66"/>
        <v>0</v>
      </c>
      <c r="AG61" s="16">
        <f t="shared" si="67"/>
        <v>0</v>
      </c>
      <c r="AH61" s="16">
        <f t="shared" si="68"/>
        <v>0</v>
      </c>
      <c r="AI61" s="42" t="s">
        <v>268</v>
      </c>
      <c r="AJ61" s="16">
        <f t="shared" si="69"/>
        <v>0</v>
      </c>
      <c r="AK61" s="16">
        <f t="shared" si="70"/>
        <v>0</v>
      </c>
      <c r="AL61" s="16">
        <f t="shared" si="71"/>
        <v>0</v>
      </c>
      <c r="AN61" s="16">
        <v>21</v>
      </c>
      <c r="AO61" s="16">
        <f>K61*0.06</f>
        <v>0</v>
      </c>
      <c r="AP61" s="16">
        <f>K61*(1-0.06)</f>
        <v>0</v>
      </c>
      <c r="AQ61" s="56" t="s">
        <v>389</v>
      </c>
      <c r="AV61" s="16">
        <f t="shared" si="72"/>
        <v>0</v>
      </c>
      <c r="AW61" s="16">
        <f t="shared" si="73"/>
        <v>0</v>
      </c>
      <c r="AX61" s="16">
        <f t="shared" si="74"/>
        <v>0</v>
      </c>
      <c r="AY61" s="56" t="s">
        <v>184</v>
      </c>
      <c r="AZ61" s="56" t="s">
        <v>182</v>
      </c>
      <c r="BA61" s="42" t="s">
        <v>295</v>
      </c>
      <c r="BC61" s="16">
        <f t="shared" si="75"/>
        <v>0</v>
      </c>
      <c r="BD61" s="16">
        <f t="shared" si="76"/>
        <v>0</v>
      </c>
      <c r="BE61" s="16">
        <v>0</v>
      </c>
      <c r="BF61" s="16">
        <f>61</f>
        <v>61</v>
      </c>
      <c r="BH61" s="16">
        <f t="shared" si="77"/>
        <v>0</v>
      </c>
      <c r="BI61" s="16">
        <f t="shared" si="78"/>
        <v>0</v>
      </c>
      <c r="BJ61" s="16">
        <f t="shared" si="79"/>
        <v>0</v>
      </c>
      <c r="BK61" s="16"/>
      <c r="BL61" s="16">
        <v>781</v>
      </c>
    </row>
    <row r="62" spans="1:64" ht="15" customHeight="1">
      <c r="A62" s="5" t="s">
        <v>143</v>
      </c>
      <c r="B62" s="17" t="s">
        <v>317</v>
      </c>
      <c r="C62" s="77" t="s">
        <v>20</v>
      </c>
      <c r="D62" s="77"/>
      <c r="E62" s="77"/>
      <c r="F62" s="77"/>
      <c r="G62" s="77"/>
      <c r="H62" s="77"/>
      <c r="I62" s="17" t="s">
        <v>321</v>
      </c>
      <c r="J62" s="16">
        <v>12</v>
      </c>
      <c r="K62" s="16">
        <v>0</v>
      </c>
      <c r="L62" s="16">
        <f t="shared" si="60"/>
        <v>0</v>
      </c>
      <c r="M62" s="31">
        <v>0</v>
      </c>
      <c r="Z62" s="16">
        <f t="shared" si="61"/>
        <v>0</v>
      </c>
      <c r="AB62" s="16">
        <f t="shared" si="62"/>
        <v>0</v>
      </c>
      <c r="AC62" s="16">
        <f t="shared" si="63"/>
        <v>0</v>
      </c>
      <c r="AD62" s="16">
        <f t="shared" si="64"/>
        <v>0</v>
      </c>
      <c r="AE62" s="16">
        <f t="shared" si="65"/>
        <v>0</v>
      </c>
      <c r="AF62" s="16">
        <f t="shared" si="66"/>
        <v>0</v>
      </c>
      <c r="AG62" s="16">
        <f t="shared" si="67"/>
        <v>0</v>
      </c>
      <c r="AH62" s="16">
        <f t="shared" si="68"/>
        <v>0</v>
      </c>
      <c r="AI62" s="42" t="s">
        <v>268</v>
      </c>
      <c r="AJ62" s="16">
        <f t="shared" si="69"/>
        <v>0</v>
      </c>
      <c r="AK62" s="16">
        <f t="shared" si="70"/>
        <v>0</v>
      </c>
      <c r="AL62" s="16">
        <f t="shared" si="71"/>
        <v>0</v>
      </c>
      <c r="AN62" s="16">
        <v>21</v>
      </c>
      <c r="AO62" s="16">
        <f>K62*0</f>
        <v>0</v>
      </c>
      <c r="AP62" s="16">
        <f>K62*(1-0)</f>
        <v>0</v>
      </c>
      <c r="AQ62" s="56" t="s">
        <v>389</v>
      </c>
      <c r="AV62" s="16">
        <f t="shared" si="72"/>
        <v>0</v>
      </c>
      <c r="AW62" s="16">
        <f t="shared" si="73"/>
        <v>0</v>
      </c>
      <c r="AX62" s="16">
        <f t="shared" si="74"/>
        <v>0</v>
      </c>
      <c r="AY62" s="56" t="s">
        <v>184</v>
      </c>
      <c r="AZ62" s="56" t="s">
        <v>182</v>
      </c>
      <c r="BA62" s="42" t="s">
        <v>295</v>
      </c>
      <c r="BC62" s="16">
        <f t="shared" si="75"/>
        <v>0</v>
      </c>
      <c r="BD62" s="16">
        <f t="shared" si="76"/>
        <v>0</v>
      </c>
      <c r="BE62" s="16">
        <v>0</v>
      </c>
      <c r="BF62" s="16">
        <f>62</f>
        <v>62</v>
      </c>
      <c r="BH62" s="16">
        <f t="shared" si="77"/>
        <v>0</v>
      </c>
      <c r="BI62" s="16">
        <f t="shared" si="78"/>
        <v>0</v>
      </c>
      <c r="BJ62" s="16">
        <f t="shared" si="79"/>
        <v>0</v>
      </c>
      <c r="BK62" s="16"/>
      <c r="BL62" s="16">
        <v>781</v>
      </c>
    </row>
    <row r="63" spans="1:64" ht="15" customHeight="1">
      <c r="A63" s="5" t="s">
        <v>315</v>
      </c>
      <c r="B63" s="17" t="s">
        <v>158</v>
      </c>
      <c r="C63" s="77" t="s">
        <v>203</v>
      </c>
      <c r="D63" s="77"/>
      <c r="E63" s="77"/>
      <c r="F63" s="77"/>
      <c r="G63" s="77"/>
      <c r="H63" s="77"/>
      <c r="I63" s="17" t="s">
        <v>382</v>
      </c>
      <c r="J63" s="16">
        <v>132.82</v>
      </c>
      <c r="K63" s="16">
        <v>0</v>
      </c>
      <c r="L63" s="16">
        <f t="shared" si="60"/>
        <v>0</v>
      </c>
      <c r="M63" s="31">
        <v>0.04277</v>
      </c>
      <c r="Z63" s="16">
        <f t="shared" si="61"/>
        <v>0</v>
      </c>
      <c r="AB63" s="16">
        <f t="shared" si="62"/>
        <v>0</v>
      </c>
      <c r="AC63" s="16">
        <f t="shared" si="63"/>
        <v>0</v>
      </c>
      <c r="AD63" s="16">
        <f t="shared" si="64"/>
        <v>0</v>
      </c>
      <c r="AE63" s="16">
        <f t="shared" si="65"/>
        <v>0</v>
      </c>
      <c r="AF63" s="16">
        <f t="shared" si="66"/>
        <v>0</v>
      </c>
      <c r="AG63" s="16">
        <f t="shared" si="67"/>
        <v>0</v>
      </c>
      <c r="AH63" s="16">
        <f t="shared" si="68"/>
        <v>0</v>
      </c>
      <c r="AI63" s="42" t="s">
        <v>268</v>
      </c>
      <c r="AJ63" s="16">
        <f t="shared" si="69"/>
        <v>0</v>
      </c>
      <c r="AK63" s="16">
        <f t="shared" si="70"/>
        <v>0</v>
      </c>
      <c r="AL63" s="16">
        <f t="shared" si="71"/>
        <v>0</v>
      </c>
      <c r="AN63" s="16">
        <v>21</v>
      </c>
      <c r="AO63" s="16">
        <f>K63*0.0741752785376232</f>
        <v>0</v>
      </c>
      <c r="AP63" s="16">
        <f>K63*(1-0.0741752785376232)</f>
        <v>0</v>
      </c>
      <c r="AQ63" s="56" t="s">
        <v>389</v>
      </c>
      <c r="AV63" s="16">
        <f t="shared" si="72"/>
        <v>0</v>
      </c>
      <c r="AW63" s="16">
        <f t="shared" si="73"/>
        <v>0</v>
      </c>
      <c r="AX63" s="16">
        <f t="shared" si="74"/>
        <v>0</v>
      </c>
      <c r="AY63" s="56" t="s">
        <v>184</v>
      </c>
      <c r="AZ63" s="56" t="s">
        <v>182</v>
      </c>
      <c r="BA63" s="42" t="s">
        <v>295</v>
      </c>
      <c r="BC63" s="16">
        <f t="shared" si="75"/>
        <v>0</v>
      </c>
      <c r="BD63" s="16">
        <f t="shared" si="76"/>
        <v>0</v>
      </c>
      <c r="BE63" s="16">
        <v>0</v>
      </c>
      <c r="BF63" s="16">
        <f>63</f>
        <v>63</v>
      </c>
      <c r="BH63" s="16">
        <f t="shared" si="77"/>
        <v>0</v>
      </c>
      <c r="BI63" s="16">
        <f t="shared" si="78"/>
        <v>0</v>
      </c>
      <c r="BJ63" s="16">
        <f t="shared" si="79"/>
        <v>0</v>
      </c>
      <c r="BK63" s="16"/>
      <c r="BL63" s="16">
        <v>781</v>
      </c>
    </row>
    <row r="64" spans="1:64" ht="15" customHeight="1">
      <c r="A64" s="5" t="s">
        <v>404</v>
      </c>
      <c r="B64" s="17" t="s">
        <v>420</v>
      </c>
      <c r="C64" s="77" t="s">
        <v>415</v>
      </c>
      <c r="D64" s="77"/>
      <c r="E64" s="77"/>
      <c r="F64" s="77"/>
      <c r="G64" s="77"/>
      <c r="H64" s="77"/>
      <c r="I64" s="17" t="s">
        <v>382</v>
      </c>
      <c r="J64" s="16">
        <v>146.1</v>
      </c>
      <c r="K64" s="16">
        <v>0</v>
      </c>
      <c r="L64" s="16">
        <f t="shared" si="60"/>
        <v>0</v>
      </c>
      <c r="M64" s="31">
        <v>0.0105</v>
      </c>
      <c r="Z64" s="16">
        <f t="shared" si="61"/>
        <v>0</v>
      </c>
      <c r="AB64" s="16">
        <f t="shared" si="62"/>
        <v>0</v>
      </c>
      <c r="AC64" s="16">
        <f t="shared" si="63"/>
        <v>0</v>
      </c>
      <c r="AD64" s="16">
        <f t="shared" si="64"/>
        <v>0</v>
      </c>
      <c r="AE64" s="16">
        <f t="shared" si="65"/>
        <v>0</v>
      </c>
      <c r="AF64" s="16">
        <f t="shared" si="66"/>
        <v>0</v>
      </c>
      <c r="AG64" s="16">
        <f t="shared" si="67"/>
        <v>0</v>
      </c>
      <c r="AH64" s="16">
        <f t="shared" si="68"/>
        <v>0</v>
      </c>
      <c r="AI64" s="42" t="s">
        <v>268</v>
      </c>
      <c r="AJ64" s="16">
        <f t="shared" si="69"/>
        <v>0</v>
      </c>
      <c r="AK64" s="16">
        <f t="shared" si="70"/>
        <v>0</v>
      </c>
      <c r="AL64" s="16">
        <f t="shared" si="71"/>
        <v>0</v>
      </c>
      <c r="AN64" s="16">
        <v>21</v>
      </c>
      <c r="AO64" s="16">
        <f>K64*1</f>
        <v>0</v>
      </c>
      <c r="AP64" s="16">
        <f>K64*(1-1)</f>
        <v>0</v>
      </c>
      <c r="AQ64" s="56" t="s">
        <v>389</v>
      </c>
      <c r="AV64" s="16">
        <f t="shared" si="72"/>
        <v>0</v>
      </c>
      <c r="AW64" s="16">
        <f t="shared" si="73"/>
        <v>0</v>
      </c>
      <c r="AX64" s="16">
        <f t="shared" si="74"/>
        <v>0</v>
      </c>
      <c r="AY64" s="56" t="s">
        <v>184</v>
      </c>
      <c r="AZ64" s="56" t="s">
        <v>182</v>
      </c>
      <c r="BA64" s="42" t="s">
        <v>295</v>
      </c>
      <c r="BC64" s="16">
        <f t="shared" si="75"/>
        <v>0</v>
      </c>
      <c r="BD64" s="16">
        <f t="shared" si="76"/>
        <v>0</v>
      </c>
      <c r="BE64" s="16">
        <v>0</v>
      </c>
      <c r="BF64" s="16">
        <f>64</f>
        <v>64</v>
      </c>
      <c r="BH64" s="16">
        <f t="shared" si="77"/>
        <v>0</v>
      </c>
      <c r="BI64" s="16">
        <f t="shared" si="78"/>
        <v>0</v>
      </c>
      <c r="BJ64" s="16">
        <f t="shared" si="79"/>
        <v>0</v>
      </c>
      <c r="BK64" s="16"/>
      <c r="BL64" s="16">
        <v>781</v>
      </c>
    </row>
    <row r="65" spans="1:64" ht="15" customHeight="1">
      <c r="A65" s="5" t="s">
        <v>27</v>
      </c>
      <c r="B65" s="17" t="s">
        <v>9</v>
      </c>
      <c r="C65" s="77" t="s">
        <v>47</v>
      </c>
      <c r="D65" s="77"/>
      <c r="E65" s="77"/>
      <c r="F65" s="77"/>
      <c r="G65" s="77"/>
      <c r="H65" s="77"/>
      <c r="I65" s="17" t="s">
        <v>382</v>
      </c>
      <c r="J65" s="16">
        <v>132.82</v>
      </c>
      <c r="K65" s="16">
        <v>0</v>
      </c>
      <c r="L65" s="16">
        <f t="shared" si="60"/>
        <v>0</v>
      </c>
      <c r="M65" s="31">
        <v>0.0004</v>
      </c>
      <c r="Z65" s="16">
        <f t="shared" si="61"/>
        <v>0</v>
      </c>
      <c r="AB65" s="16">
        <f t="shared" si="62"/>
        <v>0</v>
      </c>
      <c r="AC65" s="16">
        <f t="shared" si="63"/>
        <v>0</v>
      </c>
      <c r="AD65" s="16">
        <f t="shared" si="64"/>
        <v>0</v>
      </c>
      <c r="AE65" s="16">
        <f t="shared" si="65"/>
        <v>0</v>
      </c>
      <c r="AF65" s="16">
        <f t="shared" si="66"/>
        <v>0</v>
      </c>
      <c r="AG65" s="16">
        <f t="shared" si="67"/>
        <v>0</v>
      </c>
      <c r="AH65" s="16">
        <f t="shared" si="68"/>
        <v>0</v>
      </c>
      <c r="AI65" s="42" t="s">
        <v>268</v>
      </c>
      <c r="AJ65" s="16">
        <f t="shared" si="69"/>
        <v>0</v>
      </c>
      <c r="AK65" s="16">
        <f t="shared" si="70"/>
        <v>0</v>
      </c>
      <c r="AL65" s="16">
        <f t="shared" si="71"/>
        <v>0</v>
      </c>
      <c r="AN65" s="16">
        <v>21</v>
      </c>
      <c r="AO65" s="16">
        <f>K65*1.00002332979852</f>
        <v>0</v>
      </c>
      <c r="AP65" s="16">
        <f>K65*(1-1.00002332979852)</f>
        <v>0</v>
      </c>
      <c r="AQ65" s="56" t="s">
        <v>389</v>
      </c>
      <c r="AV65" s="16">
        <f t="shared" si="72"/>
        <v>0</v>
      </c>
      <c r="AW65" s="16">
        <f t="shared" si="73"/>
        <v>0</v>
      </c>
      <c r="AX65" s="16">
        <f t="shared" si="74"/>
        <v>0</v>
      </c>
      <c r="AY65" s="56" t="s">
        <v>184</v>
      </c>
      <c r="AZ65" s="56" t="s">
        <v>182</v>
      </c>
      <c r="BA65" s="42" t="s">
        <v>295</v>
      </c>
      <c r="BC65" s="16">
        <f t="shared" si="75"/>
        <v>0</v>
      </c>
      <c r="BD65" s="16">
        <f t="shared" si="76"/>
        <v>0</v>
      </c>
      <c r="BE65" s="16">
        <v>0</v>
      </c>
      <c r="BF65" s="16">
        <f>65</f>
        <v>65</v>
      </c>
      <c r="BH65" s="16">
        <f t="shared" si="77"/>
        <v>0</v>
      </c>
      <c r="BI65" s="16">
        <f t="shared" si="78"/>
        <v>0</v>
      </c>
      <c r="BJ65" s="16">
        <f t="shared" si="79"/>
        <v>0</v>
      </c>
      <c r="BK65" s="16"/>
      <c r="BL65" s="16">
        <v>781</v>
      </c>
    </row>
    <row r="66" spans="1:64" ht="15" customHeight="1">
      <c r="A66" s="5" t="s">
        <v>301</v>
      </c>
      <c r="B66" s="17" t="s">
        <v>231</v>
      </c>
      <c r="C66" s="77" t="s">
        <v>281</v>
      </c>
      <c r="D66" s="77"/>
      <c r="E66" s="77"/>
      <c r="F66" s="77"/>
      <c r="G66" s="77"/>
      <c r="H66" s="77"/>
      <c r="I66" s="17" t="s">
        <v>321</v>
      </c>
      <c r="J66" s="16">
        <v>74.34</v>
      </c>
      <c r="K66" s="16">
        <v>0</v>
      </c>
      <c r="L66" s="16">
        <f t="shared" si="60"/>
        <v>0</v>
      </c>
      <c r="M66" s="31">
        <v>0.00022</v>
      </c>
      <c r="Z66" s="16">
        <f t="shared" si="61"/>
        <v>0</v>
      </c>
      <c r="AB66" s="16">
        <f t="shared" si="62"/>
        <v>0</v>
      </c>
      <c r="AC66" s="16">
        <f t="shared" si="63"/>
        <v>0</v>
      </c>
      <c r="AD66" s="16">
        <f t="shared" si="64"/>
        <v>0</v>
      </c>
      <c r="AE66" s="16">
        <f t="shared" si="65"/>
        <v>0</v>
      </c>
      <c r="AF66" s="16">
        <f t="shared" si="66"/>
        <v>0</v>
      </c>
      <c r="AG66" s="16">
        <f t="shared" si="67"/>
        <v>0</v>
      </c>
      <c r="AH66" s="16">
        <f t="shared" si="68"/>
        <v>0</v>
      </c>
      <c r="AI66" s="42" t="s">
        <v>268</v>
      </c>
      <c r="AJ66" s="16">
        <f t="shared" si="69"/>
        <v>0</v>
      </c>
      <c r="AK66" s="16">
        <f t="shared" si="70"/>
        <v>0</v>
      </c>
      <c r="AL66" s="16">
        <f t="shared" si="71"/>
        <v>0</v>
      </c>
      <c r="AN66" s="16">
        <v>21</v>
      </c>
      <c r="AO66" s="16">
        <f>K66*0.157849420529801</f>
        <v>0</v>
      </c>
      <c r="AP66" s="16">
        <f>K66*(1-0.157849420529801)</f>
        <v>0</v>
      </c>
      <c r="AQ66" s="56" t="s">
        <v>389</v>
      </c>
      <c r="AV66" s="16">
        <f t="shared" si="72"/>
        <v>0</v>
      </c>
      <c r="AW66" s="16">
        <f t="shared" si="73"/>
        <v>0</v>
      </c>
      <c r="AX66" s="16">
        <f t="shared" si="74"/>
        <v>0</v>
      </c>
      <c r="AY66" s="56" t="s">
        <v>184</v>
      </c>
      <c r="AZ66" s="56" t="s">
        <v>182</v>
      </c>
      <c r="BA66" s="42" t="s">
        <v>295</v>
      </c>
      <c r="BC66" s="16">
        <f t="shared" si="75"/>
        <v>0</v>
      </c>
      <c r="BD66" s="16">
        <f t="shared" si="76"/>
        <v>0</v>
      </c>
      <c r="BE66" s="16">
        <v>0</v>
      </c>
      <c r="BF66" s="16">
        <f>66</f>
        <v>66</v>
      </c>
      <c r="BH66" s="16">
        <f t="shared" si="77"/>
        <v>0</v>
      </c>
      <c r="BI66" s="16">
        <f t="shared" si="78"/>
        <v>0</v>
      </c>
      <c r="BJ66" s="16">
        <f t="shared" si="79"/>
        <v>0</v>
      </c>
      <c r="BK66" s="16"/>
      <c r="BL66" s="16">
        <v>781</v>
      </c>
    </row>
    <row r="67" spans="1:64" ht="15" customHeight="1">
      <c r="A67" s="5" t="s">
        <v>319</v>
      </c>
      <c r="B67" s="17" t="s">
        <v>333</v>
      </c>
      <c r="C67" s="77" t="s">
        <v>17</v>
      </c>
      <c r="D67" s="77"/>
      <c r="E67" s="77"/>
      <c r="F67" s="77"/>
      <c r="G67" s="77"/>
      <c r="H67" s="77"/>
      <c r="I67" s="17" t="s">
        <v>342</v>
      </c>
      <c r="J67" s="16">
        <v>2237</v>
      </c>
      <c r="K67" s="16">
        <v>0</v>
      </c>
      <c r="L67" s="16">
        <f t="shared" si="60"/>
        <v>0</v>
      </c>
      <c r="M67" s="31">
        <v>0</v>
      </c>
      <c r="Z67" s="16">
        <f t="shared" si="61"/>
        <v>0</v>
      </c>
      <c r="AB67" s="16">
        <f t="shared" si="62"/>
        <v>0</v>
      </c>
      <c r="AC67" s="16">
        <f t="shared" si="63"/>
        <v>0</v>
      </c>
      <c r="AD67" s="16">
        <f t="shared" si="64"/>
        <v>0</v>
      </c>
      <c r="AE67" s="16">
        <f t="shared" si="65"/>
        <v>0</v>
      </c>
      <c r="AF67" s="16">
        <f t="shared" si="66"/>
        <v>0</v>
      </c>
      <c r="AG67" s="16">
        <f t="shared" si="67"/>
        <v>0</v>
      </c>
      <c r="AH67" s="16">
        <f t="shared" si="68"/>
        <v>0</v>
      </c>
      <c r="AI67" s="42" t="s">
        <v>268</v>
      </c>
      <c r="AJ67" s="16">
        <f t="shared" si="69"/>
        <v>0</v>
      </c>
      <c r="AK67" s="16">
        <f t="shared" si="70"/>
        <v>0</v>
      </c>
      <c r="AL67" s="16">
        <f t="shared" si="71"/>
        <v>0</v>
      </c>
      <c r="AN67" s="16">
        <v>21</v>
      </c>
      <c r="AO67" s="16">
        <f>K67*0</f>
        <v>0</v>
      </c>
      <c r="AP67" s="16">
        <f>K67*(1-0)</f>
        <v>0</v>
      </c>
      <c r="AQ67" s="56" t="s">
        <v>208</v>
      </c>
      <c r="AV67" s="16">
        <f t="shared" si="72"/>
        <v>0</v>
      </c>
      <c r="AW67" s="16">
        <f t="shared" si="73"/>
        <v>0</v>
      </c>
      <c r="AX67" s="16">
        <f t="shared" si="74"/>
        <v>0</v>
      </c>
      <c r="AY67" s="56" t="s">
        <v>184</v>
      </c>
      <c r="AZ67" s="56" t="s">
        <v>182</v>
      </c>
      <c r="BA67" s="42" t="s">
        <v>295</v>
      </c>
      <c r="BC67" s="16">
        <f t="shared" si="75"/>
        <v>0</v>
      </c>
      <c r="BD67" s="16">
        <f t="shared" si="76"/>
        <v>0</v>
      </c>
      <c r="BE67" s="16">
        <v>0</v>
      </c>
      <c r="BF67" s="16">
        <f>67</f>
        <v>67</v>
      </c>
      <c r="BH67" s="16">
        <f t="shared" si="77"/>
        <v>0</v>
      </c>
      <c r="BI67" s="16">
        <f t="shared" si="78"/>
        <v>0</v>
      </c>
      <c r="BJ67" s="16">
        <f t="shared" si="79"/>
        <v>0</v>
      </c>
      <c r="BK67" s="16"/>
      <c r="BL67" s="16">
        <v>781</v>
      </c>
    </row>
    <row r="68" spans="1:47" ht="15" customHeight="1">
      <c r="A68" s="43" t="s">
        <v>268</v>
      </c>
      <c r="B68" s="13" t="s">
        <v>224</v>
      </c>
      <c r="C68" s="116" t="s">
        <v>312</v>
      </c>
      <c r="D68" s="116"/>
      <c r="E68" s="116"/>
      <c r="F68" s="116"/>
      <c r="G68" s="116"/>
      <c r="H68" s="116"/>
      <c r="I68" s="58" t="s">
        <v>363</v>
      </c>
      <c r="J68" s="58" t="s">
        <v>363</v>
      </c>
      <c r="K68" s="58" t="s">
        <v>363</v>
      </c>
      <c r="L68" s="61">
        <f>SUM(L69:L70)</f>
        <v>0</v>
      </c>
      <c r="M68" s="8" t="s">
        <v>268</v>
      </c>
      <c r="AI68" s="42" t="s">
        <v>268</v>
      </c>
      <c r="AS68" s="61">
        <f>SUM(AJ69:AJ70)</f>
        <v>0</v>
      </c>
      <c r="AT68" s="61">
        <f>SUM(AK69:AK70)</f>
        <v>0</v>
      </c>
      <c r="AU68" s="61">
        <f>SUM(AL69:AL70)</f>
        <v>0</v>
      </c>
    </row>
    <row r="69" spans="1:64" ht="15" customHeight="1">
      <c r="A69" s="5" t="s">
        <v>174</v>
      </c>
      <c r="B69" s="17" t="s">
        <v>98</v>
      </c>
      <c r="C69" s="77" t="s">
        <v>176</v>
      </c>
      <c r="D69" s="77"/>
      <c r="E69" s="77"/>
      <c r="F69" s="77"/>
      <c r="G69" s="77"/>
      <c r="H69" s="77"/>
      <c r="I69" s="17" t="s">
        <v>271</v>
      </c>
      <c r="J69" s="16">
        <v>10</v>
      </c>
      <c r="K69" s="16">
        <v>0</v>
      </c>
      <c r="L69" s="16">
        <f>J69*K69</f>
        <v>0</v>
      </c>
      <c r="M69" s="31">
        <v>0.0005</v>
      </c>
      <c r="Z69" s="16">
        <f>IF(AQ69="5",BJ69,0)</f>
        <v>0</v>
      </c>
      <c r="AB69" s="16">
        <f>IF(AQ69="1",BH69,0)</f>
        <v>0</v>
      </c>
      <c r="AC69" s="16">
        <f>IF(AQ69="1",BI69,0)</f>
        <v>0</v>
      </c>
      <c r="AD69" s="16">
        <f>IF(AQ69="7",BH69,0)</f>
        <v>0</v>
      </c>
      <c r="AE69" s="16">
        <f>IF(AQ69="7",BI69,0)</f>
        <v>0</v>
      </c>
      <c r="AF69" s="16">
        <f>IF(AQ69="2",BH69,0)</f>
        <v>0</v>
      </c>
      <c r="AG69" s="16">
        <f>IF(AQ69="2",BI69,0)</f>
        <v>0</v>
      </c>
      <c r="AH69" s="16">
        <f>IF(AQ69="0",BJ69,0)</f>
        <v>0</v>
      </c>
      <c r="AI69" s="42" t="s">
        <v>268</v>
      </c>
      <c r="AJ69" s="16">
        <f>IF(AN69=0,L69,0)</f>
        <v>0</v>
      </c>
      <c r="AK69" s="16">
        <f>IF(AN69=12,L69,0)</f>
        <v>0</v>
      </c>
      <c r="AL69" s="16">
        <f>IF(AN69=21,L69,0)</f>
        <v>0</v>
      </c>
      <c r="AN69" s="16">
        <v>21</v>
      </c>
      <c r="AO69" s="16">
        <f>K69*0.38332</f>
        <v>0</v>
      </c>
      <c r="AP69" s="16">
        <f>K69*(1-0.38332)</f>
        <v>0</v>
      </c>
      <c r="AQ69" s="56" t="s">
        <v>389</v>
      </c>
      <c r="AV69" s="16">
        <f>AW69+AX69</f>
        <v>0</v>
      </c>
      <c r="AW69" s="16">
        <f>J69*AO69</f>
        <v>0</v>
      </c>
      <c r="AX69" s="16">
        <f>J69*AP69</f>
        <v>0</v>
      </c>
      <c r="AY69" s="56" t="s">
        <v>96</v>
      </c>
      <c r="AZ69" s="56" t="s">
        <v>182</v>
      </c>
      <c r="BA69" s="42" t="s">
        <v>295</v>
      </c>
      <c r="BC69" s="16">
        <f>AW69+AX69</f>
        <v>0</v>
      </c>
      <c r="BD69" s="16">
        <f>K69/(100-BE69)*100</f>
        <v>0</v>
      </c>
      <c r="BE69" s="16">
        <v>0</v>
      </c>
      <c r="BF69" s="16">
        <f>69</f>
        <v>69</v>
      </c>
      <c r="BH69" s="16">
        <f>J69*AO69</f>
        <v>0</v>
      </c>
      <c r="BI69" s="16">
        <f>J69*AP69</f>
        <v>0</v>
      </c>
      <c r="BJ69" s="16">
        <f>J69*K69</f>
        <v>0</v>
      </c>
      <c r="BK69" s="16"/>
      <c r="BL69" s="16">
        <v>783</v>
      </c>
    </row>
    <row r="70" spans="1:64" ht="15" customHeight="1">
      <c r="A70" s="5" t="s">
        <v>171</v>
      </c>
      <c r="B70" s="17" t="s">
        <v>194</v>
      </c>
      <c r="C70" s="77" t="s">
        <v>145</v>
      </c>
      <c r="D70" s="77"/>
      <c r="E70" s="77"/>
      <c r="F70" s="77"/>
      <c r="G70" s="77"/>
      <c r="H70" s="77"/>
      <c r="I70" s="17" t="s">
        <v>297</v>
      </c>
      <c r="J70" s="16">
        <v>2</v>
      </c>
      <c r="K70" s="16">
        <v>0</v>
      </c>
      <c r="L70" s="16">
        <f>J70*K70</f>
        <v>0</v>
      </c>
      <c r="M70" s="31">
        <v>0.00049</v>
      </c>
      <c r="Z70" s="16">
        <f>IF(AQ70="5",BJ70,0)</f>
        <v>0</v>
      </c>
      <c r="AB70" s="16">
        <f>IF(AQ70="1",BH70,0)</f>
        <v>0</v>
      </c>
      <c r="AC70" s="16">
        <f>IF(AQ70="1",BI70,0)</f>
        <v>0</v>
      </c>
      <c r="AD70" s="16">
        <f>IF(AQ70="7",BH70,0)</f>
        <v>0</v>
      </c>
      <c r="AE70" s="16">
        <f>IF(AQ70="7",BI70,0)</f>
        <v>0</v>
      </c>
      <c r="AF70" s="16">
        <f>IF(AQ70="2",BH70,0)</f>
        <v>0</v>
      </c>
      <c r="AG70" s="16">
        <f>IF(AQ70="2",BI70,0)</f>
        <v>0</v>
      </c>
      <c r="AH70" s="16">
        <f>IF(AQ70="0",BJ70,0)</f>
        <v>0</v>
      </c>
      <c r="AI70" s="42" t="s">
        <v>268</v>
      </c>
      <c r="AJ70" s="16">
        <f>IF(AN70=0,L70,0)</f>
        <v>0</v>
      </c>
      <c r="AK70" s="16">
        <f>IF(AN70=12,L70,0)</f>
        <v>0</v>
      </c>
      <c r="AL70" s="16">
        <f>IF(AN70=21,L70,0)</f>
        <v>0</v>
      </c>
      <c r="AN70" s="16">
        <v>21</v>
      </c>
      <c r="AO70" s="16">
        <f>K70*0.445411764705882</f>
        <v>0</v>
      </c>
      <c r="AP70" s="16">
        <f>K70*(1-0.445411764705882)</f>
        <v>0</v>
      </c>
      <c r="AQ70" s="56" t="s">
        <v>389</v>
      </c>
      <c r="AV70" s="16">
        <f>AW70+AX70</f>
        <v>0</v>
      </c>
      <c r="AW70" s="16">
        <f>J70*AO70</f>
        <v>0</v>
      </c>
      <c r="AX70" s="16">
        <f>J70*AP70</f>
        <v>0</v>
      </c>
      <c r="AY70" s="56" t="s">
        <v>96</v>
      </c>
      <c r="AZ70" s="56" t="s">
        <v>182</v>
      </c>
      <c r="BA70" s="42" t="s">
        <v>295</v>
      </c>
      <c r="BC70" s="16">
        <f>AW70+AX70</f>
        <v>0</v>
      </c>
      <c r="BD70" s="16">
        <f>K70/(100-BE70)*100</f>
        <v>0</v>
      </c>
      <c r="BE70" s="16">
        <v>0</v>
      </c>
      <c r="BF70" s="16">
        <f>70</f>
        <v>70</v>
      </c>
      <c r="BH70" s="16">
        <f>J70*AO70</f>
        <v>0</v>
      </c>
      <c r="BI70" s="16">
        <f>J70*AP70</f>
        <v>0</v>
      </c>
      <c r="BJ70" s="16">
        <f>J70*K70</f>
        <v>0</v>
      </c>
      <c r="BK70" s="16"/>
      <c r="BL70" s="16">
        <v>783</v>
      </c>
    </row>
    <row r="71" spans="1:47" ht="15" customHeight="1">
      <c r="A71" s="43" t="s">
        <v>268</v>
      </c>
      <c r="B71" s="13" t="s">
        <v>217</v>
      </c>
      <c r="C71" s="116" t="s">
        <v>8</v>
      </c>
      <c r="D71" s="116"/>
      <c r="E71" s="116"/>
      <c r="F71" s="116"/>
      <c r="G71" s="116"/>
      <c r="H71" s="116"/>
      <c r="I71" s="58" t="s">
        <v>363</v>
      </c>
      <c r="J71" s="58" t="s">
        <v>363</v>
      </c>
      <c r="K71" s="58" t="s">
        <v>363</v>
      </c>
      <c r="L71" s="61">
        <f>SUM(L72:L75)</f>
        <v>0</v>
      </c>
      <c r="M71" s="8" t="s">
        <v>268</v>
      </c>
      <c r="AI71" s="42" t="s">
        <v>268</v>
      </c>
      <c r="AS71" s="61">
        <f>SUM(AJ72:AJ75)</f>
        <v>0</v>
      </c>
      <c r="AT71" s="61">
        <f>SUM(AK72:AK75)</f>
        <v>0</v>
      </c>
      <c r="AU71" s="61">
        <f>SUM(AL72:AL75)</f>
        <v>0</v>
      </c>
    </row>
    <row r="72" spans="1:64" ht="15" customHeight="1">
      <c r="A72" s="5" t="s">
        <v>191</v>
      </c>
      <c r="B72" s="17" t="s">
        <v>296</v>
      </c>
      <c r="C72" s="77" t="s">
        <v>199</v>
      </c>
      <c r="D72" s="77"/>
      <c r="E72" s="77"/>
      <c r="F72" s="77"/>
      <c r="G72" s="77"/>
      <c r="H72" s="77"/>
      <c r="I72" s="17" t="s">
        <v>382</v>
      </c>
      <c r="J72" s="16">
        <v>42.03</v>
      </c>
      <c r="K72" s="16">
        <v>0</v>
      </c>
      <c r="L72" s="16">
        <f>J72*K72</f>
        <v>0</v>
      </c>
      <c r="M72" s="31">
        <v>0.00035</v>
      </c>
      <c r="Z72" s="16">
        <f>IF(AQ72="5",BJ72,0)</f>
        <v>0</v>
      </c>
      <c r="AB72" s="16">
        <f>IF(AQ72="1",BH72,0)</f>
        <v>0</v>
      </c>
      <c r="AC72" s="16">
        <f>IF(AQ72="1",BI72,0)</f>
        <v>0</v>
      </c>
      <c r="AD72" s="16">
        <f>IF(AQ72="7",BH72,0)</f>
        <v>0</v>
      </c>
      <c r="AE72" s="16">
        <f>IF(AQ72="7",BI72,0)</f>
        <v>0</v>
      </c>
      <c r="AF72" s="16">
        <f>IF(AQ72="2",BH72,0)</f>
        <v>0</v>
      </c>
      <c r="AG72" s="16">
        <f>IF(AQ72="2",BI72,0)</f>
        <v>0</v>
      </c>
      <c r="AH72" s="16">
        <f>IF(AQ72="0",BJ72,0)</f>
        <v>0</v>
      </c>
      <c r="AI72" s="42" t="s">
        <v>268</v>
      </c>
      <c r="AJ72" s="16">
        <f>IF(AN72=0,L72,0)</f>
        <v>0</v>
      </c>
      <c r="AK72" s="16">
        <f>IF(AN72=12,L72,0)</f>
        <v>0</v>
      </c>
      <c r="AL72" s="16">
        <f>IF(AN72=21,L72,0)</f>
        <v>0</v>
      </c>
      <c r="AN72" s="16">
        <v>21</v>
      </c>
      <c r="AO72" s="16">
        <f>K72*0.606424967148489</f>
        <v>0</v>
      </c>
      <c r="AP72" s="16">
        <f>K72*(1-0.606424967148489)</f>
        <v>0</v>
      </c>
      <c r="AQ72" s="56" t="s">
        <v>389</v>
      </c>
      <c r="AV72" s="16">
        <f>AW72+AX72</f>
        <v>0</v>
      </c>
      <c r="AW72" s="16">
        <f>J72*AO72</f>
        <v>0</v>
      </c>
      <c r="AX72" s="16">
        <f>J72*AP72</f>
        <v>0</v>
      </c>
      <c r="AY72" s="56" t="s">
        <v>346</v>
      </c>
      <c r="AZ72" s="56" t="s">
        <v>182</v>
      </c>
      <c r="BA72" s="42" t="s">
        <v>295</v>
      </c>
      <c r="BC72" s="16">
        <f>AW72+AX72</f>
        <v>0</v>
      </c>
      <c r="BD72" s="16">
        <f>K72/(100-BE72)*100</f>
        <v>0</v>
      </c>
      <c r="BE72" s="16">
        <v>0</v>
      </c>
      <c r="BF72" s="16">
        <f>72</f>
        <v>72</v>
      </c>
      <c r="BH72" s="16">
        <f>J72*AO72</f>
        <v>0</v>
      </c>
      <c r="BI72" s="16">
        <f>J72*AP72</f>
        <v>0</v>
      </c>
      <c r="BJ72" s="16">
        <f>J72*K72</f>
        <v>0</v>
      </c>
      <c r="BK72" s="16"/>
      <c r="BL72" s="16">
        <v>784</v>
      </c>
    </row>
    <row r="73" spans="1:64" ht="15" customHeight="1">
      <c r="A73" s="5" t="s">
        <v>361</v>
      </c>
      <c r="B73" s="17" t="s">
        <v>193</v>
      </c>
      <c r="C73" s="77" t="s">
        <v>156</v>
      </c>
      <c r="D73" s="77"/>
      <c r="E73" s="77"/>
      <c r="F73" s="77"/>
      <c r="G73" s="77"/>
      <c r="H73" s="77"/>
      <c r="I73" s="17" t="s">
        <v>382</v>
      </c>
      <c r="J73" s="16">
        <v>18.3</v>
      </c>
      <c r="K73" s="16">
        <v>0</v>
      </c>
      <c r="L73" s="16">
        <f>J73*K73</f>
        <v>0</v>
      </c>
      <c r="M73" s="31">
        <v>2E-05</v>
      </c>
      <c r="Z73" s="16">
        <f>IF(AQ73="5",BJ73,0)</f>
        <v>0</v>
      </c>
      <c r="AB73" s="16">
        <f>IF(AQ73="1",BH73,0)</f>
        <v>0</v>
      </c>
      <c r="AC73" s="16">
        <f>IF(AQ73="1",BI73,0)</f>
        <v>0</v>
      </c>
      <c r="AD73" s="16">
        <f>IF(AQ73="7",BH73,0)</f>
        <v>0</v>
      </c>
      <c r="AE73" s="16">
        <f>IF(AQ73="7",BI73,0)</f>
        <v>0</v>
      </c>
      <c r="AF73" s="16">
        <f>IF(AQ73="2",BH73,0)</f>
        <v>0</v>
      </c>
      <c r="AG73" s="16">
        <f>IF(AQ73="2",BI73,0)</f>
        <v>0</v>
      </c>
      <c r="AH73" s="16">
        <f>IF(AQ73="0",BJ73,0)</f>
        <v>0</v>
      </c>
      <c r="AI73" s="42" t="s">
        <v>268</v>
      </c>
      <c r="AJ73" s="16">
        <f>IF(AN73=0,L73,0)</f>
        <v>0</v>
      </c>
      <c r="AK73" s="16">
        <f>IF(AN73=12,L73,0)</f>
        <v>0</v>
      </c>
      <c r="AL73" s="16">
        <f>IF(AN73=21,L73,0)</f>
        <v>0</v>
      </c>
      <c r="AN73" s="16">
        <v>21</v>
      </c>
      <c r="AO73" s="16">
        <f>K73*0.255811671087533</f>
        <v>0</v>
      </c>
      <c r="AP73" s="16">
        <f>K73*(1-0.255811671087533)</f>
        <v>0</v>
      </c>
      <c r="AQ73" s="56" t="s">
        <v>389</v>
      </c>
      <c r="AV73" s="16">
        <f>AW73+AX73</f>
        <v>0</v>
      </c>
      <c r="AW73" s="16">
        <f>J73*AO73</f>
        <v>0</v>
      </c>
      <c r="AX73" s="16">
        <f>J73*AP73</f>
        <v>0</v>
      </c>
      <c r="AY73" s="56" t="s">
        <v>346</v>
      </c>
      <c r="AZ73" s="56" t="s">
        <v>182</v>
      </c>
      <c r="BA73" s="42" t="s">
        <v>295</v>
      </c>
      <c r="BC73" s="16">
        <f>AW73+AX73</f>
        <v>0</v>
      </c>
      <c r="BD73" s="16">
        <f>K73/(100-BE73)*100</f>
        <v>0</v>
      </c>
      <c r="BE73" s="16">
        <v>0</v>
      </c>
      <c r="BF73" s="16">
        <f>73</f>
        <v>73</v>
      </c>
      <c r="BH73" s="16">
        <f>J73*AO73</f>
        <v>0</v>
      </c>
      <c r="BI73" s="16">
        <f>J73*AP73</f>
        <v>0</v>
      </c>
      <c r="BJ73" s="16">
        <f>J73*K73</f>
        <v>0</v>
      </c>
      <c r="BK73" s="16"/>
      <c r="BL73" s="16">
        <v>784</v>
      </c>
    </row>
    <row r="74" spans="1:64" ht="15" customHeight="1">
      <c r="A74" s="5" t="s">
        <v>256</v>
      </c>
      <c r="B74" s="17" t="s">
        <v>322</v>
      </c>
      <c r="C74" s="77" t="s">
        <v>262</v>
      </c>
      <c r="D74" s="77"/>
      <c r="E74" s="77"/>
      <c r="F74" s="77"/>
      <c r="G74" s="77"/>
      <c r="H74" s="77"/>
      <c r="I74" s="17" t="s">
        <v>382</v>
      </c>
      <c r="J74" s="16">
        <v>71.21</v>
      </c>
      <c r="K74" s="16">
        <v>0</v>
      </c>
      <c r="L74" s="16">
        <f>J74*K74</f>
        <v>0</v>
      </c>
      <c r="M74" s="31">
        <v>0.0002</v>
      </c>
      <c r="Z74" s="16">
        <f>IF(AQ74="5",BJ74,0)</f>
        <v>0</v>
      </c>
      <c r="AB74" s="16">
        <f>IF(AQ74="1",BH74,0)</f>
        <v>0</v>
      </c>
      <c r="AC74" s="16">
        <f>IF(AQ74="1",BI74,0)</f>
        <v>0</v>
      </c>
      <c r="AD74" s="16">
        <f>IF(AQ74="7",BH74,0)</f>
        <v>0</v>
      </c>
      <c r="AE74" s="16">
        <f>IF(AQ74="7",BI74,0)</f>
        <v>0</v>
      </c>
      <c r="AF74" s="16">
        <f>IF(AQ74="2",BH74,0)</f>
        <v>0</v>
      </c>
      <c r="AG74" s="16">
        <f>IF(AQ74="2",BI74,0)</f>
        <v>0</v>
      </c>
      <c r="AH74" s="16">
        <f>IF(AQ74="0",BJ74,0)</f>
        <v>0</v>
      </c>
      <c r="AI74" s="42" t="s">
        <v>268</v>
      </c>
      <c r="AJ74" s="16">
        <f>IF(AN74=0,L74,0)</f>
        <v>0</v>
      </c>
      <c r="AK74" s="16">
        <f>IF(AN74=12,L74,0)</f>
        <v>0</v>
      </c>
      <c r="AL74" s="16">
        <f>IF(AN74=21,L74,0)</f>
        <v>0</v>
      </c>
      <c r="AN74" s="16">
        <v>21</v>
      </c>
      <c r="AO74" s="16">
        <f>K74*0.610339962882771</f>
        <v>0</v>
      </c>
      <c r="AP74" s="16">
        <f>K74*(1-0.610339962882771)</f>
        <v>0</v>
      </c>
      <c r="AQ74" s="56" t="s">
        <v>389</v>
      </c>
      <c r="AV74" s="16">
        <f>AW74+AX74</f>
        <v>0</v>
      </c>
      <c r="AW74" s="16">
        <f>J74*AO74</f>
        <v>0</v>
      </c>
      <c r="AX74" s="16">
        <f>J74*AP74</f>
        <v>0</v>
      </c>
      <c r="AY74" s="56" t="s">
        <v>346</v>
      </c>
      <c r="AZ74" s="56" t="s">
        <v>182</v>
      </c>
      <c r="BA74" s="42" t="s">
        <v>295</v>
      </c>
      <c r="BC74" s="16">
        <f>AW74+AX74</f>
        <v>0</v>
      </c>
      <c r="BD74" s="16">
        <f>K74/(100-BE74)*100</f>
        <v>0</v>
      </c>
      <c r="BE74" s="16">
        <v>0</v>
      </c>
      <c r="BF74" s="16">
        <f>74</f>
        <v>74</v>
      </c>
      <c r="BH74" s="16">
        <f>J74*AO74</f>
        <v>0</v>
      </c>
      <c r="BI74" s="16">
        <f>J74*AP74</f>
        <v>0</v>
      </c>
      <c r="BJ74" s="16">
        <f>J74*K74</f>
        <v>0</v>
      </c>
      <c r="BK74" s="16"/>
      <c r="BL74" s="16">
        <v>784</v>
      </c>
    </row>
    <row r="75" spans="1:64" ht="15" customHeight="1">
      <c r="A75" s="5" t="s">
        <v>244</v>
      </c>
      <c r="B75" s="17" t="s">
        <v>425</v>
      </c>
      <c r="C75" s="77" t="s">
        <v>232</v>
      </c>
      <c r="D75" s="77"/>
      <c r="E75" s="77"/>
      <c r="F75" s="77"/>
      <c r="G75" s="77"/>
      <c r="H75" s="77"/>
      <c r="I75" s="17" t="s">
        <v>382</v>
      </c>
      <c r="J75" s="16">
        <v>71.21</v>
      </c>
      <c r="K75" s="16">
        <v>0</v>
      </c>
      <c r="L75" s="16">
        <f>J75*K75</f>
        <v>0</v>
      </c>
      <c r="M75" s="31">
        <v>0.00015</v>
      </c>
      <c r="Z75" s="16">
        <f>IF(AQ75="5",BJ75,0)</f>
        <v>0</v>
      </c>
      <c r="AB75" s="16">
        <f>IF(AQ75="1",BH75,0)</f>
        <v>0</v>
      </c>
      <c r="AC75" s="16">
        <f>IF(AQ75="1",BI75,0)</f>
        <v>0</v>
      </c>
      <c r="AD75" s="16">
        <f>IF(AQ75="7",BH75,0)</f>
        <v>0</v>
      </c>
      <c r="AE75" s="16">
        <f>IF(AQ75="7",BI75,0)</f>
        <v>0</v>
      </c>
      <c r="AF75" s="16">
        <f>IF(AQ75="2",BH75,0)</f>
        <v>0</v>
      </c>
      <c r="AG75" s="16">
        <f>IF(AQ75="2",BI75,0)</f>
        <v>0</v>
      </c>
      <c r="AH75" s="16">
        <f>IF(AQ75="0",BJ75,0)</f>
        <v>0</v>
      </c>
      <c r="AI75" s="42" t="s">
        <v>268</v>
      </c>
      <c r="AJ75" s="16">
        <f>IF(AN75=0,L75,0)</f>
        <v>0</v>
      </c>
      <c r="AK75" s="16">
        <f>IF(AN75=12,L75,0)</f>
        <v>0</v>
      </c>
      <c r="AL75" s="16">
        <f>IF(AN75=21,L75,0)</f>
        <v>0</v>
      </c>
      <c r="AN75" s="16">
        <v>21</v>
      </c>
      <c r="AO75" s="16">
        <f>K75*0.107884195077896</f>
        <v>0</v>
      </c>
      <c r="AP75" s="16">
        <f>K75*(1-0.107884195077896)</f>
        <v>0</v>
      </c>
      <c r="AQ75" s="56" t="s">
        <v>389</v>
      </c>
      <c r="AV75" s="16">
        <f>AW75+AX75</f>
        <v>0</v>
      </c>
      <c r="AW75" s="16">
        <f>J75*AO75</f>
        <v>0</v>
      </c>
      <c r="AX75" s="16">
        <f>J75*AP75</f>
        <v>0</v>
      </c>
      <c r="AY75" s="56" t="s">
        <v>346</v>
      </c>
      <c r="AZ75" s="56" t="s">
        <v>182</v>
      </c>
      <c r="BA75" s="42" t="s">
        <v>295</v>
      </c>
      <c r="BC75" s="16">
        <f>AW75+AX75</f>
        <v>0</v>
      </c>
      <c r="BD75" s="16">
        <f>K75/(100-BE75)*100</f>
        <v>0</v>
      </c>
      <c r="BE75" s="16">
        <v>0</v>
      </c>
      <c r="BF75" s="16">
        <f>75</f>
        <v>75</v>
      </c>
      <c r="BH75" s="16">
        <f>J75*AO75</f>
        <v>0</v>
      </c>
      <c r="BI75" s="16">
        <f>J75*AP75</f>
        <v>0</v>
      </c>
      <c r="BJ75" s="16">
        <f>J75*K75</f>
        <v>0</v>
      </c>
      <c r="BK75" s="16"/>
      <c r="BL75" s="16">
        <v>784</v>
      </c>
    </row>
    <row r="76" spans="1:47" ht="15" customHeight="1">
      <c r="A76" s="43" t="s">
        <v>268</v>
      </c>
      <c r="B76" s="13" t="s">
        <v>159</v>
      </c>
      <c r="C76" s="116" t="s">
        <v>289</v>
      </c>
      <c r="D76" s="116"/>
      <c r="E76" s="116"/>
      <c r="F76" s="116"/>
      <c r="G76" s="116"/>
      <c r="H76" s="116"/>
      <c r="I76" s="58" t="s">
        <v>363</v>
      </c>
      <c r="J76" s="58" t="s">
        <v>363</v>
      </c>
      <c r="K76" s="58" t="s">
        <v>363</v>
      </c>
      <c r="L76" s="61">
        <f>SUM(L77:L77)</f>
        <v>0</v>
      </c>
      <c r="M76" s="8" t="s">
        <v>268</v>
      </c>
      <c r="AI76" s="42" t="s">
        <v>268</v>
      </c>
      <c r="AS76" s="61">
        <f>SUM(AJ77:AJ77)</f>
        <v>0</v>
      </c>
      <c r="AT76" s="61">
        <f>SUM(AK77:AK77)</f>
        <v>0</v>
      </c>
      <c r="AU76" s="61">
        <f>SUM(AL77:AL77)</f>
        <v>0</v>
      </c>
    </row>
    <row r="77" spans="1:64" ht="15" customHeight="1">
      <c r="A77" s="5" t="s">
        <v>369</v>
      </c>
      <c r="B77" s="17" t="s">
        <v>345</v>
      </c>
      <c r="C77" s="77" t="s">
        <v>169</v>
      </c>
      <c r="D77" s="77"/>
      <c r="E77" s="77"/>
      <c r="F77" s="77"/>
      <c r="G77" s="77"/>
      <c r="H77" s="77"/>
      <c r="I77" s="17" t="s">
        <v>382</v>
      </c>
      <c r="J77" s="16">
        <v>66.4</v>
      </c>
      <c r="K77" s="16">
        <v>0</v>
      </c>
      <c r="L77" s="16">
        <f>J77*K77</f>
        <v>0</v>
      </c>
      <c r="M77" s="31">
        <v>4E-05</v>
      </c>
      <c r="Z77" s="16">
        <f>IF(AQ77="5",BJ77,0)</f>
        <v>0</v>
      </c>
      <c r="AB77" s="16">
        <f>IF(AQ77="1",BH77,0)</f>
        <v>0</v>
      </c>
      <c r="AC77" s="16">
        <f>IF(AQ77="1",BI77,0)</f>
        <v>0</v>
      </c>
      <c r="AD77" s="16">
        <f>IF(AQ77="7",BH77,0)</f>
        <v>0</v>
      </c>
      <c r="AE77" s="16">
        <f>IF(AQ77="7",BI77,0)</f>
        <v>0</v>
      </c>
      <c r="AF77" s="16">
        <f>IF(AQ77="2",BH77,0)</f>
        <v>0</v>
      </c>
      <c r="AG77" s="16">
        <f>IF(AQ77="2",BI77,0)</f>
        <v>0</v>
      </c>
      <c r="AH77" s="16">
        <f>IF(AQ77="0",BJ77,0)</f>
        <v>0</v>
      </c>
      <c r="AI77" s="42" t="s">
        <v>268</v>
      </c>
      <c r="AJ77" s="16">
        <f>IF(AN77=0,L77,0)</f>
        <v>0</v>
      </c>
      <c r="AK77" s="16">
        <f>IF(AN77=12,L77,0)</f>
        <v>0</v>
      </c>
      <c r="AL77" s="16">
        <f>IF(AN77=21,L77,0)</f>
        <v>0</v>
      </c>
      <c r="AN77" s="16">
        <v>21</v>
      </c>
      <c r="AO77" s="16">
        <f>K77*0.0135312954876274</f>
        <v>0</v>
      </c>
      <c r="AP77" s="16">
        <f>K77*(1-0.0135312954876274)</f>
        <v>0</v>
      </c>
      <c r="AQ77" s="56" t="s">
        <v>388</v>
      </c>
      <c r="AV77" s="16">
        <f>AW77+AX77</f>
        <v>0</v>
      </c>
      <c r="AW77" s="16">
        <f>J77*AO77</f>
        <v>0</v>
      </c>
      <c r="AX77" s="16">
        <f>J77*AP77</f>
        <v>0</v>
      </c>
      <c r="AY77" s="56" t="s">
        <v>237</v>
      </c>
      <c r="AZ77" s="56" t="s">
        <v>146</v>
      </c>
      <c r="BA77" s="42" t="s">
        <v>295</v>
      </c>
      <c r="BC77" s="16">
        <f>AW77+AX77</f>
        <v>0</v>
      </c>
      <c r="BD77" s="16">
        <f>K77/(100-BE77)*100</f>
        <v>0</v>
      </c>
      <c r="BE77" s="16">
        <v>0</v>
      </c>
      <c r="BF77" s="16">
        <f>77</f>
        <v>77</v>
      </c>
      <c r="BH77" s="16">
        <f>J77*AO77</f>
        <v>0</v>
      </c>
      <c r="BI77" s="16">
        <f>J77*AP77</f>
        <v>0</v>
      </c>
      <c r="BJ77" s="16">
        <f>J77*K77</f>
        <v>0</v>
      </c>
      <c r="BK77" s="16"/>
      <c r="BL77" s="16">
        <v>95</v>
      </c>
    </row>
    <row r="78" spans="1:47" ht="15" customHeight="1">
      <c r="A78" s="43" t="s">
        <v>268</v>
      </c>
      <c r="B78" s="13" t="s">
        <v>218</v>
      </c>
      <c r="C78" s="116" t="s">
        <v>351</v>
      </c>
      <c r="D78" s="116"/>
      <c r="E78" s="116"/>
      <c r="F78" s="116"/>
      <c r="G78" s="116"/>
      <c r="H78" s="116"/>
      <c r="I78" s="58" t="s">
        <v>363</v>
      </c>
      <c r="J78" s="58" t="s">
        <v>363</v>
      </c>
      <c r="K78" s="58" t="s">
        <v>363</v>
      </c>
      <c r="L78" s="61">
        <f>SUM(L79:L93)</f>
        <v>0</v>
      </c>
      <c r="M78" s="8" t="s">
        <v>268</v>
      </c>
      <c r="AI78" s="42" t="s">
        <v>268</v>
      </c>
      <c r="AS78" s="61">
        <f>SUM(AJ79:AJ93)</f>
        <v>0</v>
      </c>
      <c r="AT78" s="61">
        <f>SUM(AK79:AK93)</f>
        <v>0</v>
      </c>
      <c r="AU78" s="61">
        <f>SUM(AL79:AL93)</f>
        <v>0</v>
      </c>
    </row>
    <row r="79" spans="1:64" ht="15" customHeight="1">
      <c r="A79" s="5" t="s">
        <v>226</v>
      </c>
      <c r="B79" s="17" t="s">
        <v>121</v>
      </c>
      <c r="C79" s="77" t="s">
        <v>402</v>
      </c>
      <c r="D79" s="77"/>
      <c r="E79" s="77"/>
      <c r="F79" s="77"/>
      <c r="G79" s="77"/>
      <c r="H79" s="77"/>
      <c r="I79" s="17" t="s">
        <v>101</v>
      </c>
      <c r="J79" s="16">
        <v>6</v>
      </c>
      <c r="K79" s="16">
        <v>0</v>
      </c>
      <c r="L79" s="16">
        <f aca="true" t="shared" si="80" ref="L79:L93">J79*K79</f>
        <v>0</v>
      </c>
      <c r="M79" s="31">
        <v>0.0018</v>
      </c>
      <c r="Z79" s="16">
        <f aca="true" t="shared" si="81" ref="Z79:Z93">IF(AQ79="5",BJ79,0)</f>
        <v>0</v>
      </c>
      <c r="AB79" s="16">
        <f aca="true" t="shared" si="82" ref="AB79:AB93">IF(AQ79="1",BH79,0)</f>
        <v>0</v>
      </c>
      <c r="AC79" s="16">
        <f aca="true" t="shared" si="83" ref="AC79:AC93">IF(AQ79="1",BI79,0)</f>
        <v>0</v>
      </c>
      <c r="AD79" s="16">
        <f aca="true" t="shared" si="84" ref="AD79:AD93">IF(AQ79="7",BH79,0)</f>
        <v>0</v>
      </c>
      <c r="AE79" s="16">
        <f aca="true" t="shared" si="85" ref="AE79:AE93">IF(AQ79="7",BI79,0)</f>
        <v>0</v>
      </c>
      <c r="AF79" s="16">
        <f aca="true" t="shared" si="86" ref="AF79:AF93">IF(AQ79="2",BH79,0)</f>
        <v>0</v>
      </c>
      <c r="AG79" s="16">
        <f aca="true" t="shared" si="87" ref="AG79:AG93">IF(AQ79="2",BI79,0)</f>
        <v>0</v>
      </c>
      <c r="AH79" s="16">
        <f aca="true" t="shared" si="88" ref="AH79:AH93">IF(AQ79="0",BJ79,0)</f>
        <v>0</v>
      </c>
      <c r="AI79" s="42" t="s">
        <v>268</v>
      </c>
      <c r="AJ79" s="16">
        <f aca="true" t="shared" si="89" ref="AJ79:AJ93">IF(AN79=0,L79,0)</f>
        <v>0</v>
      </c>
      <c r="AK79" s="16">
        <f aca="true" t="shared" si="90" ref="AK79:AK93">IF(AN79=12,L79,0)</f>
        <v>0</v>
      </c>
      <c r="AL79" s="16">
        <f aca="true" t="shared" si="91" ref="AL79:AL93">IF(AN79=21,L79,0)</f>
        <v>0</v>
      </c>
      <c r="AN79" s="16">
        <v>21</v>
      </c>
      <c r="AO79" s="16">
        <f aca="true" t="shared" si="92" ref="AO79:AO93">K79*0</f>
        <v>0</v>
      </c>
      <c r="AP79" s="16">
        <f aca="true" t="shared" si="93" ref="AP79:AP93">K79*(1-0)</f>
        <v>0</v>
      </c>
      <c r="AQ79" s="56" t="s">
        <v>388</v>
      </c>
      <c r="AV79" s="16">
        <f aca="true" t="shared" si="94" ref="AV79:AV93">AW79+AX79</f>
        <v>0</v>
      </c>
      <c r="AW79" s="16">
        <f aca="true" t="shared" si="95" ref="AW79:AW93">J79*AO79</f>
        <v>0</v>
      </c>
      <c r="AX79" s="16">
        <f aca="true" t="shared" si="96" ref="AX79:AX93">J79*AP79</f>
        <v>0</v>
      </c>
      <c r="AY79" s="56" t="s">
        <v>344</v>
      </c>
      <c r="AZ79" s="56" t="s">
        <v>146</v>
      </c>
      <c r="BA79" s="42" t="s">
        <v>295</v>
      </c>
      <c r="BC79" s="16">
        <f aca="true" t="shared" si="97" ref="BC79:BC93">AW79+AX79</f>
        <v>0</v>
      </c>
      <c r="BD79" s="16">
        <f aca="true" t="shared" si="98" ref="BD79:BD93">K79/(100-BE79)*100</f>
        <v>0</v>
      </c>
      <c r="BE79" s="16">
        <v>0</v>
      </c>
      <c r="BF79" s="16">
        <f>79</f>
        <v>79</v>
      </c>
      <c r="BH79" s="16">
        <f aca="true" t="shared" si="99" ref="BH79:BH93">J79*AO79</f>
        <v>0</v>
      </c>
      <c r="BI79" s="16">
        <f aca="true" t="shared" si="100" ref="BI79:BI93">J79*AP79</f>
        <v>0</v>
      </c>
      <c r="BJ79" s="16">
        <f aca="true" t="shared" si="101" ref="BJ79:BJ93">J79*K79</f>
        <v>0</v>
      </c>
      <c r="BK79" s="16"/>
      <c r="BL79" s="16">
        <v>96</v>
      </c>
    </row>
    <row r="80" spans="1:64" ht="15" customHeight="1">
      <c r="A80" s="5" t="s">
        <v>185</v>
      </c>
      <c r="B80" s="17" t="s">
        <v>30</v>
      </c>
      <c r="C80" s="77" t="s">
        <v>428</v>
      </c>
      <c r="D80" s="77"/>
      <c r="E80" s="77"/>
      <c r="F80" s="77"/>
      <c r="G80" s="77"/>
      <c r="H80" s="77"/>
      <c r="I80" s="17" t="s">
        <v>141</v>
      </c>
      <c r="J80" s="16">
        <v>6</v>
      </c>
      <c r="K80" s="16">
        <v>0</v>
      </c>
      <c r="L80" s="16">
        <f t="shared" si="80"/>
        <v>0</v>
      </c>
      <c r="M80" s="31">
        <v>0.0342</v>
      </c>
      <c r="Z80" s="16">
        <f t="shared" si="81"/>
        <v>0</v>
      </c>
      <c r="AB80" s="16">
        <f t="shared" si="82"/>
        <v>0</v>
      </c>
      <c r="AC80" s="16">
        <f t="shared" si="83"/>
        <v>0</v>
      </c>
      <c r="AD80" s="16">
        <f t="shared" si="84"/>
        <v>0</v>
      </c>
      <c r="AE80" s="16">
        <f t="shared" si="85"/>
        <v>0</v>
      </c>
      <c r="AF80" s="16">
        <f t="shared" si="86"/>
        <v>0</v>
      </c>
      <c r="AG80" s="16">
        <f t="shared" si="87"/>
        <v>0</v>
      </c>
      <c r="AH80" s="16">
        <f t="shared" si="88"/>
        <v>0</v>
      </c>
      <c r="AI80" s="42" t="s">
        <v>268</v>
      </c>
      <c r="AJ80" s="16">
        <f t="shared" si="89"/>
        <v>0</v>
      </c>
      <c r="AK80" s="16">
        <f t="shared" si="90"/>
        <v>0</v>
      </c>
      <c r="AL80" s="16">
        <f t="shared" si="91"/>
        <v>0</v>
      </c>
      <c r="AN80" s="16">
        <v>21</v>
      </c>
      <c r="AO80" s="16">
        <f t="shared" si="92"/>
        <v>0</v>
      </c>
      <c r="AP80" s="16">
        <f t="shared" si="93"/>
        <v>0</v>
      </c>
      <c r="AQ80" s="56" t="s">
        <v>388</v>
      </c>
      <c r="AV80" s="16">
        <f t="shared" si="94"/>
        <v>0</v>
      </c>
      <c r="AW80" s="16">
        <f t="shared" si="95"/>
        <v>0</v>
      </c>
      <c r="AX80" s="16">
        <f t="shared" si="96"/>
        <v>0</v>
      </c>
      <c r="AY80" s="56" t="s">
        <v>344</v>
      </c>
      <c r="AZ80" s="56" t="s">
        <v>146</v>
      </c>
      <c r="BA80" s="42" t="s">
        <v>295</v>
      </c>
      <c r="BC80" s="16">
        <f t="shared" si="97"/>
        <v>0</v>
      </c>
      <c r="BD80" s="16">
        <f t="shared" si="98"/>
        <v>0</v>
      </c>
      <c r="BE80" s="16">
        <v>0</v>
      </c>
      <c r="BF80" s="16">
        <f>80</f>
        <v>80</v>
      </c>
      <c r="BH80" s="16">
        <f t="shared" si="99"/>
        <v>0</v>
      </c>
      <c r="BI80" s="16">
        <f t="shared" si="100"/>
        <v>0</v>
      </c>
      <c r="BJ80" s="16">
        <f t="shared" si="101"/>
        <v>0</v>
      </c>
      <c r="BK80" s="16"/>
      <c r="BL80" s="16">
        <v>96</v>
      </c>
    </row>
    <row r="81" spans="1:64" ht="15" customHeight="1">
      <c r="A81" s="5" t="s">
        <v>50</v>
      </c>
      <c r="B81" s="17" t="s">
        <v>189</v>
      </c>
      <c r="C81" s="77" t="s">
        <v>335</v>
      </c>
      <c r="D81" s="77"/>
      <c r="E81" s="77"/>
      <c r="F81" s="77"/>
      <c r="G81" s="77"/>
      <c r="H81" s="77"/>
      <c r="I81" s="17" t="s">
        <v>101</v>
      </c>
      <c r="J81" s="16">
        <v>1</v>
      </c>
      <c r="K81" s="16">
        <v>0</v>
      </c>
      <c r="L81" s="16">
        <f t="shared" si="80"/>
        <v>0</v>
      </c>
      <c r="M81" s="31">
        <v>0.082</v>
      </c>
      <c r="Z81" s="16">
        <f t="shared" si="81"/>
        <v>0</v>
      </c>
      <c r="AB81" s="16">
        <f t="shared" si="82"/>
        <v>0</v>
      </c>
      <c r="AC81" s="16">
        <f t="shared" si="83"/>
        <v>0</v>
      </c>
      <c r="AD81" s="16">
        <f t="shared" si="84"/>
        <v>0</v>
      </c>
      <c r="AE81" s="16">
        <f t="shared" si="85"/>
        <v>0</v>
      </c>
      <c r="AF81" s="16">
        <f t="shared" si="86"/>
        <v>0</v>
      </c>
      <c r="AG81" s="16">
        <f t="shared" si="87"/>
        <v>0</v>
      </c>
      <c r="AH81" s="16">
        <f t="shared" si="88"/>
        <v>0</v>
      </c>
      <c r="AI81" s="42" t="s">
        <v>268</v>
      </c>
      <c r="AJ81" s="16">
        <f t="shared" si="89"/>
        <v>0</v>
      </c>
      <c r="AK81" s="16">
        <f t="shared" si="90"/>
        <v>0</v>
      </c>
      <c r="AL81" s="16">
        <f t="shared" si="91"/>
        <v>0</v>
      </c>
      <c r="AN81" s="16">
        <v>21</v>
      </c>
      <c r="AO81" s="16">
        <f t="shared" si="92"/>
        <v>0</v>
      </c>
      <c r="AP81" s="16">
        <f t="shared" si="93"/>
        <v>0</v>
      </c>
      <c r="AQ81" s="56" t="s">
        <v>388</v>
      </c>
      <c r="AV81" s="16">
        <f t="shared" si="94"/>
        <v>0</v>
      </c>
      <c r="AW81" s="16">
        <f t="shared" si="95"/>
        <v>0</v>
      </c>
      <c r="AX81" s="16">
        <f t="shared" si="96"/>
        <v>0</v>
      </c>
      <c r="AY81" s="56" t="s">
        <v>344</v>
      </c>
      <c r="AZ81" s="56" t="s">
        <v>146</v>
      </c>
      <c r="BA81" s="42" t="s">
        <v>295</v>
      </c>
      <c r="BC81" s="16">
        <f t="shared" si="97"/>
        <v>0</v>
      </c>
      <c r="BD81" s="16">
        <f t="shared" si="98"/>
        <v>0</v>
      </c>
      <c r="BE81" s="16">
        <v>0</v>
      </c>
      <c r="BF81" s="16">
        <f>81</f>
        <v>81</v>
      </c>
      <c r="BH81" s="16">
        <f t="shared" si="99"/>
        <v>0</v>
      </c>
      <c r="BI81" s="16">
        <f t="shared" si="100"/>
        <v>0</v>
      </c>
      <c r="BJ81" s="16">
        <f t="shared" si="101"/>
        <v>0</v>
      </c>
      <c r="BK81" s="16"/>
      <c r="BL81" s="16">
        <v>96</v>
      </c>
    </row>
    <row r="82" spans="1:64" ht="15" customHeight="1">
      <c r="A82" s="5" t="s">
        <v>282</v>
      </c>
      <c r="B82" s="17" t="s">
        <v>272</v>
      </c>
      <c r="C82" s="77" t="s">
        <v>299</v>
      </c>
      <c r="D82" s="77"/>
      <c r="E82" s="77"/>
      <c r="F82" s="77"/>
      <c r="G82" s="77"/>
      <c r="H82" s="77"/>
      <c r="I82" s="17" t="s">
        <v>271</v>
      </c>
      <c r="J82" s="16">
        <v>2</v>
      </c>
      <c r="K82" s="16">
        <v>0</v>
      </c>
      <c r="L82" s="16">
        <f t="shared" si="80"/>
        <v>0</v>
      </c>
      <c r="M82" s="31">
        <v>0.0238</v>
      </c>
      <c r="Z82" s="16">
        <f t="shared" si="81"/>
        <v>0</v>
      </c>
      <c r="AB82" s="16">
        <f t="shared" si="82"/>
        <v>0</v>
      </c>
      <c r="AC82" s="16">
        <f t="shared" si="83"/>
        <v>0</v>
      </c>
      <c r="AD82" s="16">
        <f t="shared" si="84"/>
        <v>0</v>
      </c>
      <c r="AE82" s="16">
        <f t="shared" si="85"/>
        <v>0</v>
      </c>
      <c r="AF82" s="16">
        <f t="shared" si="86"/>
        <v>0</v>
      </c>
      <c r="AG82" s="16">
        <f t="shared" si="87"/>
        <v>0</v>
      </c>
      <c r="AH82" s="16">
        <f t="shared" si="88"/>
        <v>0</v>
      </c>
      <c r="AI82" s="42" t="s">
        <v>268</v>
      </c>
      <c r="AJ82" s="16">
        <f t="shared" si="89"/>
        <v>0</v>
      </c>
      <c r="AK82" s="16">
        <f t="shared" si="90"/>
        <v>0</v>
      </c>
      <c r="AL82" s="16">
        <f t="shared" si="91"/>
        <v>0</v>
      </c>
      <c r="AN82" s="16">
        <v>21</v>
      </c>
      <c r="AO82" s="16">
        <f t="shared" si="92"/>
        <v>0</v>
      </c>
      <c r="AP82" s="16">
        <f t="shared" si="93"/>
        <v>0</v>
      </c>
      <c r="AQ82" s="56" t="s">
        <v>388</v>
      </c>
      <c r="AV82" s="16">
        <f t="shared" si="94"/>
        <v>0</v>
      </c>
      <c r="AW82" s="16">
        <f t="shared" si="95"/>
        <v>0</v>
      </c>
      <c r="AX82" s="16">
        <f t="shared" si="96"/>
        <v>0</v>
      </c>
      <c r="AY82" s="56" t="s">
        <v>344</v>
      </c>
      <c r="AZ82" s="56" t="s">
        <v>146</v>
      </c>
      <c r="BA82" s="42" t="s">
        <v>295</v>
      </c>
      <c r="BC82" s="16">
        <f t="shared" si="97"/>
        <v>0</v>
      </c>
      <c r="BD82" s="16">
        <f t="shared" si="98"/>
        <v>0</v>
      </c>
      <c r="BE82" s="16">
        <v>0</v>
      </c>
      <c r="BF82" s="16">
        <f>82</f>
        <v>82</v>
      </c>
      <c r="BH82" s="16">
        <f t="shared" si="99"/>
        <v>0</v>
      </c>
      <c r="BI82" s="16">
        <f t="shared" si="100"/>
        <v>0</v>
      </c>
      <c r="BJ82" s="16">
        <f t="shared" si="101"/>
        <v>0</v>
      </c>
      <c r="BK82" s="16"/>
      <c r="BL82" s="16">
        <v>96</v>
      </c>
    </row>
    <row r="83" spans="1:64" ht="15" customHeight="1">
      <c r="A83" s="5" t="s">
        <v>430</v>
      </c>
      <c r="B83" s="17" t="s">
        <v>130</v>
      </c>
      <c r="C83" s="77" t="s">
        <v>82</v>
      </c>
      <c r="D83" s="77"/>
      <c r="E83" s="77"/>
      <c r="F83" s="77"/>
      <c r="G83" s="77"/>
      <c r="H83" s="77"/>
      <c r="I83" s="17" t="s">
        <v>101</v>
      </c>
      <c r="J83" s="16">
        <v>6</v>
      </c>
      <c r="K83" s="16">
        <v>0</v>
      </c>
      <c r="L83" s="16">
        <f t="shared" si="80"/>
        <v>0</v>
      </c>
      <c r="M83" s="31">
        <v>0.00516</v>
      </c>
      <c r="Z83" s="16">
        <f t="shared" si="81"/>
        <v>0</v>
      </c>
      <c r="AB83" s="16">
        <f t="shared" si="82"/>
        <v>0</v>
      </c>
      <c r="AC83" s="16">
        <f t="shared" si="83"/>
        <v>0</v>
      </c>
      <c r="AD83" s="16">
        <f t="shared" si="84"/>
        <v>0</v>
      </c>
      <c r="AE83" s="16">
        <f t="shared" si="85"/>
        <v>0</v>
      </c>
      <c r="AF83" s="16">
        <f t="shared" si="86"/>
        <v>0</v>
      </c>
      <c r="AG83" s="16">
        <f t="shared" si="87"/>
        <v>0</v>
      </c>
      <c r="AH83" s="16">
        <f t="shared" si="88"/>
        <v>0</v>
      </c>
      <c r="AI83" s="42" t="s">
        <v>268</v>
      </c>
      <c r="AJ83" s="16">
        <f t="shared" si="89"/>
        <v>0</v>
      </c>
      <c r="AK83" s="16">
        <f t="shared" si="90"/>
        <v>0</v>
      </c>
      <c r="AL83" s="16">
        <f t="shared" si="91"/>
        <v>0</v>
      </c>
      <c r="AN83" s="16">
        <v>21</v>
      </c>
      <c r="AO83" s="16">
        <f t="shared" si="92"/>
        <v>0</v>
      </c>
      <c r="AP83" s="16">
        <f t="shared" si="93"/>
        <v>0</v>
      </c>
      <c r="AQ83" s="56" t="s">
        <v>388</v>
      </c>
      <c r="AV83" s="16">
        <f t="shared" si="94"/>
        <v>0</v>
      </c>
      <c r="AW83" s="16">
        <f t="shared" si="95"/>
        <v>0</v>
      </c>
      <c r="AX83" s="16">
        <f t="shared" si="96"/>
        <v>0</v>
      </c>
      <c r="AY83" s="56" t="s">
        <v>344</v>
      </c>
      <c r="AZ83" s="56" t="s">
        <v>146</v>
      </c>
      <c r="BA83" s="42" t="s">
        <v>295</v>
      </c>
      <c r="BC83" s="16">
        <f t="shared" si="97"/>
        <v>0</v>
      </c>
      <c r="BD83" s="16">
        <f t="shared" si="98"/>
        <v>0</v>
      </c>
      <c r="BE83" s="16">
        <v>0</v>
      </c>
      <c r="BF83" s="16">
        <f>83</f>
        <v>83</v>
      </c>
      <c r="BH83" s="16">
        <f t="shared" si="99"/>
        <v>0</v>
      </c>
      <c r="BI83" s="16">
        <f t="shared" si="100"/>
        <v>0</v>
      </c>
      <c r="BJ83" s="16">
        <f t="shared" si="101"/>
        <v>0</v>
      </c>
      <c r="BK83" s="16"/>
      <c r="BL83" s="16">
        <v>96</v>
      </c>
    </row>
    <row r="84" spans="1:64" ht="15" customHeight="1">
      <c r="A84" s="5" t="s">
        <v>95</v>
      </c>
      <c r="B84" s="17" t="s">
        <v>241</v>
      </c>
      <c r="C84" s="77" t="s">
        <v>367</v>
      </c>
      <c r="D84" s="77"/>
      <c r="E84" s="77"/>
      <c r="F84" s="77"/>
      <c r="G84" s="77"/>
      <c r="H84" s="77"/>
      <c r="I84" s="17" t="s">
        <v>141</v>
      </c>
      <c r="J84" s="16">
        <v>4</v>
      </c>
      <c r="K84" s="16">
        <v>0</v>
      </c>
      <c r="L84" s="16">
        <f t="shared" si="80"/>
        <v>0</v>
      </c>
      <c r="M84" s="31">
        <v>0.01107</v>
      </c>
      <c r="Z84" s="16">
        <f t="shared" si="81"/>
        <v>0</v>
      </c>
      <c r="AB84" s="16">
        <f t="shared" si="82"/>
        <v>0</v>
      </c>
      <c r="AC84" s="16">
        <f t="shared" si="83"/>
        <v>0</v>
      </c>
      <c r="AD84" s="16">
        <f t="shared" si="84"/>
        <v>0</v>
      </c>
      <c r="AE84" s="16">
        <f t="shared" si="85"/>
        <v>0</v>
      </c>
      <c r="AF84" s="16">
        <f t="shared" si="86"/>
        <v>0</v>
      </c>
      <c r="AG84" s="16">
        <f t="shared" si="87"/>
        <v>0</v>
      </c>
      <c r="AH84" s="16">
        <f t="shared" si="88"/>
        <v>0</v>
      </c>
      <c r="AI84" s="42" t="s">
        <v>268</v>
      </c>
      <c r="AJ84" s="16">
        <f t="shared" si="89"/>
        <v>0</v>
      </c>
      <c r="AK84" s="16">
        <f t="shared" si="90"/>
        <v>0</v>
      </c>
      <c r="AL84" s="16">
        <f t="shared" si="91"/>
        <v>0</v>
      </c>
      <c r="AN84" s="16">
        <v>21</v>
      </c>
      <c r="AO84" s="16">
        <f t="shared" si="92"/>
        <v>0</v>
      </c>
      <c r="AP84" s="16">
        <f t="shared" si="93"/>
        <v>0</v>
      </c>
      <c r="AQ84" s="56" t="s">
        <v>388</v>
      </c>
      <c r="AV84" s="16">
        <f t="shared" si="94"/>
        <v>0</v>
      </c>
      <c r="AW84" s="16">
        <f t="shared" si="95"/>
        <v>0</v>
      </c>
      <c r="AX84" s="16">
        <f t="shared" si="96"/>
        <v>0</v>
      </c>
      <c r="AY84" s="56" t="s">
        <v>344</v>
      </c>
      <c r="AZ84" s="56" t="s">
        <v>146</v>
      </c>
      <c r="BA84" s="42" t="s">
        <v>295</v>
      </c>
      <c r="BC84" s="16">
        <f t="shared" si="97"/>
        <v>0</v>
      </c>
      <c r="BD84" s="16">
        <f t="shared" si="98"/>
        <v>0</v>
      </c>
      <c r="BE84" s="16">
        <v>0</v>
      </c>
      <c r="BF84" s="16">
        <f>84</f>
        <v>84</v>
      </c>
      <c r="BH84" s="16">
        <f t="shared" si="99"/>
        <v>0</v>
      </c>
      <c r="BI84" s="16">
        <f t="shared" si="100"/>
        <v>0</v>
      </c>
      <c r="BJ84" s="16">
        <f t="shared" si="101"/>
        <v>0</v>
      </c>
      <c r="BK84" s="16"/>
      <c r="BL84" s="16">
        <v>96</v>
      </c>
    </row>
    <row r="85" spans="1:64" ht="15" customHeight="1">
      <c r="A85" s="5" t="s">
        <v>196</v>
      </c>
      <c r="B85" s="17" t="s">
        <v>13</v>
      </c>
      <c r="C85" s="77" t="s">
        <v>52</v>
      </c>
      <c r="D85" s="77"/>
      <c r="E85" s="77"/>
      <c r="F85" s="77"/>
      <c r="G85" s="77"/>
      <c r="H85" s="77"/>
      <c r="I85" s="17" t="s">
        <v>141</v>
      </c>
      <c r="J85" s="16">
        <v>8</v>
      </c>
      <c r="K85" s="16">
        <v>0</v>
      </c>
      <c r="L85" s="16">
        <f t="shared" si="80"/>
        <v>0</v>
      </c>
      <c r="M85" s="31">
        <v>0.00156</v>
      </c>
      <c r="Z85" s="16">
        <f t="shared" si="81"/>
        <v>0</v>
      </c>
      <c r="AB85" s="16">
        <f t="shared" si="82"/>
        <v>0</v>
      </c>
      <c r="AC85" s="16">
        <f t="shared" si="83"/>
        <v>0</v>
      </c>
      <c r="AD85" s="16">
        <f t="shared" si="84"/>
        <v>0</v>
      </c>
      <c r="AE85" s="16">
        <f t="shared" si="85"/>
        <v>0</v>
      </c>
      <c r="AF85" s="16">
        <f t="shared" si="86"/>
        <v>0</v>
      </c>
      <c r="AG85" s="16">
        <f t="shared" si="87"/>
        <v>0</v>
      </c>
      <c r="AH85" s="16">
        <f t="shared" si="88"/>
        <v>0</v>
      </c>
      <c r="AI85" s="42" t="s">
        <v>268</v>
      </c>
      <c r="AJ85" s="16">
        <f t="shared" si="89"/>
        <v>0</v>
      </c>
      <c r="AK85" s="16">
        <f t="shared" si="90"/>
        <v>0</v>
      </c>
      <c r="AL85" s="16">
        <f t="shared" si="91"/>
        <v>0</v>
      </c>
      <c r="AN85" s="16">
        <v>21</v>
      </c>
      <c r="AO85" s="16">
        <f t="shared" si="92"/>
        <v>0</v>
      </c>
      <c r="AP85" s="16">
        <f t="shared" si="93"/>
        <v>0</v>
      </c>
      <c r="AQ85" s="56" t="s">
        <v>388</v>
      </c>
      <c r="AV85" s="16">
        <f t="shared" si="94"/>
        <v>0</v>
      </c>
      <c r="AW85" s="16">
        <f t="shared" si="95"/>
        <v>0</v>
      </c>
      <c r="AX85" s="16">
        <f t="shared" si="96"/>
        <v>0</v>
      </c>
      <c r="AY85" s="56" t="s">
        <v>344</v>
      </c>
      <c r="AZ85" s="56" t="s">
        <v>146</v>
      </c>
      <c r="BA85" s="42" t="s">
        <v>295</v>
      </c>
      <c r="BC85" s="16">
        <f t="shared" si="97"/>
        <v>0</v>
      </c>
      <c r="BD85" s="16">
        <f t="shared" si="98"/>
        <v>0</v>
      </c>
      <c r="BE85" s="16">
        <v>0</v>
      </c>
      <c r="BF85" s="16">
        <f>85</f>
        <v>85</v>
      </c>
      <c r="BH85" s="16">
        <f t="shared" si="99"/>
        <v>0</v>
      </c>
      <c r="BI85" s="16">
        <f t="shared" si="100"/>
        <v>0</v>
      </c>
      <c r="BJ85" s="16">
        <f t="shared" si="101"/>
        <v>0</v>
      </c>
      <c r="BK85" s="16"/>
      <c r="BL85" s="16">
        <v>96</v>
      </c>
    </row>
    <row r="86" spans="1:64" ht="15" customHeight="1">
      <c r="A86" s="5" t="s">
        <v>426</v>
      </c>
      <c r="B86" s="17" t="s">
        <v>168</v>
      </c>
      <c r="C86" s="77" t="s">
        <v>91</v>
      </c>
      <c r="D86" s="77"/>
      <c r="E86" s="77"/>
      <c r="F86" s="77"/>
      <c r="G86" s="77"/>
      <c r="H86" s="77"/>
      <c r="I86" s="17" t="s">
        <v>101</v>
      </c>
      <c r="J86" s="16">
        <v>8</v>
      </c>
      <c r="K86" s="16">
        <v>0</v>
      </c>
      <c r="L86" s="16">
        <f t="shared" si="80"/>
        <v>0</v>
      </c>
      <c r="M86" s="31">
        <v>0.00049</v>
      </c>
      <c r="Z86" s="16">
        <f t="shared" si="81"/>
        <v>0</v>
      </c>
      <c r="AB86" s="16">
        <f t="shared" si="82"/>
        <v>0</v>
      </c>
      <c r="AC86" s="16">
        <f t="shared" si="83"/>
        <v>0</v>
      </c>
      <c r="AD86" s="16">
        <f t="shared" si="84"/>
        <v>0</v>
      </c>
      <c r="AE86" s="16">
        <f t="shared" si="85"/>
        <v>0</v>
      </c>
      <c r="AF86" s="16">
        <f t="shared" si="86"/>
        <v>0</v>
      </c>
      <c r="AG86" s="16">
        <f t="shared" si="87"/>
        <v>0</v>
      </c>
      <c r="AH86" s="16">
        <f t="shared" si="88"/>
        <v>0</v>
      </c>
      <c r="AI86" s="42" t="s">
        <v>268</v>
      </c>
      <c r="AJ86" s="16">
        <f t="shared" si="89"/>
        <v>0</v>
      </c>
      <c r="AK86" s="16">
        <f t="shared" si="90"/>
        <v>0</v>
      </c>
      <c r="AL86" s="16">
        <f t="shared" si="91"/>
        <v>0</v>
      </c>
      <c r="AN86" s="16">
        <v>21</v>
      </c>
      <c r="AO86" s="16">
        <f t="shared" si="92"/>
        <v>0</v>
      </c>
      <c r="AP86" s="16">
        <f t="shared" si="93"/>
        <v>0</v>
      </c>
      <c r="AQ86" s="56" t="s">
        <v>388</v>
      </c>
      <c r="AV86" s="16">
        <f t="shared" si="94"/>
        <v>0</v>
      </c>
      <c r="AW86" s="16">
        <f t="shared" si="95"/>
        <v>0</v>
      </c>
      <c r="AX86" s="16">
        <f t="shared" si="96"/>
        <v>0</v>
      </c>
      <c r="AY86" s="56" t="s">
        <v>344</v>
      </c>
      <c r="AZ86" s="56" t="s">
        <v>146</v>
      </c>
      <c r="BA86" s="42" t="s">
        <v>295</v>
      </c>
      <c r="BC86" s="16">
        <f t="shared" si="97"/>
        <v>0</v>
      </c>
      <c r="BD86" s="16">
        <f t="shared" si="98"/>
        <v>0</v>
      </c>
      <c r="BE86" s="16">
        <v>0</v>
      </c>
      <c r="BF86" s="16">
        <f>86</f>
        <v>86</v>
      </c>
      <c r="BH86" s="16">
        <f t="shared" si="99"/>
        <v>0</v>
      </c>
      <c r="BI86" s="16">
        <f t="shared" si="100"/>
        <v>0</v>
      </c>
      <c r="BJ86" s="16">
        <f t="shared" si="101"/>
        <v>0</v>
      </c>
      <c r="BK86" s="16"/>
      <c r="BL86" s="16">
        <v>96</v>
      </c>
    </row>
    <row r="87" spans="1:64" ht="15" customHeight="1">
      <c r="A87" s="5" t="s">
        <v>409</v>
      </c>
      <c r="B87" s="17" t="s">
        <v>212</v>
      </c>
      <c r="C87" s="77" t="s">
        <v>81</v>
      </c>
      <c r="D87" s="77"/>
      <c r="E87" s="77"/>
      <c r="F87" s="77"/>
      <c r="G87" s="77"/>
      <c r="H87" s="77"/>
      <c r="I87" s="17" t="s">
        <v>141</v>
      </c>
      <c r="J87" s="16">
        <v>8</v>
      </c>
      <c r="K87" s="16">
        <v>0</v>
      </c>
      <c r="L87" s="16">
        <f t="shared" si="80"/>
        <v>0</v>
      </c>
      <c r="M87" s="31">
        <v>0.01946</v>
      </c>
      <c r="Z87" s="16">
        <f t="shared" si="81"/>
        <v>0</v>
      </c>
      <c r="AB87" s="16">
        <f t="shared" si="82"/>
        <v>0</v>
      </c>
      <c r="AC87" s="16">
        <f t="shared" si="83"/>
        <v>0</v>
      </c>
      <c r="AD87" s="16">
        <f t="shared" si="84"/>
        <v>0</v>
      </c>
      <c r="AE87" s="16">
        <f t="shared" si="85"/>
        <v>0</v>
      </c>
      <c r="AF87" s="16">
        <f t="shared" si="86"/>
        <v>0</v>
      </c>
      <c r="AG87" s="16">
        <f t="shared" si="87"/>
        <v>0</v>
      </c>
      <c r="AH87" s="16">
        <f t="shared" si="88"/>
        <v>0</v>
      </c>
      <c r="AI87" s="42" t="s">
        <v>268</v>
      </c>
      <c r="AJ87" s="16">
        <f t="shared" si="89"/>
        <v>0</v>
      </c>
      <c r="AK87" s="16">
        <f t="shared" si="90"/>
        <v>0</v>
      </c>
      <c r="AL87" s="16">
        <f t="shared" si="91"/>
        <v>0</v>
      </c>
      <c r="AN87" s="16">
        <v>21</v>
      </c>
      <c r="AO87" s="16">
        <f t="shared" si="92"/>
        <v>0</v>
      </c>
      <c r="AP87" s="16">
        <f t="shared" si="93"/>
        <v>0</v>
      </c>
      <c r="AQ87" s="56" t="s">
        <v>388</v>
      </c>
      <c r="AV87" s="16">
        <f t="shared" si="94"/>
        <v>0</v>
      </c>
      <c r="AW87" s="16">
        <f t="shared" si="95"/>
        <v>0</v>
      </c>
      <c r="AX87" s="16">
        <f t="shared" si="96"/>
        <v>0</v>
      </c>
      <c r="AY87" s="56" t="s">
        <v>344</v>
      </c>
      <c r="AZ87" s="56" t="s">
        <v>146</v>
      </c>
      <c r="BA87" s="42" t="s">
        <v>295</v>
      </c>
      <c r="BC87" s="16">
        <f t="shared" si="97"/>
        <v>0</v>
      </c>
      <c r="BD87" s="16">
        <f t="shared" si="98"/>
        <v>0</v>
      </c>
      <c r="BE87" s="16">
        <v>0</v>
      </c>
      <c r="BF87" s="16">
        <f>87</f>
        <v>87</v>
      </c>
      <c r="BH87" s="16">
        <f t="shared" si="99"/>
        <v>0</v>
      </c>
      <c r="BI87" s="16">
        <f t="shared" si="100"/>
        <v>0</v>
      </c>
      <c r="BJ87" s="16">
        <f t="shared" si="101"/>
        <v>0</v>
      </c>
      <c r="BK87" s="16"/>
      <c r="BL87" s="16">
        <v>96</v>
      </c>
    </row>
    <row r="88" spans="1:64" ht="15" customHeight="1">
      <c r="A88" s="5" t="s">
        <v>7</v>
      </c>
      <c r="B88" s="17" t="s">
        <v>114</v>
      </c>
      <c r="C88" s="77" t="s">
        <v>240</v>
      </c>
      <c r="D88" s="77"/>
      <c r="E88" s="77"/>
      <c r="F88" s="77"/>
      <c r="G88" s="77"/>
      <c r="H88" s="77"/>
      <c r="I88" s="17" t="s">
        <v>271</v>
      </c>
      <c r="J88" s="16">
        <v>9</v>
      </c>
      <c r="K88" s="16">
        <v>0</v>
      </c>
      <c r="L88" s="16">
        <f t="shared" si="80"/>
        <v>0</v>
      </c>
      <c r="M88" s="31">
        <v>0.226</v>
      </c>
      <c r="Z88" s="16">
        <f t="shared" si="81"/>
        <v>0</v>
      </c>
      <c r="AB88" s="16">
        <f t="shared" si="82"/>
        <v>0</v>
      </c>
      <c r="AC88" s="16">
        <f t="shared" si="83"/>
        <v>0</v>
      </c>
      <c r="AD88" s="16">
        <f t="shared" si="84"/>
        <v>0</v>
      </c>
      <c r="AE88" s="16">
        <f t="shared" si="85"/>
        <v>0</v>
      </c>
      <c r="AF88" s="16">
        <f t="shared" si="86"/>
        <v>0</v>
      </c>
      <c r="AG88" s="16">
        <f t="shared" si="87"/>
        <v>0</v>
      </c>
      <c r="AH88" s="16">
        <f t="shared" si="88"/>
        <v>0</v>
      </c>
      <c r="AI88" s="42" t="s">
        <v>268</v>
      </c>
      <c r="AJ88" s="16">
        <f t="shared" si="89"/>
        <v>0</v>
      </c>
      <c r="AK88" s="16">
        <f t="shared" si="90"/>
        <v>0</v>
      </c>
      <c r="AL88" s="16">
        <f t="shared" si="91"/>
        <v>0</v>
      </c>
      <c r="AN88" s="16">
        <v>21</v>
      </c>
      <c r="AO88" s="16">
        <f t="shared" si="92"/>
        <v>0</v>
      </c>
      <c r="AP88" s="16">
        <f t="shared" si="93"/>
        <v>0</v>
      </c>
      <c r="AQ88" s="56" t="s">
        <v>388</v>
      </c>
      <c r="AV88" s="16">
        <f t="shared" si="94"/>
        <v>0</v>
      </c>
      <c r="AW88" s="16">
        <f t="shared" si="95"/>
        <v>0</v>
      </c>
      <c r="AX88" s="16">
        <f t="shared" si="96"/>
        <v>0</v>
      </c>
      <c r="AY88" s="56" t="s">
        <v>344</v>
      </c>
      <c r="AZ88" s="56" t="s">
        <v>146</v>
      </c>
      <c r="BA88" s="42" t="s">
        <v>295</v>
      </c>
      <c r="BC88" s="16">
        <f t="shared" si="97"/>
        <v>0</v>
      </c>
      <c r="BD88" s="16">
        <f t="shared" si="98"/>
        <v>0</v>
      </c>
      <c r="BE88" s="16">
        <v>0</v>
      </c>
      <c r="BF88" s="16">
        <f>88</f>
        <v>88</v>
      </c>
      <c r="BH88" s="16">
        <f t="shared" si="99"/>
        <v>0</v>
      </c>
      <c r="BI88" s="16">
        <f t="shared" si="100"/>
        <v>0</v>
      </c>
      <c r="BJ88" s="16">
        <f t="shared" si="101"/>
        <v>0</v>
      </c>
      <c r="BK88" s="16"/>
      <c r="BL88" s="16">
        <v>96</v>
      </c>
    </row>
    <row r="89" spans="1:64" ht="15" customHeight="1">
      <c r="A89" s="5" t="s">
        <v>68</v>
      </c>
      <c r="B89" s="17" t="s">
        <v>283</v>
      </c>
      <c r="C89" s="77" t="s">
        <v>213</v>
      </c>
      <c r="D89" s="77"/>
      <c r="E89" s="77"/>
      <c r="F89" s="77"/>
      <c r="G89" s="77"/>
      <c r="H89" s="77"/>
      <c r="I89" s="17" t="s">
        <v>382</v>
      </c>
      <c r="J89" s="16">
        <v>132.82</v>
      </c>
      <c r="K89" s="16">
        <v>0</v>
      </c>
      <c r="L89" s="16">
        <f t="shared" si="80"/>
        <v>0</v>
      </c>
      <c r="M89" s="31">
        <v>0.114</v>
      </c>
      <c r="Z89" s="16">
        <f t="shared" si="81"/>
        <v>0</v>
      </c>
      <c r="AB89" s="16">
        <f t="shared" si="82"/>
        <v>0</v>
      </c>
      <c r="AC89" s="16">
        <f t="shared" si="83"/>
        <v>0</v>
      </c>
      <c r="AD89" s="16">
        <f t="shared" si="84"/>
        <v>0</v>
      </c>
      <c r="AE89" s="16">
        <f t="shared" si="85"/>
        <v>0</v>
      </c>
      <c r="AF89" s="16">
        <f t="shared" si="86"/>
        <v>0</v>
      </c>
      <c r="AG89" s="16">
        <f t="shared" si="87"/>
        <v>0</v>
      </c>
      <c r="AH89" s="16">
        <f t="shared" si="88"/>
        <v>0</v>
      </c>
      <c r="AI89" s="42" t="s">
        <v>268</v>
      </c>
      <c r="AJ89" s="16">
        <f t="shared" si="89"/>
        <v>0</v>
      </c>
      <c r="AK89" s="16">
        <f t="shared" si="90"/>
        <v>0</v>
      </c>
      <c r="AL89" s="16">
        <f t="shared" si="91"/>
        <v>0</v>
      </c>
      <c r="AN89" s="16">
        <v>21</v>
      </c>
      <c r="AO89" s="16">
        <f t="shared" si="92"/>
        <v>0</v>
      </c>
      <c r="AP89" s="16">
        <f t="shared" si="93"/>
        <v>0</v>
      </c>
      <c r="AQ89" s="56" t="s">
        <v>388</v>
      </c>
      <c r="AV89" s="16">
        <f t="shared" si="94"/>
        <v>0</v>
      </c>
      <c r="AW89" s="16">
        <f t="shared" si="95"/>
        <v>0</v>
      </c>
      <c r="AX89" s="16">
        <f t="shared" si="96"/>
        <v>0</v>
      </c>
      <c r="AY89" s="56" t="s">
        <v>344</v>
      </c>
      <c r="AZ89" s="56" t="s">
        <v>146</v>
      </c>
      <c r="BA89" s="42" t="s">
        <v>295</v>
      </c>
      <c r="BC89" s="16">
        <f t="shared" si="97"/>
        <v>0</v>
      </c>
      <c r="BD89" s="16">
        <f t="shared" si="98"/>
        <v>0</v>
      </c>
      <c r="BE89" s="16">
        <v>0</v>
      </c>
      <c r="BF89" s="16">
        <f>89</f>
        <v>89</v>
      </c>
      <c r="BH89" s="16">
        <f t="shared" si="99"/>
        <v>0</v>
      </c>
      <c r="BI89" s="16">
        <f t="shared" si="100"/>
        <v>0</v>
      </c>
      <c r="BJ89" s="16">
        <f t="shared" si="101"/>
        <v>0</v>
      </c>
      <c r="BK89" s="16"/>
      <c r="BL89" s="16">
        <v>96</v>
      </c>
    </row>
    <row r="90" spans="1:64" ht="15" customHeight="1">
      <c r="A90" s="5" t="s">
        <v>87</v>
      </c>
      <c r="B90" s="17" t="s">
        <v>38</v>
      </c>
      <c r="C90" s="77" t="s">
        <v>1</v>
      </c>
      <c r="D90" s="77"/>
      <c r="E90" s="77"/>
      <c r="F90" s="77"/>
      <c r="G90" s="77"/>
      <c r="H90" s="77"/>
      <c r="I90" s="17" t="s">
        <v>297</v>
      </c>
      <c r="J90" s="16">
        <v>1</v>
      </c>
      <c r="K90" s="16">
        <v>0</v>
      </c>
      <c r="L90" s="16">
        <f t="shared" si="80"/>
        <v>0</v>
      </c>
      <c r="M90" s="31">
        <v>2</v>
      </c>
      <c r="Z90" s="16">
        <f t="shared" si="81"/>
        <v>0</v>
      </c>
      <c r="AB90" s="16">
        <f t="shared" si="82"/>
        <v>0</v>
      </c>
      <c r="AC90" s="16">
        <f t="shared" si="83"/>
        <v>0</v>
      </c>
      <c r="AD90" s="16">
        <f t="shared" si="84"/>
        <v>0</v>
      </c>
      <c r="AE90" s="16">
        <f t="shared" si="85"/>
        <v>0</v>
      </c>
      <c r="AF90" s="16">
        <f t="shared" si="86"/>
        <v>0</v>
      </c>
      <c r="AG90" s="16">
        <f t="shared" si="87"/>
        <v>0</v>
      </c>
      <c r="AH90" s="16">
        <f t="shared" si="88"/>
        <v>0</v>
      </c>
      <c r="AI90" s="42" t="s">
        <v>268</v>
      </c>
      <c r="AJ90" s="16">
        <f t="shared" si="89"/>
        <v>0</v>
      </c>
      <c r="AK90" s="16">
        <f t="shared" si="90"/>
        <v>0</v>
      </c>
      <c r="AL90" s="16">
        <f t="shared" si="91"/>
        <v>0</v>
      </c>
      <c r="AN90" s="16">
        <v>21</v>
      </c>
      <c r="AO90" s="16">
        <f t="shared" si="92"/>
        <v>0</v>
      </c>
      <c r="AP90" s="16">
        <f t="shared" si="93"/>
        <v>0</v>
      </c>
      <c r="AQ90" s="56" t="s">
        <v>388</v>
      </c>
      <c r="AV90" s="16">
        <f t="shared" si="94"/>
        <v>0</v>
      </c>
      <c r="AW90" s="16">
        <f t="shared" si="95"/>
        <v>0</v>
      </c>
      <c r="AX90" s="16">
        <f t="shared" si="96"/>
        <v>0</v>
      </c>
      <c r="AY90" s="56" t="s">
        <v>344</v>
      </c>
      <c r="AZ90" s="56" t="s">
        <v>146</v>
      </c>
      <c r="BA90" s="42" t="s">
        <v>295</v>
      </c>
      <c r="BC90" s="16">
        <f t="shared" si="97"/>
        <v>0</v>
      </c>
      <c r="BD90" s="16">
        <f t="shared" si="98"/>
        <v>0</v>
      </c>
      <c r="BE90" s="16">
        <v>0</v>
      </c>
      <c r="BF90" s="16">
        <f>90</f>
        <v>90</v>
      </c>
      <c r="BH90" s="16">
        <f t="shared" si="99"/>
        <v>0</v>
      </c>
      <c r="BI90" s="16">
        <f t="shared" si="100"/>
        <v>0</v>
      </c>
      <c r="BJ90" s="16">
        <f t="shared" si="101"/>
        <v>0</v>
      </c>
      <c r="BK90" s="16"/>
      <c r="BL90" s="16">
        <v>96</v>
      </c>
    </row>
    <row r="91" spans="1:64" ht="15" customHeight="1">
      <c r="A91" s="5" t="s">
        <v>308</v>
      </c>
      <c r="B91" s="17" t="s">
        <v>274</v>
      </c>
      <c r="C91" s="77" t="s">
        <v>85</v>
      </c>
      <c r="D91" s="77"/>
      <c r="E91" s="77"/>
      <c r="F91" s="77"/>
      <c r="G91" s="77"/>
      <c r="H91" s="77"/>
      <c r="I91" s="17" t="s">
        <v>382</v>
      </c>
      <c r="J91" s="16">
        <v>14.35</v>
      </c>
      <c r="K91" s="16">
        <v>0</v>
      </c>
      <c r="L91" s="16">
        <f t="shared" si="80"/>
        <v>0</v>
      </c>
      <c r="M91" s="31">
        <v>0.02</v>
      </c>
      <c r="Z91" s="16">
        <f t="shared" si="81"/>
        <v>0</v>
      </c>
      <c r="AB91" s="16">
        <f t="shared" si="82"/>
        <v>0</v>
      </c>
      <c r="AC91" s="16">
        <f t="shared" si="83"/>
        <v>0</v>
      </c>
      <c r="AD91" s="16">
        <f t="shared" si="84"/>
        <v>0</v>
      </c>
      <c r="AE91" s="16">
        <f t="shared" si="85"/>
        <v>0</v>
      </c>
      <c r="AF91" s="16">
        <f t="shared" si="86"/>
        <v>0</v>
      </c>
      <c r="AG91" s="16">
        <f t="shared" si="87"/>
        <v>0</v>
      </c>
      <c r="AH91" s="16">
        <f t="shared" si="88"/>
        <v>0</v>
      </c>
      <c r="AI91" s="42" t="s">
        <v>268</v>
      </c>
      <c r="AJ91" s="16">
        <f t="shared" si="89"/>
        <v>0</v>
      </c>
      <c r="AK91" s="16">
        <f t="shared" si="90"/>
        <v>0</v>
      </c>
      <c r="AL91" s="16">
        <f t="shared" si="91"/>
        <v>0</v>
      </c>
      <c r="AN91" s="16">
        <v>21</v>
      </c>
      <c r="AO91" s="16">
        <f t="shared" si="92"/>
        <v>0</v>
      </c>
      <c r="AP91" s="16">
        <f t="shared" si="93"/>
        <v>0</v>
      </c>
      <c r="AQ91" s="56" t="s">
        <v>388</v>
      </c>
      <c r="AV91" s="16">
        <f t="shared" si="94"/>
        <v>0</v>
      </c>
      <c r="AW91" s="16">
        <f t="shared" si="95"/>
        <v>0</v>
      </c>
      <c r="AX91" s="16">
        <f t="shared" si="96"/>
        <v>0</v>
      </c>
      <c r="AY91" s="56" t="s">
        <v>344</v>
      </c>
      <c r="AZ91" s="56" t="s">
        <v>146</v>
      </c>
      <c r="BA91" s="42" t="s">
        <v>295</v>
      </c>
      <c r="BC91" s="16">
        <f t="shared" si="97"/>
        <v>0</v>
      </c>
      <c r="BD91" s="16">
        <f t="shared" si="98"/>
        <v>0</v>
      </c>
      <c r="BE91" s="16">
        <v>0</v>
      </c>
      <c r="BF91" s="16">
        <f>91</f>
        <v>91</v>
      </c>
      <c r="BH91" s="16">
        <f t="shared" si="99"/>
        <v>0</v>
      </c>
      <c r="BI91" s="16">
        <f t="shared" si="100"/>
        <v>0</v>
      </c>
      <c r="BJ91" s="16">
        <f t="shared" si="101"/>
        <v>0</v>
      </c>
      <c r="BK91" s="16"/>
      <c r="BL91" s="16">
        <v>96</v>
      </c>
    </row>
    <row r="92" spans="1:64" ht="15" customHeight="1">
      <c r="A92" s="5" t="s">
        <v>34</v>
      </c>
      <c r="B92" s="17" t="s">
        <v>292</v>
      </c>
      <c r="C92" s="77" t="s">
        <v>3</v>
      </c>
      <c r="D92" s="77"/>
      <c r="E92" s="77"/>
      <c r="F92" s="77"/>
      <c r="G92" s="77"/>
      <c r="H92" s="77"/>
      <c r="I92" s="17" t="s">
        <v>101</v>
      </c>
      <c r="J92" s="16">
        <v>6</v>
      </c>
      <c r="K92" s="16">
        <v>0</v>
      </c>
      <c r="L92" s="16">
        <f t="shared" si="80"/>
        <v>0</v>
      </c>
      <c r="M92" s="31">
        <v>0.015</v>
      </c>
      <c r="Z92" s="16">
        <f t="shared" si="81"/>
        <v>0</v>
      </c>
      <c r="AB92" s="16">
        <f t="shared" si="82"/>
        <v>0</v>
      </c>
      <c r="AC92" s="16">
        <f t="shared" si="83"/>
        <v>0</v>
      </c>
      <c r="AD92" s="16">
        <f t="shared" si="84"/>
        <v>0</v>
      </c>
      <c r="AE92" s="16">
        <f t="shared" si="85"/>
        <v>0</v>
      </c>
      <c r="AF92" s="16">
        <f t="shared" si="86"/>
        <v>0</v>
      </c>
      <c r="AG92" s="16">
        <f t="shared" si="87"/>
        <v>0</v>
      </c>
      <c r="AH92" s="16">
        <f t="shared" si="88"/>
        <v>0</v>
      </c>
      <c r="AI92" s="42" t="s">
        <v>268</v>
      </c>
      <c r="AJ92" s="16">
        <f t="shared" si="89"/>
        <v>0</v>
      </c>
      <c r="AK92" s="16">
        <f t="shared" si="90"/>
        <v>0</v>
      </c>
      <c r="AL92" s="16">
        <f t="shared" si="91"/>
        <v>0</v>
      </c>
      <c r="AN92" s="16">
        <v>21</v>
      </c>
      <c r="AO92" s="16">
        <f t="shared" si="92"/>
        <v>0</v>
      </c>
      <c r="AP92" s="16">
        <f t="shared" si="93"/>
        <v>0</v>
      </c>
      <c r="AQ92" s="56" t="s">
        <v>388</v>
      </c>
      <c r="AV92" s="16">
        <f t="shared" si="94"/>
        <v>0</v>
      </c>
      <c r="AW92" s="16">
        <f t="shared" si="95"/>
        <v>0</v>
      </c>
      <c r="AX92" s="16">
        <f t="shared" si="96"/>
        <v>0</v>
      </c>
      <c r="AY92" s="56" t="s">
        <v>344</v>
      </c>
      <c r="AZ92" s="56" t="s">
        <v>146</v>
      </c>
      <c r="BA92" s="42" t="s">
        <v>295</v>
      </c>
      <c r="BC92" s="16">
        <f t="shared" si="97"/>
        <v>0</v>
      </c>
      <c r="BD92" s="16">
        <f t="shared" si="98"/>
        <v>0</v>
      </c>
      <c r="BE92" s="16">
        <v>0</v>
      </c>
      <c r="BF92" s="16">
        <f>92</f>
        <v>92</v>
      </c>
      <c r="BH92" s="16">
        <f t="shared" si="99"/>
        <v>0</v>
      </c>
      <c r="BI92" s="16">
        <f t="shared" si="100"/>
        <v>0</v>
      </c>
      <c r="BJ92" s="16">
        <f t="shared" si="101"/>
        <v>0</v>
      </c>
      <c r="BK92" s="16"/>
      <c r="BL92" s="16">
        <v>96</v>
      </c>
    </row>
    <row r="93" spans="1:64" ht="15" customHeight="1">
      <c r="A93" s="5" t="s">
        <v>302</v>
      </c>
      <c r="B93" s="17" t="s">
        <v>251</v>
      </c>
      <c r="C93" s="77" t="s">
        <v>328</v>
      </c>
      <c r="D93" s="77"/>
      <c r="E93" s="77"/>
      <c r="F93" s="77"/>
      <c r="G93" s="77"/>
      <c r="H93" s="77"/>
      <c r="I93" s="17" t="s">
        <v>376</v>
      </c>
      <c r="J93" s="16">
        <v>1</v>
      </c>
      <c r="K93" s="16">
        <v>0</v>
      </c>
      <c r="L93" s="16">
        <f t="shared" si="80"/>
        <v>0</v>
      </c>
      <c r="M93" s="31">
        <v>1.6</v>
      </c>
      <c r="Z93" s="16">
        <f t="shared" si="81"/>
        <v>0</v>
      </c>
      <c r="AB93" s="16">
        <f t="shared" si="82"/>
        <v>0</v>
      </c>
      <c r="AC93" s="16">
        <f t="shared" si="83"/>
        <v>0</v>
      </c>
      <c r="AD93" s="16">
        <f t="shared" si="84"/>
        <v>0</v>
      </c>
      <c r="AE93" s="16">
        <f t="shared" si="85"/>
        <v>0</v>
      </c>
      <c r="AF93" s="16">
        <f t="shared" si="86"/>
        <v>0</v>
      </c>
      <c r="AG93" s="16">
        <f t="shared" si="87"/>
        <v>0</v>
      </c>
      <c r="AH93" s="16">
        <f t="shared" si="88"/>
        <v>0</v>
      </c>
      <c r="AI93" s="42" t="s">
        <v>268</v>
      </c>
      <c r="AJ93" s="16">
        <f t="shared" si="89"/>
        <v>0</v>
      </c>
      <c r="AK93" s="16">
        <f t="shared" si="90"/>
        <v>0</v>
      </c>
      <c r="AL93" s="16">
        <f t="shared" si="91"/>
        <v>0</v>
      </c>
      <c r="AN93" s="16">
        <v>21</v>
      </c>
      <c r="AO93" s="16">
        <f t="shared" si="92"/>
        <v>0</v>
      </c>
      <c r="AP93" s="16">
        <f t="shared" si="93"/>
        <v>0</v>
      </c>
      <c r="AQ93" s="56" t="s">
        <v>388</v>
      </c>
      <c r="AV93" s="16">
        <f t="shared" si="94"/>
        <v>0</v>
      </c>
      <c r="AW93" s="16">
        <f t="shared" si="95"/>
        <v>0</v>
      </c>
      <c r="AX93" s="16">
        <f t="shared" si="96"/>
        <v>0</v>
      </c>
      <c r="AY93" s="56" t="s">
        <v>344</v>
      </c>
      <c r="AZ93" s="56" t="s">
        <v>146</v>
      </c>
      <c r="BA93" s="42" t="s">
        <v>295</v>
      </c>
      <c r="BC93" s="16">
        <f t="shared" si="97"/>
        <v>0</v>
      </c>
      <c r="BD93" s="16">
        <f t="shared" si="98"/>
        <v>0</v>
      </c>
      <c r="BE93" s="16">
        <v>0</v>
      </c>
      <c r="BF93" s="16">
        <f>93</f>
        <v>93</v>
      </c>
      <c r="BH93" s="16">
        <f t="shared" si="99"/>
        <v>0</v>
      </c>
      <c r="BI93" s="16">
        <f t="shared" si="100"/>
        <v>0</v>
      </c>
      <c r="BJ93" s="16">
        <f t="shared" si="101"/>
        <v>0</v>
      </c>
      <c r="BK93" s="16"/>
      <c r="BL93" s="16">
        <v>96</v>
      </c>
    </row>
    <row r="94" spans="1:47" ht="15" customHeight="1">
      <c r="A94" s="43" t="s">
        <v>268</v>
      </c>
      <c r="B94" s="13" t="s">
        <v>62</v>
      </c>
      <c r="C94" s="116" t="s">
        <v>294</v>
      </c>
      <c r="D94" s="116"/>
      <c r="E94" s="116"/>
      <c r="F94" s="116"/>
      <c r="G94" s="116"/>
      <c r="H94" s="116"/>
      <c r="I94" s="58" t="s">
        <v>363</v>
      </c>
      <c r="J94" s="58" t="s">
        <v>363</v>
      </c>
      <c r="K94" s="58" t="s">
        <v>363</v>
      </c>
      <c r="L94" s="61">
        <f>SUM(L95:L98)</f>
        <v>0</v>
      </c>
      <c r="M94" s="8" t="s">
        <v>268</v>
      </c>
      <c r="AI94" s="42" t="s">
        <v>268</v>
      </c>
      <c r="AS94" s="61">
        <f>SUM(AJ95:AJ98)</f>
        <v>0</v>
      </c>
      <c r="AT94" s="61">
        <f>SUM(AK95:AK98)</f>
        <v>0</v>
      </c>
      <c r="AU94" s="61">
        <f>SUM(AL95:AL98)</f>
        <v>0</v>
      </c>
    </row>
    <row r="95" spans="1:64" ht="15" customHeight="1">
      <c r="A95" s="5" t="s">
        <v>239</v>
      </c>
      <c r="B95" s="17" t="s">
        <v>341</v>
      </c>
      <c r="C95" s="77" t="s">
        <v>206</v>
      </c>
      <c r="D95" s="77"/>
      <c r="E95" s="77"/>
      <c r="F95" s="77"/>
      <c r="G95" s="77"/>
      <c r="H95" s="77"/>
      <c r="I95" s="17" t="s">
        <v>297</v>
      </c>
      <c r="J95" s="16">
        <v>1</v>
      </c>
      <c r="K95" s="16">
        <v>0</v>
      </c>
      <c r="L95" s="16">
        <f>J95*K95</f>
        <v>0</v>
      </c>
      <c r="M95" s="31">
        <v>0</v>
      </c>
      <c r="Z95" s="16">
        <f>IF(AQ95="5",BJ95,0)</f>
        <v>0</v>
      </c>
      <c r="AB95" s="16">
        <f>IF(AQ95="1",BH95,0)</f>
        <v>0</v>
      </c>
      <c r="AC95" s="16">
        <f>IF(AQ95="1",BI95,0)</f>
        <v>0</v>
      </c>
      <c r="AD95" s="16">
        <f>IF(AQ95="7",BH95,0)</f>
        <v>0</v>
      </c>
      <c r="AE95" s="16">
        <f>IF(AQ95="7",BI95,0)</f>
        <v>0</v>
      </c>
      <c r="AF95" s="16">
        <f>IF(AQ95="2",BH95,0)</f>
        <v>0</v>
      </c>
      <c r="AG95" s="16">
        <f>IF(AQ95="2",BI95,0)</f>
        <v>0</v>
      </c>
      <c r="AH95" s="16">
        <f>IF(AQ95="0",BJ95,0)</f>
        <v>0</v>
      </c>
      <c r="AI95" s="42" t="s">
        <v>268</v>
      </c>
      <c r="AJ95" s="16">
        <f>IF(AN95=0,L95,0)</f>
        <v>0</v>
      </c>
      <c r="AK95" s="16">
        <f>IF(AN95=12,L95,0)</f>
        <v>0</v>
      </c>
      <c r="AL95" s="16">
        <f>IF(AN95=21,L95,0)</f>
        <v>0</v>
      </c>
      <c r="AN95" s="16">
        <v>21</v>
      </c>
      <c r="AO95" s="16">
        <f>K95*0</f>
        <v>0</v>
      </c>
      <c r="AP95" s="16">
        <f>K95*(1-0)</f>
        <v>0</v>
      </c>
      <c r="AQ95" s="56" t="s">
        <v>388</v>
      </c>
      <c r="AV95" s="16">
        <f>AW95+AX95</f>
        <v>0</v>
      </c>
      <c r="AW95" s="16">
        <f>J95*AO95</f>
        <v>0</v>
      </c>
      <c r="AX95" s="16">
        <f>J95*AP95</f>
        <v>0</v>
      </c>
      <c r="AY95" s="56" t="s">
        <v>408</v>
      </c>
      <c r="AZ95" s="56" t="s">
        <v>146</v>
      </c>
      <c r="BA95" s="42" t="s">
        <v>295</v>
      </c>
      <c r="BC95" s="16">
        <f>AW95+AX95</f>
        <v>0</v>
      </c>
      <c r="BD95" s="16">
        <f>K95/(100-BE95)*100</f>
        <v>0</v>
      </c>
      <c r="BE95" s="16">
        <v>0</v>
      </c>
      <c r="BF95" s="16">
        <f>95</f>
        <v>95</v>
      </c>
      <c r="BH95" s="16">
        <f>J95*AO95</f>
        <v>0</v>
      </c>
      <c r="BI95" s="16">
        <f>J95*AP95</f>
        <v>0</v>
      </c>
      <c r="BJ95" s="16">
        <f>J95*K95</f>
        <v>0</v>
      </c>
      <c r="BK95" s="16"/>
      <c r="BL95" s="16"/>
    </row>
    <row r="96" spans="1:64" ht="15" customHeight="1">
      <c r="A96" s="5" t="s">
        <v>393</v>
      </c>
      <c r="B96" s="17" t="s">
        <v>155</v>
      </c>
      <c r="C96" s="77" t="s">
        <v>339</v>
      </c>
      <c r="D96" s="77"/>
      <c r="E96" s="77"/>
      <c r="F96" s="77"/>
      <c r="G96" s="77"/>
      <c r="H96" s="77"/>
      <c r="I96" s="17" t="s">
        <v>297</v>
      </c>
      <c r="J96" s="16">
        <v>1</v>
      </c>
      <c r="K96" s="16">
        <v>0</v>
      </c>
      <c r="L96" s="16">
        <f>J96*K96</f>
        <v>0</v>
      </c>
      <c r="M96" s="31">
        <v>0</v>
      </c>
      <c r="Z96" s="16">
        <f>IF(AQ96="5",BJ96,0)</f>
        <v>0</v>
      </c>
      <c r="AB96" s="16">
        <f>IF(AQ96="1",BH96,0)</f>
        <v>0</v>
      </c>
      <c r="AC96" s="16">
        <f>IF(AQ96="1",BI96,0)</f>
        <v>0</v>
      </c>
      <c r="AD96" s="16">
        <f>IF(AQ96="7",BH96,0)</f>
        <v>0</v>
      </c>
      <c r="AE96" s="16">
        <f>IF(AQ96="7",BI96,0)</f>
        <v>0</v>
      </c>
      <c r="AF96" s="16">
        <f>IF(AQ96="2",BH96,0)</f>
        <v>0</v>
      </c>
      <c r="AG96" s="16">
        <f>IF(AQ96="2",BI96,0)</f>
        <v>0</v>
      </c>
      <c r="AH96" s="16">
        <f>IF(AQ96="0",BJ96,0)</f>
        <v>0</v>
      </c>
      <c r="AI96" s="42" t="s">
        <v>268</v>
      </c>
      <c r="AJ96" s="16">
        <f>IF(AN96=0,L96,0)</f>
        <v>0</v>
      </c>
      <c r="AK96" s="16">
        <f>IF(AN96=12,L96,0)</f>
        <v>0</v>
      </c>
      <c r="AL96" s="16">
        <f>IF(AN96=21,L96,0)</f>
        <v>0</v>
      </c>
      <c r="AN96" s="16">
        <v>21</v>
      </c>
      <c r="AO96" s="16">
        <f>K96*0</f>
        <v>0</v>
      </c>
      <c r="AP96" s="16">
        <f>K96*(1-0)</f>
        <v>0</v>
      </c>
      <c r="AQ96" s="56" t="s">
        <v>388</v>
      </c>
      <c r="AV96" s="16">
        <f>AW96+AX96</f>
        <v>0</v>
      </c>
      <c r="AW96" s="16">
        <f>J96*AO96</f>
        <v>0</v>
      </c>
      <c r="AX96" s="16">
        <f>J96*AP96</f>
        <v>0</v>
      </c>
      <c r="AY96" s="56" t="s">
        <v>408</v>
      </c>
      <c r="AZ96" s="56" t="s">
        <v>146</v>
      </c>
      <c r="BA96" s="42" t="s">
        <v>295</v>
      </c>
      <c r="BC96" s="16">
        <f>AW96+AX96</f>
        <v>0</v>
      </c>
      <c r="BD96" s="16">
        <f>K96/(100-BE96)*100</f>
        <v>0</v>
      </c>
      <c r="BE96" s="16">
        <v>0</v>
      </c>
      <c r="BF96" s="16">
        <f>96</f>
        <v>96</v>
      </c>
      <c r="BH96" s="16">
        <f>J96*AO96</f>
        <v>0</v>
      </c>
      <c r="BI96" s="16">
        <f>J96*AP96</f>
        <v>0</v>
      </c>
      <c r="BJ96" s="16">
        <f>J96*K96</f>
        <v>0</v>
      </c>
      <c r="BK96" s="16"/>
      <c r="BL96" s="16"/>
    </row>
    <row r="97" spans="1:64" ht="15" customHeight="1">
      <c r="A97" s="5" t="s">
        <v>360</v>
      </c>
      <c r="B97" s="17" t="s">
        <v>55</v>
      </c>
      <c r="C97" s="77" t="s">
        <v>70</v>
      </c>
      <c r="D97" s="77"/>
      <c r="E97" s="77"/>
      <c r="F97" s="77"/>
      <c r="G97" s="77"/>
      <c r="H97" s="77"/>
      <c r="I97" s="17" t="s">
        <v>321</v>
      </c>
      <c r="J97" s="16">
        <v>2</v>
      </c>
      <c r="K97" s="16">
        <v>0</v>
      </c>
      <c r="L97" s="16">
        <f>J97*K97</f>
        <v>0</v>
      </c>
      <c r="M97" s="31">
        <v>0</v>
      </c>
      <c r="Z97" s="16">
        <f>IF(AQ97="5",BJ97,0)</f>
        <v>0</v>
      </c>
      <c r="AB97" s="16">
        <f>IF(AQ97="1",BH97,0)</f>
        <v>0</v>
      </c>
      <c r="AC97" s="16">
        <f>IF(AQ97="1",BI97,0)</f>
        <v>0</v>
      </c>
      <c r="AD97" s="16">
        <f>IF(AQ97="7",BH97,0)</f>
        <v>0</v>
      </c>
      <c r="AE97" s="16">
        <f>IF(AQ97="7",BI97,0)</f>
        <v>0</v>
      </c>
      <c r="AF97" s="16">
        <f>IF(AQ97="2",BH97,0)</f>
        <v>0</v>
      </c>
      <c r="AG97" s="16">
        <f>IF(AQ97="2",BI97,0)</f>
        <v>0</v>
      </c>
      <c r="AH97" s="16">
        <f>IF(AQ97="0",BJ97,0)</f>
        <v>0</v>
      </c>
      <c r="AI97" s="42" t="s">
        <v>268</v>
      </c>
      <c r="AJ97" s="16">
        <f>IF(AN97=0,L97,0)</f>
        <v>0</v>
      </c>
      <c r="AK97" s="16">
        <f>IF(AN97=12,L97,0)</f>
        <v>0</v>
      </c>
      <c r="AL97" s="16">
        <f>IF(AN97=21,L97,0)</f>
        <v>0</v>
      </c>
      <c r="AN97" s="16">
        <v>21</v>
      </c>
      <c r="AO97" s="16">
        <f>K97*0</f>
        <v>0</v>
      </c>
      <c r="AP97" s="16">
        <f>K97*(1-0)</f>
        <v>0</v>
      </c>
      <c r="AQ97" s="56" t="s">
        <v>266</v>
      </c>
      <c r="AV97" s="16">
        <f>AW97+AX97</f>
        <v>0</v>
      </c>
      <c r="AW97" s="16">
        <f>J97*AO97</f>
        <v>0</v>
      </c>
      <c r="AX97" s="16">
        <f>J97*AP97</f>
        <v>0</v>
      </c>
      <c r="AY97" s="56" t="s">
        <v>408</v>
      </c>
      <c r="AZ97" s="56" t="s">
        <v>146</v>
      </c>
      <c r="BA97" s="42" t="s">
        <v>295</v>
      </c>
      <c r="BC97" s="16">
        <f>AW97+AX97</f>
        <v>0</v>
      </c>
      <c r="BD97" s="16">
        <f>K97/(100-BE97)*100</f>
        <v>0</v>
      </c>
      <c r="BE97" s="16">
        <v>0</v>
      </c>
      <c r="BF97" s="16">
        <f>97</f>
        <v>97</v>
      </c>
      <c r="BH97" s="16">
        <f>J97*AO97</f>
        <v>0</v>
      </c>
      <c r="BI97" s="16">
        <f>J97*AP97</f>
        <v>0</v>
      </c>
      <c r="BJ97" s="16">
        <f>J97*K97</f>
        <v>0</v>
      </c>
      <c r="BK97" s="16"/>
      <c r="BL97" s="16"/>
    </row>
    <row r="98" spans="1:64" ht="15" customHeight="1">
      <c r="A98" s="5" t="s">
        <v>261</v>
      </c>
      <c r="B98" s="17" t="s">
        <v>4</v>
      </c>
      <c r="C98" s="77" t="s">
        <v>80</v>
      </c>
      <c r="D98" s="77"/>
      <c r="E98" s="77"/>
      <c r="F98" s="77"/>
      <c r="G98" s="77"/>
      <c r="H98" s="77"/>
      <c r="I98" s="17" t="s">
        <v>297</v>
      </c>
      <c r="J98" s="16">
        <v>1</v>
      </c>
      <c r="K98" s="16">
        <v>0</v>
      </c>
      <c r="L98" s="16">
        <f>J98*K98</f>
        <v>0</v>
      </c>
      <c r="M98" s="31">
        <v>0</v>
      </c>
      <c r="Z98" s="16">
        <f>IF(AQ98="5",BJ98,0)</f>
        <v>0</v>
      </c>
      <c r="AB98" s="16">
        <f>IF(AQ98="1",BH98,0)</f>
        <v>0</v>
      </c>
      <c r="AC98" s="16">
        <f>IF(AQ98="1",BI98,0)</f>
        <v>0</v>
      </c>
      <c r="AD98" s="16">
        <f>IF(AQ98="7",BH98,0)</f>
        <v>0</v>
      </c>
      <c r="AE98" s="16">
        <f>IF(AQ98="7",BI98,0)</f>
        <v>0</v>
      </c>
      <c r="AF98" s="16">
        <f>IF(AQ98="2",BH98,0)</f>
        <v>0</v>
      </c>
      <c r="AG98" s="16">
        <f>IF(AQ98="2",BI98,0)</f>
        <v>0</v>
      </c>
      <c r="AH98" s="16">
        <f>IF(AQ98="0",BJ98,0)</f>
        <v>0</v>
      </c>
      <c r="AI98" s="42" t="s">
        <v>268</v>
      </c>
      <c r="AJ98" s="16">
        <f>IF(AN98=0,L98,0)</f>
        <v>0</v>
      </c>
      <c r="AK98" s="16">
        <f>IF(AN98=12,L98,0)</f>
        <v>0</v>
      </c>
      <c r="AL98" s="16">
        <f>IF(AN98=21,L98,0)</f>
        <v>0</v>
      </c>
      <c r="AN98" s="16">
        <v>21</v>
      </c>
      <c r="AO98" s="16">
        <f>K98*0</f>
        <v>0</v>
      </c>
      <c r="AP98" s="16">
        <f>K98*(1-0)</f>
        <v>0</v>
      </c>
      <c r="AQ98" s="56" t="s">
        <v>388</v>
      </c>
      <c r="AV98" s="16">
        <f>AW98+AX98</f>
        <v>0</v>
      </c>
      <c r="AW98" s="16">
        <f>J98*AO98</f>
        <v>0</v>
      </c>
      <c r="AX98" s="16">
        <f>J98*AP98</f>
        <v>0</v>
      </c>
      <c r="AY98" s="56" t="s">
        <v>408</v>
      </c>
      <c r="AZ98" s="56" t="s">
        <v>146</v>
      </c>
      <c r="BA98" s="42" t="s">
        <v>295</v>
      </c>
      <c r="BC98" s="16">
        <f>AW98+AX98</f>
        <v>0</v>
      </c>
      <c r="BD98" s="16">
        <f>K98/(100-BE98)*100</f>
        <v>0</v>
      </c>
      <c r="BE98" s="16">
        <v>0</v>
      </c>
      <c r="BF98" s="16">
        <f>98</f>
        <v>98</v>
      </c>
      <c r="BH98" s="16">
        <f>J98*AO98</f>
        <v>0</v>
      </c>
      <c r="BI98" s="16">
        <f>J98*AP98</f>
        <v>0</v>
      </c>
      <c r="BJ98" s="16">
        <f>J98*K98</f>
        <v>0</v>
      </c>
      <c r="BK98" s="16"/>
      <c r="BL98" s="16"/>
    </row>
    <row r="99" spans="1:47" ht="15" customHeight="1">
      <c r="A99" s="43" t="s">
        <v>268</v>
      </c>
      <c r="B99" s="13" t="s">
        <v>349</v>
      </c>
      <c r="C99" s="116" t="s">
        <v>115</v>
      </c>
      <c r="D99" s="116"/>
      <c r="E99" s="116"/>
      <c r="F99" s="116"/>
      <c r="G99" s="116"/>
      <c r="H99" s="116"/>
      <c r="I99" s="58" t="s">
        <v>363</v>
      </c>
      <c r="J99" s="58" t="s">
        <v>363</v>
      </c>
      <c r="K99" s="58" t="s">
        <v>363</v>
      </c>
      <c r="L99" s="61">
        <f>SUM(L100:L100)</f>
        <v>0</v>
      </c>
      <c r="M99" s="8" t="s">
        <v>268</v>
      </c>
      <c r="AI99" s="42" t="s">
        <v>268</v>
      </c>
      <c r="AS99" s="61">
        <f>SUM(AJ100:AJ100)</f>
        <v>0</v>
      </c>
      <c r="AT99" s="61">
        <f>SUM(AK100:AK100)</f>
        <v>0</v>
      </c>
      <c r="AU99" s="61">
        <f>SUM(AL100:AL100)</f>
        <v>0</v>
      </c>
    </row>
    <row r="100" spans="1:64" ht="15" customHeight="1">
      <c r="A100" s="5" t="s">
        <v>201</v>
      </c>
      <c r="B100" s="17" t="s">
        <v>56</v>
      </c>
      <c r="C100" s="77" t="s">
        <v>411</v>
      </c>
      <c r="D100" s="77"/>
      <c r="E100" s="77"/>
      <c r="F100" s="77"/>
      <c r="G100" s="77"/>
      <c r="H100" s="77"/>
      <c r="I100" s="17" t="s">
        <v>297</v>
      </c>
      <c r="J100" s="16">
        <v>1</v>
      </c>
      <c r="K100" s="16">
        <v>0</v>
      </c>
      <c r="L100" s="16">
        <f>J100*K100</f>
        <v>0</v>
      </c>
      <c r="M100" s="31">
        <v>0</v>
      </c>
      <c r="Z100" s="16">
        <f>IF(AQ100="5",BJ100,0)</f>
        <v>0</v>
      </c>
      <c r="AB100" s="16">
        <f>IF(AQ100="1",BH100,0)</f>
        <v>0</v>
      </c>
      <c r="AC100" s="16">
        <f>IF(AQ100="1",BI100,0)</f>
        <v>0</v>
      </c>
      <c r="AD100" s="16">
        <f>IF(AQ100="7",BH100,0)</f>
        <v>0</v>
      </c>
      <c r="AE100" s="16">
        <f>IF(AQ100="7",BI100,0)</f>
        <v>0</v>
      </c>
      <c r="AF100" s="16">
        <f>IF(AQ100="2",BH100,0)</f>
        <v>0</v>
      </c>
      <c r="AG100" s="16">
        <f>IF(AQ100="2",BI100,0)</f>
        <v>0</v>
      </c>
      <c r="AH100" s="16">
        <f>IF(AQ100="0",BJ100,0)</f>
        <v>0</v>
      </c>
      <c r="AI100" s="42" t="s">
        <v>268</v>
      </c>
      <c r="AJ100" s="16">
        <f>IF(AN100=0,L100,0)</f>
        <v>0</v>
      </c>
      <c r="AK100" s="16">
        <f>IF(AN100=12,L100,0)</f>
        <v>0</v>
      </c>
      <c r="AL100" s="16">
        <f>IF(AN100=21,L100,0)</f>
        <v>0</v>
      </c>
      <c r="AN100" s="16">
        <v>21</v>
      </c>
      <c r="AO100" s="16">
        <f>K100*0</f>
        <v>0</v>
      </c>
      <c r="AP100" s="16">
        <f>K100*(1-0)</f>
        <v>0</v>
      </c>
      <c r="AQ100" s="56" t="s">
        <v>266</v>
      </c>
      <c r="AV100" s="16">
        <f>AW100+AX100</f>
        <v>0</v>
      </c>
      <c r="AW100" s="16">
        <f>J100*AO100</f>
        <v>0</v>
      </c>
      <c r="AX100" s="16">
        <f>J100*AP100</f>
        <v>0</v>
      </c>
      <c r="AY100" s="56" t="s">
        <v>418</v>
      </c>
      <c r="AZ100" s="56" t="s">
        <v>146</v>
      </c>
      <c r="BA100" s="42" t="s">
        <v>295</v>
      </c>
      <c r="BC100" s="16">
        <f>AW100+AX100</f>
        <v>0</v>
      </c>
      <c r="BD100" s="16">
        <f>K100/(100-BE100)*100</f>
        <v>0</v>
      </c>
      <c r="BE100" s="16">
        <v>0</v>
      </c>
      <c r="BF100" s="16">
        <f>100</f>
        <v>100</v>
      </c>
      <c r="BH100" s="16">
        <f>J100*AO100</f>
        <v>0</v>
      </c>
      <c r="BI100" s="16">
        <f>J100*AP100</f>
        <v>0</v>
      </c>
      <c r="BJ100" s="16">
        <f>J100*K100</f>
        <v>0</v>
      </c>
      <c r="BK100" s="16"/>
      <c r="BL100" s="16"/>
    </row>
    <row r="101" spans="1:47" ht="15" customHeight="1">
      <c r="A101" s="43" t="s">
        <v>268</v>
      </c>
      <c r="B101" s="13" t="s">
        <v>134</v>
      </c>
      <c r="C101" s="116" t="s">
        <v>175</v>
      </c>
      <c r="D101" s="116"/>
      <c r="E101" s="116"/>
      <c r="F101" s="116"/>
      <c r="G101" s="116"/>
      <c r="H101" s="116"/>
      <c r="I101" s="58" t="s">
        <v>363</v>
      </c>
      <c r="J101" s="58" t="s">
        <v>363</v>
      </c>
      <c r="K101" s="58" t="s">
        <v>363</v>
      </c>
      <c r="L101" s="61">
        <f>SUM(L102:L106)</f>
        <v>0</v>
      </c>
      <c r="M101" s="8" t="s">
        <v>268</v>
      </c>
      <c r="AI101" s="42" t="s">
        <v>268</v>
      </c>
      <c r="AS101" s="61">
        <f>SUM(AJ102:AJ106)</f>
        <v>0</v>
      </c>
      <c r="AT101" s="61">
        <f>SUM(AK102:AK106)</f>
        <v>0</v>
      </c>
      <c r="AU101" s="61">
        <f>SUM(AL102:AL106)</f>
        <v>0</v>
      </c>
    </row>
    <row r="102" spans="1:64" ht="15" customHeight="1">
      <c r="A102" s="5" t="s">
        <v>93</v>
      </c>
      <c r="B102" s="17" t="s">
        <v>398</v>
      </c>
      <c r="C102" s="77" t="s">
        <v>107</v>
      </c>
      <c r="D102" s="77"/>
      <c r="E102" s="77"/>
      <c r="F102" s="77"/>
      <c r="G102" s="77"/>
      <c r="H102" s="77"/>
      <c r="I102" s="17" t="s">
        <v>188</v>
      </c>
      <c r="J102" s="16">
        <v>49.5</v>
      </c>
      <c r="K102" s="16">
        <v>0</v>
      </c>
      <c r="L102" s="16">
        <f>J102*K102</f>
        <v>0</v>
      </c>
      <c r="M102" s="31">
        <v>0</v>
      </c>
      <c r="Z102" s="16">
        <f>IF(AQ102="5",BJ102,0)</f>
        <v>0</v>
      </c>
      <c r="AB102" s="16">
        <f>IF(AQ102="1",BH102,0)</f>
        <v>0</v>
      </c>
      <c r="AC102" s="16">
        <f>IF(AQ102="1",BI102,0)</f>
        <v>0</v>
      </c>
      <c r="AD102" s="16">
        <f>IF(AQ102="7",BH102,0)</f>
        <v>0</v>
      </c>
      <c r="AE102" s="16">
        <f>IF(AQ102="7",BI102,0)</f>
        <v>0</v>
      </c>
      <c r="AF102" s="16">
        <f>IF(AQ102="2",BH102,0)</f>
        <v>0</v>
      </c>
      <c r="AG102" s="16">
        <f>IF(AQ102="2",BI102,0)</f>
        <v>0</v>
      </c>
      <c r="AH102" s="16">
        <f>IF(AQ102="0",BJ102,0)</f>
        <v>0</v>
      </c>
      <c r="AI102" s="42" t="s">
        <v>268</v>
      </c>
      <c r="AJ102" s="16">
        <f>IF(AN102=0,L102,0)</f>
        <v>0</v>
      </c>
      <c r="AK102" s="16">
        <f>IF(AN102=12,L102,0)</f>
        <v>0</v>
      </c>
      <c r="AL102" s="16">
        <f>IF(AN102=21,L102,0)</f>
        <v>0</v>
      </c>
      <c r="AN102" s="16">
        <v>21</v>
      </c>
      <c r="AO102" s="16">
        <f>K102*0</f>
        <v>0</v>
      </c>
      <c r="AP102" s="16">
        <f>K102*(1-0)</f>
        <v>0</v>
      </c>
      <c r="AQ102" s="56" t="s">
        <v>208</v>
      </c>
      <c r="AV102" s="16">
        <f>AW102+AX102</f>
        <v>0</v>
      </c>
      <c r="AW102" s="16">
        <f>J102*AO102</f>
        <v>0</v>
      </c>
      <c r="AX102" s="16">
        <f>J102*AP102</f>
        <v>0</v>
      </c>
      <c r="AY102" s="56" t="s">
        <v>166</v>
      </c>
      <c r="AZ102" s="56" t="s">
        <v>146</v>
      </c>
      <c r="BA102" s="42" t="s">
        <v>295</v>
      </c>
      <c r="BC102" s="16">
        <f>AW102+AX102</f>
        <v>0</v>
      </c>
      <c r="BD102" s="16">
        <f>K102/(100-BE102)*100</f>
        <v>0</v>
      </c>
      <c r="BE102" s="16">
        <v>0</v>
      </c>
      <c r="BF102" s="16">
        <f>102</f>
        <v>102</v>
      </c>
      <c r="BH102" s="16">
        <f>J102*AO102</f>
        <v>0</v>
      </c>
      <c r="BI102" s="16">
        <f>J102*AP102</f>
        <v>0</v>
      </c>
      <c r="BJ102" s="16">
        <f>J102*K102</f>
        <v>0</v>
      </c>
      <c r="BK102" s="16"/>
      <c r="BL102" s="16"/>
    </row>
    <row r="103" spans="1:64" ht="15" customHeight="1">
      <c r="A103" s="5" t="s">
        <v>33</v>
      </c>
      <c r="B103" s="17" t="s">
        <v>305</v>
      </c>
      <c r="C103" s="77" t="s">
        <v>277</v>
      </c>
      <c r="D103" s="77"/>
      <c r="E103" s="77"/>
      <c r="F103" s="77"/>
      <c r="G103" s="77"/>
      <c r="H103" s="77"/>
      <c r="I103" s="17" t="s">
        <v>188</v>
      </c>
      <c r="J103" s="16">
        <v>24.75</v>
      </c>
      <c r="K103" s="16">
        <v>0</v>
      </c>
      <c r="L103" s="16">
        <f>J103*K103</f>
        <v>0</v>
      </c>
      <c r="M103" s="31">
        <v>0</v>
      </c>
      <c r="Z103" s="16">
        <f>IF(AQ103="5",BJ103,0)</f>
        <v>0</v>
      </c>
      <c r="AB103" s="16">
        <f>IF(AQ103="1",BH103,0)</f>
        <v>0</v>
      </c>
      <c r="AC103" s="16">
        <f>IF(AQ103="1",BI103,0)</f>
        <v>0</v>
      </c>
      <c r="AD103" s="16">
        <f>IF(AQ103="7",BH103,0)</f>
        <v>0</v>
      </c>
      <c r="AE103" s="16">
        <f>IF(AQ103="7",BI103,0)</f>
        <v>0</v>
      </c>
      <c r="AF103" s="16">
        <f>IF(AQ103="2",BH103,0)</f>
        <v>0</v>
      </c>
      <c r="AG103" s="16">
        <f>IF(AQ103="2",BI103,0)</f>
        <v>0</v>
      </c>
      <c r="AH103" s="16">
        <f>IF(AQ103="0",BJ103,0)</f>
        <v>0</v>
      </c>
      <c r="AI103" s="42" t="s">
        <v>268</v>
      </c>
      <c r="AJ103" s="16">
        <f>IF(AN103=0,L103,0)</f>
        <v>0</v>
      </c>
      <c r="AK103" s="16">
        <f>IF(AN103=12,L103,0)</f>
        <v>0</v>
      </c>
      <c r="AL103" s="16">
        <f>IF(AN103=21,L103,0)</f>
        <v>0</v>
      </c>
      <c r="AN103" s="16">
        <v>21</v>
      </c>
      <c r="AO103" s="16">
        <f>K103*0</f>
        <v>0</v>
      </c>
      <c r="AP103" s="16">
        <f>K103*(1-0)</f>
        <v>0</v>
      </c>
      <c r="AQ103" s="56" t="s">
        <v>208</v>
      </c>
      <c r="AV103" s="16">
        <f>AW103+AX103</f>
        <v>0</v>
      </c>
      <c r="AW103" s="16">
        <f>J103*AO103</f>
        <v>0</v>
      </c>
      <c r="AX103" s="16">
        <f>J103*AP103</f>
        <v>0</v>
      </c>
      <c r="AY103" s="56" t="s">
        <v>166</v>
      </c>
      <c r="AZ103" s="56" t="s">
        <v>146</v>
      </c>
      <c r="BA103" s="42" t="s">
        <v>295</v>
      </c>
      <c r="BC103" s="16">
        <f>AW103+AX103</f>
        <v>0</v>
      </c>
      <c r="BD103" s="16">
        <f>K103/(100-BE103)*100</f>
        <v>0</v>
      </c>
      <c r="BE103" s="16">
        <v>0</v>
      </c>
      <c r="BF103" s="16">
        <f>103</f>
        <v>103</v>
      </c>
      <c r="BH103" s="16">
        <f>J103*AO103</f>
        <v>0</v>
      </c>
      <c r="BI103" s="16">
        <f>J103*AP103</f>
        <v>0</v>
      </c>
      <c r="BJ103" s="16">
        <f>J103*K103</f>
        <v>0</v>
      </c>
      <c r="BK103" s="16"/>
      <c r="BL103" s="16"/>
    </row>
    <row r="104" spans="1:64" ht="15" customHeight="1">
      <c r="A104" s="5" t="s">
        <v>381</v>
      </c>
      <c r="B104" s="17" t="s">
        <v>278</v>
      </c>
      <c r="C104" s="77" t="s">
        <v>287</v>
      </c>
      <c r="D104" s="77"/>
      <c r="E104" s="77"/>
      <c r="F104" s="77"/>
      <c r="G104" s="77"/>
      <c r="H104" s="77"/>
      <c r="I104" s="17" t="s">
        <v>188</v>
      </c>
      <c r="J104" s="16">
        <v>24.75</v>
      </c>
      <c r="K104" s="16">
        <v>0</v>
      </c>
      <c r="L104" s="16">
        <f>J104*K104</f>
        <v>0</v>
      </c>
      <c r="M104" s="31">
        <v>0</v>
      </c>
      <c r="Z104" s="16">
        <f>IF(AQ104="5",BJ104,0)</f>
        <v>0</v>
      </c>
      <c r="AB104" s="16">
        <f>IF(AQ104="1",BH104,0)</f>
        <v>0</v>
      </c>
      <c r="AC104" s="16">
        <f>IF(AQ104="1",BI104,0)</f>
        <v>0</v>
      </c>
      <c r="AD104" s="16">
        <f>IF(AQ104="7",BH104,0)</f>
        <v>0</v>
      </c>
      <c r="AE104" s="16">
        <f>IF(AQ104="7",BI104,0)</f>
        <v>0</v>
      </c>
      <c r="AF104" s="16">
        <f>IF(AQ104="2",BH104,0)</f>
        <v>0</v>
      </c>
      <c r="AG104" s="16">
        <f>IF(AQ104="2",BI104,0)</f>
        <v>0</v>
      </c>
      <c r="AH104" s="16">
        <f>IF(AQ104="0",BJ104,0)</f>
        <v>0</v>
      </c>
      <c r="AI104" s="42" t="s">
        <v>268</v>
      </c>
      <c r="AJ104" s="16">
        <f>IF(AN104=0,L104,0)</f>
        <v>0</v>
      </c>
      <c r="AK104" s="16">
        <f>IF(AN104=12,L104,0)</f>
        <v>0</v>
      </c>
      <c r="AL104" s="16">
        <f>IF(AN104=21,L104,0)</f>
        <v>0</v>
      </c>
      <c r="AN104" s="16">
        <v>21</v>
      </c>
      <c r="AO104" s="16">
        <f>K104*0</f>
        <v>0</v>
      </c>
      <c r="AP104" s="16">
        <f>K104*(1-0)</f>
        <v>0</v>
      </c>
      <c r="AQ104" s="56" t="s">
        <v>208</v>
      </c>
      <c r="AV104" s="16">
        <f>AW104+AX104</f>
        <v>0</v>
      </c>
      <c r="AW104" s="16">
        <f>J104*AO104</f>
        <v>0</v>
      </c>
      <c r="AX104" s="16">
        <f>J104*AP104</f>
        <v>0</v>
      </c>
      <c r="AY104" s="56" t="s">
        <v>166</v>
      </c>
      <c r="AZ104" s="56" t="s">
        <v>146</v>
      </c>
      <c r="BA104" s="42" t="s">
        <v>295</v>
      </c>
      <c r="BC104" s="16">
        <f>AW104+AX104</f>
        <v>0</v>
      </c>
      <c r="BD104" s="16">
        <f>K104/(100-BE104)*100</f>
        <v>0</v>
      </c>
      <c r="BE104" s="16">
        <v>0</v>
      </c>
      <c r="BF104" s="16">
        <f>104</f>
        <v>104</v>
      </c>
      <c r="BH104" s="16">
        <f>J104*AO104</f>
        <v>0</v>
      </c>
      <c r="BI104" s="16">
        <f>J104*AP104</f>
        <v>0</v>
      </c>
      <c r="BJ104" s="16">
        <f>J104*K104</f>
        <v>0</v>
      </c>
      <c r="BK104" s="16"/>
      <c r="BL104" s="16"/>
    </row>
    <row r="105" spans="1:64" ht="15" customHeight="1">
      <c r="A105" s="5" t="s">
        <v>69</v>
      </c>
      <c r="B105" s="17" t="s">
        <v>255</v>
      </c>
      <c r="C105" s="77" t="s">
        <v>180</v>
      </c>
      <c r="D105" s="77"/>
      <c r="E105" s="77"/>
      <c r="F105" s="77"/>
      <c r="G105" s="77"/>
      <c r="H105" s="77"/>
      <c r="I105" s="17" t="s">
        <v>188</v>
      </c>
      <c r="J105" s="16">
        <v>396</v>
      </c>
      <c r="K105" s="16">
        <v>0</v>
      </c>
      <c r="L105" s="16">
        <f>J105*K105</f>
        <v>0</v>
      </c>
      <c r="M105" s="31">
        <v>0</v>
      </c>
      <c r="Z105" s="16">
        <f>IF(AQ105="5",BJ105,0)</f>
        <v>0</v>
      </c>
      <c r="AB105" s="16">
        <f>IF(AQ105="1",BH105,0)</f>
        <v>0</v>
      </c>
      <c r="AC105" s="16">
        <f>IF(AQ105="1",BI105,0)</f>
        <v>0</v>
      </c>
      <c r="AD105" s="16">
        <f>IF(AQ105="7",BH105,0)</f>
        <v>0</v>
      </c>
      <c r="AE105" s="16">
        <f>IF(AQ105="7",BI105,0)</f>
        <v>0</v>
      </c>
      <c r="AF105" s="16">
        <f>IF(AQ105="2",BH105,0)</f>
        <v>0</v>
      </c>
      <c r="AG105" s="16">
        <f>IF(AQ105="2",BI105,0)</f>
        <v>0</v>
      </c>
      <c r="AH105" s="16">
        <f>IF(AQ105="0",BJ105,0)</f>
        <v>0</v>
      </c>
      <c r="AI105" s="42" t="s">
        <v>268</v>
      </c>
      <c r="AJ105" s="16">
        <f>IF(AN105=0,L105,0)</f>
        <v>0</v>
      </c>
      <c r="AK105" s="16">
        <f>IF(AN105=12,L105,0)</f>
        <v>0</v>
      </c>
      <c r="AL105" s="16">
        <f>IF(AN105=21,L105,0)</f>
        <v>0</v>
      </c>
      <c r="AN105" s="16">
        <v>21</v>
      </c>
      <c r="AO105" s="16">
        <f>K105*0</f>
        <v>0</v>
      </c>
      <c r="AP105" s="16">
        <f>K105*(1-0)</f>
        <v>0</v>
      </c>
      <c r="AQ105" s="56" t="s">
        <v>208</v>
      </c>
      <c r="AV105" s="16">
        <f>AW105+AX105</f>
        <v>0</v>
      </c>
      <c r="AW105" s="16">
        <f>J105*AO105</f>
        <v>0</v>
      </c>
      <c r="AX105" s="16">
        <f>J105*AP105</f>
        <v>0</v>
      </c>
      <c r="AY105" s="56" t="s">
        <v>166</v>
      </c>
      <c r="AZ105" s="56" t="s">
        <v>146</v>
      </c>
      <c r="BA105" s="42" t="s">
        <v>295</v>
      </c>
      <c r="BC105" s="16">
        <f>AW105+AX105</f>
        <v>0</v>
      </c>
      <c r="BD105" s="16">
        <f>K105/(100-BE105)*100</f>
        <v>0</v>
      </c>
      <c r="BE105" s="16">
        <v>0</v>
      </c>
      <c r="BF105" s="16">
        <f>105</f>
        <v>105</v>
      </c>
      <c r="BH105" s="16">
        <f>J105*AO105</f>
        <v>0</v>
      </c>
      <c r="BI105" s="16">
        <f>J105*AP105</f>
        <v>0</v>
      </c>
      <c r="BJ105" s="16">
        <f>J105*K105</f>
        <v>0</v>
      </c>
      <c r="BK105" s="16"/>
      <c r="BL105" s="16"/>
    </row>
    <row r="106" spans="1:64" ht="15" customHeight="1">
      <c r="A106" s="2" t="s">
        <v>75</v>
      </c>
      <c r="B106" s="20" t="s">
        <v>84</v>
      </c>
      <c r="C106" s="106" t="s">
        <v>86</v>
      </c>
      <c r="D106" s="106"/>
      <c r="E106" s="106"/>
      <c r="F106" s="106"/>
      <c r="G106" s="106"/>
      <c r="H106" s="106"/>
      <c r="I106" s="20" t="s">
        <v>188</v>
      </c>
      <c r="J106" s="67">
        <v>24.75</v>
      </c>
      <c r="K106" s="67">
        <v>0</v>
      </c>
      <c r="L106" s="67">
        <f>J106*K106</f>
        <v>0</v>
      </c>
      <c r="M106" s="18">
        <v>0</v>
      </c>
      <c r="Z106" s="16">
        <f>IF(AQ106="5",BJ106,0)</f>
        <v>0</v>
      </c>
      <c r="AB106" s="16">
        <f>IF(AQ106="1",BH106,0)</f>
        <v>0</v>
      </c>
      <c r="AC106" s="16">
        <f>IF(AQ106="1",BI106,0)</f>
        <v>0</v>
      </c>
      <c r="AD106" s="16">
        <f>IF(AQ106="7",BH106,0)</f>
        <v>0</v>
      </c>
      <c r="AE106" s="16">
        <f>IF(AQ106="7",BI106,0)</f>
        <v>0</v>
      </c>
      <c r="AF106" s="16">
        <f>IF(AQ106="2",BH106,0)</f>
        <v>0</v>
      </c>
      <c r="AG106" s="16">
        <f>IF(AQ106="2",BI106,0)</f>
        <v>0</v>
      </c>
      <c r="AH106" s="16">
        <f>IF(AQ106="0",BJ106,0)</f>
        <v>0</v>
      </c>
      <c r="AI106" s="42" t="s">
        <v>268</v>
      </c>
      <c r="AJ106" s="16">
        <f>IF(AN106=0,L106,0)</f>
        <v>0</v>
      </c>
      <c r="AK106" s="16">
        <f>IF(AN106=12,L106,0)</f>
        <v>0</v>
      </c>
      <c r="AL106" s="16">
        <f>IF(AN106=21,L106,0)</f>
        <v>0</v>
      </c>
      <c r="AN106" s="16">
        <v>21</v>
      </c>
      <c r="AO106" s="16">
        <f>K106*0</f>
        <v>0</v>
      </c>
      <c r="AP106" s="16">
        <f>K106*(1-0)</f>
        <v>0</v>
      </c>
      <c r="AQ106" s="56" t="s">
        <v>208</v>
      </c>
      <c r="AV106" s="16">
        <f>AW106+AX106</f>
        <v>0</v>
      </c>
      <c r="AW106" s="16">
        <f>J106*AO106</f>
        <v>0</v>
      </c>
      <c r="AX106" s="16">
        <f>J106*AP106</f>
        <v>0</v>
      </c>
      <c r="AY106" s="56" t="s">
        <v>166</v>
      </c>
      <c r="AZ106" s="56" t="s">
        <v>146</v>
      </c>
      <c r="BA106" s="42" t="s">
        <v>295</v>
      </c>
      <c r="BC106" s="16">
        <f>AW106+AX106</f>
        <v>0</v>
      </c>
      <c r="BD106" s="16">
        <f>K106/(100-BE106)*100</f>
        <v>0</v>
      </c>
      <c r="BE106" s="16">
        <v>0</v>
      </c>
      <c r="BF106" s="16">
        <f>106</f>
        <v>106</v>
      </c>
      <c r="BH106" s="16">
        <f>J106*AO106</f>
        <v>0</v>
      </c>
      <c r="BI106" s="16">
        <f>J106*AP106</f>
        <v>0</v>
      </c>
      <c r="BJ106" s="16">
        <f>J106*K106</f>
        <v>0</v>
      </c>
      <c r="BK106" s="16"/>
      <c r="BL106" s="16"/>
    </row>
    <row r="107" ht="15" customHeight="1">
      <c r="L107" s="66">
        <f>ROUND(L12+L16+L31+L39+L45+L56+L68+L71+L76+L78+L94+L99+L101,0)</f>
        <v>0</v>
      </c>
    </row>
    <row r="108" ht="15" customHeight="1">
      <c r="A108" s="12" t="s">
        <v>31</v>
      </c>
    </row>
    <row r="109" spans="1:13" ht="12.75" customHeight="1">
      <c r="A109" s="76" t="s">
        <v>268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</row>
  </sheetData>
  <sheetProtection/>
  <mergeCells count="123"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H2:H3"/>
    <mergeCell ref="C4:D5"/>
    <mergeCell ref="C6:D7"/>
    <mergeCell ref="C8:D9"/>
    <mergeCell ref="G2:G3"/>
    <mergeCell ref="G4:G5"/>
    <mergeCell ref="G6:G7"/>
    <mergeCell ref="G8:G9"/>
    <mergeCell ref="I2:M3"/>
    <mergeCell ref="I4:M5"/>
    <mergeCell ref="I6:M7"/>
    <mergeCell ref="I8:M9"/>
    <mergeCell ref="C10:H10"/>
    <mergeCell ref="H4:H5"/>
    <mergeCell ref="H6:H7"/>
    <mergeCell ref="H8:H9"/>
    <mergeCell ref="C2:D3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C94:H94"/>
    <mergeCell ref="C95:H95"/>
    <mergeCell ref="C96:H96"/>
    <mergeCell ref="C97:H97"/>
    <mergeCell ref="C98:H98"/>
    <mergeCell ref="C99:H99"/>
    <mergeCell ref="C100:H100"/>
    <mergeCell ref="A109:M109"/>
    <mergeCell ref="C101:H101"/>
    <mergeCell ref="C102:H102"/>
    <mergeCell ref="C103:H103"/>
    <mergeCell ref="C104:H104"/>
    <mergeCell ref="C105:H105"/>
    <mergeCell ref="C106:H106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showOutlineSymbols="0" zoomScalePageLayoutView="0" workbookViewId="0" topLeftCell="A1">
      <selection activeCell="A196" sqref="A196:G196"/>
    </sheetView>
  </sheetViews>
  <sheetFormatPr defaultColWidth="14.16015625" defaultRowHeight="15" customHeight="1"/>
  <cols>
    <col min="1" max="2" width="10.66015625" style="0" customWidth="1"/>
    <col min="3" max="3" width="16.66015625" style="0" customWidth="1"/>
    <col min="4" max="4" width="56.5" style="0" customWidth="1"/>
    <col min="5" max="5" width="27.66015625" style="0" customWidth="1"/>
    <col min="6" max="6" width="28.16015625" style="0" customWidth="1"/>
    <col min="7" max="7" width="18.33203125" style="0" customWidth="1"/>
    <col min="8" max="8" width="23.33203125" style="0" customWidth="1"/>
  </cols>
  <sheetData>
    <row r="1" spans="1:8" ht="54.75" customHeight="1">
      <c r="A1" s="111" t="s">
        <v>386</v>
      </c>
      <c r="B1" s="111"/>
      <c r="C1" s="111"/>
      <c r="D1" s="111"/>
      <c r="E1" s="111"/>
      <c r="F1" s="111"/>
      <c r="G1" s="111"/>
      <c r="H1" s="111"/>
    </row>
    <row r="2" spans="1:8" ht="15" customHeight="1">
      <c r="A2" s="112" t="s">
        <v>25</v>
      </c>
      <c r="B2" s="105"/>
      <c r="C2" s="107" t="str">
        <f>'Stavební rozpočet'!C2</f>
        <v>Stavební úpravy WC tělocvična</v>
      </c>
      <c r="D2" s="108"/>
      <c r="E2" s="104" t="s">
        <v>327</v>
      </c>
      <c r="F2" s="104" t="str">
        <f>'Stavební rozpočet'!I2</f>
        <v>Město Benešov Masarykovo náměstí 100, 256 01  Bene</v>
      </c>
      <c r="G2" s="105"/>
      <c r="H2" s="98"/>
    </row>
    <row r="3" spans="1:8" ht="15" customHeight="1">
      <c r="A3" s="113"/>
      <c r="B3" s="77"/>
      <c r="C3" s="109"/>
      <c r="D3" s="109"/>
      <c r="E3" s="77"/>
      <c r="F3" s="77"/>
      <c r="G3" s="77"/>
      <c r="H3" s="99"/>
    </row>
    <row r="4" spans="1:8" ht="15" customHeight="1">
      <c r="A4" s="114" t="s">
        <v>214</v>
      </c>
      <c r="B4" s="77"/>
      <c r="C4" s="76" t="str">
        <f>'Stavební rozpočet'!C4</f>
        <v> </v>
      </c>
      <c r="D4" s="77"/>
      <c r="E4" s="76" t="s">
        <v>267</v>
      </c>
      <c r="F4" s="76" t="str">
        <f>'Stavební rozpočet'!I4</f>
        <v> </v>
      </c>
      <c r="G4" s="77"/>
      <c r="H4" s="99"/>
    </row>
    <row r="5" spans="1:8" ht="15" customHeight="1">
      <c r="A5" s="113"/>
      <c r="B5" s="77"/>
      <c r="C5" s="77"/>
      <c r="D5" s="77"/>
      <c r="E5" s="77"/>
      <c r="F5" s="77"/>
      <c r="G5" s="77"/>
      <c r="H5" s="99"/>
    </row>
    <row r="6" spans="1:8" ht="15" customHeight="1">
      <c r="A6" s="114" t="s">
        <v>32</v>
      </c>
      <c r="B6" s="77"/>
      <c r="C6" s="76" t="str">
        <f>'Stavební rozpočet'!C6</f>
        <v>Benešov; ZŠ Dukelská</v>
      </c>
      <c r="D6" s="77"/>
      <c r="E6" s="76" t="s">
        <v>340</v>
      </c>
      <c r="F6" s="76" t="str">
        <f>'Stavební rozpočet'!I6</f>
        <v> </v>
      </c>
      <c r="G6" s="77"/>
      <c r="H6" s="99"/>
    </row>
    <row r="7" spans="1:8" ht="15" customHeight="1">
      <c r="A7" s="113"/>
      <c r="B7" s="77"/>
      <c r="C7" s="77"/>
      <c r="D7" s="77"/>
      <c r="E7" s="77"/>
      <c r="F7" s="77"/>
      <c r="G7" s="77"/>
      <c r="H7" s="99"/>
    </row>
    <row r="8" spans="1:8" ht="15" customHeight="1">
      <c r="A8" s="114" t="s">
        <v>258</v>
      </c>
      <c r="B8" s="77"/>
      <c r="C8" s="76" t="str">
        <f>'Stavební rozpočet'!I8</f>
        <v> </v>
      </c>
      <c r="D8" s="77"/>
      <c r="E8" s="76" t="s">
        <v>219</v>
      </c>
      <c r="F8" s="76" t="str">
        <f>'Stavební rozpočet'!G8</f>
        <v>29.02.2024</v>
      </c>
      <c r="G8" s="77"/>
      <c r="H8" s="99"/>
    </row>
    <row r="9" spans="1:8" ht="15" customHeight="1">
      <c r="A9" s="113"/>
      <c r="B9" s="77"/>
      <c r="C9" s="77"/>
      <c r="D9" s="77"/>
      <c r="E9" s="77"/>
      <c r="F9" s="77"/>
      <c r="G9" s="77"/>
      <c r="H9" s="99"/>
    </row>
    <row r="10" spans="1:8" ht="15" customHeight="1">
      <c r="A10" s="45" t="s">
        <v>29</v>
      </c>
      <c r="B10" s="34" t="s">
        <v>288</v>
      </c>
      <c r="C10" s="34" t="s">
        <v>133</v>
      </c>
      <c r="D10" s="123" t="s">
        <v>419</v>
      </c>
      <c r="E10" s="124"/>
      <c r="F10" s="34" t="s">
        <v>142</v>
      </c>
      <c r="G10" s="53" t="s">
        <v>233</v>
      </c>
      <c r="H10" s="25" t="s">
        <v>334</v>
      </c>
    </row>
    <row r="11" spans="1:8" ht="15" customHeight="1">
      <c r="A11" s="49" t="s">
        <v>268</v>
      </c>
      <c r="B11" s="1" t="s">
        <v>268</v>
      </c>
      <c r="C11" s="1" t="s">
        <v>282</v>
      </c>
      <c r="D11" s="116" t="s">
        <v>279</v>
      </c>
      <c r="E11" s="116"/>
      <c r="F11" s="1" t="s">
        <v>268</v>
      </c>
      <c r="G11" s="22" t="s">
        <v>268</v>
      </c>
      <c r="H11" s="11" t="s">
        <v>268</v>
      </c>
    </row>
    <row r="12" spans="1:8" ht="15" customHeight="1">
      <c r="A12" s="5" t="s">
        <v>388</v>
      </c>
      <c r="B12" s="17" t="s">
        <v>268</v>
      </c>
      <c r="C12" s="17" t="s">
        <v>330</v>
      </c>
      <c r="D12" s="77" t="s">
        <v>128</v>
      </c>
      <c r="E12" s="77"/>
      <c r="F12" s="17" t="s">
        <v>321</v>
      </c>
      <c r="G12" s="16">
        <v>20</v>
      </c>
      <c r="H12" s="31">
        <v>0</v>
      </c>
    </row>
    <row r="13" spans="1:8" ht="15" customHeight="1">
      <c r="A13" s="23"/>
      <c r="D13" s="54" t="s">
        <v>15</v>
      </c>
      <c r="E13" s="121" t="s">
        <v>268</v>
      </c>
      <c r="F13" s="121"/>
      <c r="G13" s="48">
        <v>20</v>
      </c>
      <c r="H13" s="46"/>
    </row>
    <row r="14" spans="1:8" ht="15" customHeight="1">
      <c r="A14" s="5" t="s">
        <v>266</v>
      </c>
      <c r="B14" s="17" t="s">
        <v>268</v>
      </c>
      <c r="C14" s="17" t="s">
        <v>216</v>
      </c>
      <c r="D14" s="77" t="s">
        <v>338</v>
      </c>
      <c r="E14" s="77"/>
      <c r="F14" s="17" t="s">
        <v>382</v>
      </c>
      <c r="G14" s="16">
        <v>132.8</v>
      </c>
      <c r="H14" s="31">
        <v>0</v>
      </c>
    </row>
    <row r="15" spans="1:8" ht="15" customHeight="1">
      <c r="A15" s="23"/>
      <c r="D15" s="54" t="s">
        <v>434</v>
      </c>
      <c r="E15" s="121" t="s">
        <v>268</v>
      </c>
      <c r="F15" s="121"/>
      <c r="G15" s="48">
        <v>132.8</v>
      </c>
      <c r="H15" s="46"/>
    </row>
    <row r="16" spans="1:8" ht="15" customHeight="1">
      <c r="A16" s="5" t="s">
        <v>336</v>
      </c>
      <c r="B16" s="17" t="s">
        <v>268</v>
      </c>
      <c r="C16" s="17" t="s">
        <v>318</v>
      </c>
      <c r="D16" s="77" t="s">
        <v>374</v>
      </c>
      <c r="E16" s="77"/>
      <c r="F16" s="17" t="s">
        <v>382</v>
      </c>
      <c r="G16" s="16">
        <v>14.350000000000001</v>
      </c>
      <c r="H16" s="31">
        <v>0</v>
      </c>
    </row>
    <row r="17" spans="1:8" ht="15" customHeight="1">
      <c r="A17" s="23"/>
      <c r="D17" s="54" t="s">
        <v>427</v>
      </c>
      <c r="E17" s="121" t="s">
        <v>268</v>
      </c>
      <c r="F17" s="121"/>
      <c r="G17" s="48">
        <v>14.350000000000001</v>
      </c>
      <c r="H17" s="46"/>
    </row>
    <row r="18" spans="1:8" ht="15" customHeight="1">
      <c r="A18" s="9" t="s">
        <v>268</v>
      </c>
      <c r="B18" s="13" t="s">
        <v>268</v>
      </c>
      <c r="C18" s="13" t="s">
        <v>302</v>
      </c>
      <c r="D18" s="116" t="s">
        <v>331</v>
      </c>
      <c r="E18" s="116"/>
      <c r="F18" s="13" t="s">
        <v>268</v>
      </c>
      <c r="G18" s="42" t="s">
        <v>268</v>
      </c>
      <c r="H18" s="8" t="s">
        <v>268</v>
      </c>
    </row>
    <row r="19" spans="1:8" ht="15" customHeight="1">
      <c r="A19" s="5" t="s">
        <v>48</v>
      </c>
      <c r="B19" s="17" t="s">
        <v>268</v>
      </c>
      <c r="C19" s="17" t="s">
        <v>307</v>
      </c>
      <c r="D19" s="77" t="s">
        <v>293</v>
      </c>
      <c r="E19" s="77"/>
      <c r="F19" s="17" t="s">
        <v>141</v>
      </c>
      <c r="G19" s="16">
        <v>6.000000000000001</v>
      </c>
      <c r="H19" s="31">
        <v>0</v>
      </c>
    </row>
    <row r="20" spans="1:8" ht="15" customHeight="1">
      <c r="A20" s="23"/>
      <c r="D20" s="54" t="s">
        <v>65</v>
      </c>
      <c r="E20" s="121" t="s">
        <v>268</v>
      </c>
      <c r="F20" s="121"/>
      <c r="G20" s="48">
        <v>6.000000000000001</v>
      </c>
      <c r="H20" s="46"/>
    </row>
    <row r="21" spans="1:8" ht="15" customHeight="1">
      <c r="A21" s="5" t="s">
        <v>208</v>
      </c>
      <c r="B21" s="17" t="s">
        <v>268</v>
      </c>
      <c r="C21" s="17" t="s">
        <v>365</v>
      </c>
      <c r="D21" s="77" t="s">
        <v>362</v>
      </c>
      <c r="E21" s="77"/>
      <c r="F21" s="17" t="s">
        <v>101</v>
      </c>
      <c r="G21" s="16">
        <v>6.000000000000001</v>
      </c>
      <c r="H21" s="31">
        <v>0</v>
      </c>
    </row>
    <row r="22" spans="1:8" ht="15" customHeight="1">
      <c r="A22" s="23"/>
      <c r="D22" s="54" t="s">
        <v>65</v>
      </c>
      <c r="E22" s="121" t="s">
        <v>268</v>
      </c>
      <c r="F22" s="121"/>
      <c r="G22" s="48">
        <v>6.000000000000001</v>
      </c>
      <c r="H22" s="46"/>
    </row>
    <row r="23" spans="1:8" ht="15" customHeight="1">
      <c r="A23" s="5" t="s">
        <v>65</v>
      </c>
      <c r="B23" s="17" t="s">
        <v>268</v>
      </c>
      <c r="C23" s="17" t="s">
        <v>270</v>
      </c>
      <c r="D23" s="77" t="s">
        <v>221</v>
      </c>
      <c r="E23" s="77"/>
      <c r="F23" s="17" t="s">
        <v>297</v>
      </c>
      <c r="G23" s="16">
        <v>1</v>
      </c>
      <c r="H23" s="31">
        <v>0</v>
      </c>
    </row>
    <row r="24" spans="1:8" ht="15" customHeight="1">
      <c r="A24" s="23"/>
      <c r="D24" s="54" t="s">
        <v>388</v>
      </c>
      <c r="E24" s="121" t="s">
        <v>268</v>
      </c>
      <c r="F24" s="121"/>
      <c r="G24" s="48">
        <v>1</v>
      </c>
      <c r="H24" s="46"/>
    </row>
    <row r="25" spans="1:8" ht="15" customHeight="1">
      <c r="A25" s="5" t="s">
        <v>389</v>
      </c>
      <c r="B25" s="17" t="s">
        <v>268</v>
      </c>
      <c r="C25" s="17" t="s">
        <v>197</v>
      </c>
      <c r="D25" s="77" t="s">
        <v>49</v>
      </c>
      <c r="E25" s="77"/>
      <c r="F25" s="17" t="s">
        <v>101</v>
      </c>
      <c r="G25" s="16">
        <v>1</v>
      </c>
      <c r="H25" s="31">
        <v>0</v>
      </c>
    </row>
    <row r="26" spans="1:8" ht="15" customHeight="1">
      <c r="A26" s="23"/>
      <c r="D26" s="54" t="s">
        <v>388</v>
      </c>
      <c r="E26" s="121" t="s">
        <v>268</v>
      </c>
      <c r="F26" s="121"/>
      <c r="G26" s="48">
        <v>1</v>
      </c>
      <c r="H26" s="46"/>
    </row>
    <row r="27" spans="1:8" ht="15" customHeight="1">
      <c r="A27" s="5" t="s">
        <v>310</v>
      </c>
      <c r="B27" s="17" t="s">
        <v>268</v>
      </c>
      <c r="C27" s="17" t="s">
        <v>186</v>
      </c>
      <c r="D27" s="77" t="s">
        <v>127</v>
      </c>
      <c r="E27" s="77"/>
      <c r="F27" s="17" t="s">
        <v>101</v>
      </c>
      <c r="G27" s="16">
        <v>10</v>
      </c>
      <c r="H27" s="31">
        <v>0</v>
      </c>
    </row>
    <row r="28" spans="1:8" ht="15" customHeight="1">
      <c r="A28" s="23"/>
      <c r="D28" s="54" t="s">
        <v>225</v>
      </c>
      <c r="E28" s="121" t="s">
        <v>268</v>
      </c>
      <c r="F28" s="121"/>
      <c r="G28" s="48">
        <v>10</v>
      </c>
      <c r="H28" s="46"/>
    </row>
    <row r="29" spans="1:8" ht="15" customHeight="1">
      <c r="A29" s="5" t="s">
        <v>154</v>
      </c>
      <c r="B29" s="17" t="s">
        <v>268</v>
      </c>
      <c r="C29" s="17" t="s">
        <v>129</v>
      </c>
      <c r="D29" s="77" t="s">
        <v>138</v>
      </c>
      <c r="E29" s="77"/>
      <c r="F29" s="17" t="s">
        <v>141</v>
      </c>
      <c r="G29" s="16">
        <v>4</v>
      </c>
      <c r="H29" s="31">
        <v>0</v>
      </c>
    </row>
    <row r="30" spans="1:8" ht="15" customHeight="1">
      <c r="A30" s="23"/>
      <c r="D30" s="54" t="s">
        <v>48</v>
      </c>
      <c r="E30" s="121" t="s">
        <v>268</v>
      </c>
      <c r="F30" s="121"/>
      <c r="G30" s="48">
        <v>4</v>
      </c>
      <c r="H30" s="46"/>
    </row>
    <row r="31" spans="1:8" ht="15" customHeight="1">
      <c r="A31" s="5" t="s">
        <v>225</v>
      </c>
      <c r="B31" s="17" t="s">
        <v>268</v>
      </c>
      <c r="C31" s="17" t="s">
        <v>5</v>
      </c>
      <c r="D31" s="77" t="s">
        <v>60</v>
      </c>
      <c r="E31" s="77"/>
      <c r="F31" s="17" t="s">
        <v>141</v>
      </c>
      <c r="G31" s="16">
        <v>8</v>
      </c>
      <c r="H31" s="31">
        <v>0</v>
      </c>
    </row>
    <row r="32" spans="1:8" ht="15" customHeight="1">
      <c r="A32" s="23"/>
      <c r="D32" s="54" t="s">
        <v>310</v>
      </c>
      <c r="E32" s="121" t="s">
        <v>268</v>
      </c>
      <c r="F32" s="121"/>
      <c r="G32" s="48">
        <v>8</v>
      </c>
      <c r="H32" s="46"/>
    </row>
    <row r="33" spans="1:8" ht="15" customHeight="1">
      <c r="A33" s="5" t="s">
        <v>323</v>
      </c>
      <c r="B33" s="17" t="s">
        <v>268</v>
      </c>
      <c r="C33" s="17" t="s">
        <v>148</v>
      </c>
      <c r="D33" s="77" t="s">
        <v>395</v>
      </c>
      <c r="E33" s="77"/>
      <c r="F33" s="17" t="s">
        <v>101</v>
      </c>
      <c r="G33" s="16">
        <v>8</v>
      </c>
      <c r="H33" s="31">
        <v>0</v>
      </c>
    </row>
    <row r="34" spans="1:8" ht="15" customHeight="1">
      <c r="A34" s="23"/>
      <c r="D34" s="54" t="s">
        <v>310</v>
      </c>
      <c r="E34" s="121" t="s">
        <v>268</v>
      </c>
      <c r="F34" s="121"/>
      <c r="G34" s="48">
        <v>8</v>
      </c>
      <c r="H34" s="46"/>
    </row>
    <row r="35" spans="1:8" ht="15" customHeight="1">
      <c r="A35" s="5" t="s">
        <v>285</v>
      </c>
      <c r="B35" s="17" t="s">
        <v>268</v>
      </c>
      <c r="C35" s="17" t="s">
        <v>257</v>
      </c>
      <c r="D35" s="77" t="s">
        <v>57</v>
      </c>
      <c r="E35" s="77"/>
      <c r="F35" s="17" t="s">
        <v>101</v>
      </c>
      <c r="G35" s="16">
        <v>8</v>
      </c>
      <c r="H35" s="31">
        <v>0</v>
      </c>
    </row>
    <row r="36" spans="1:8" ht="15" customHeight="1">
      <c r="A36" s="23"/>
      <c r="D36" s="54" t="s">
        <v>310</v>
      </c>
      <c r="E36" s="121" t="s">
        <v>268</v>
      </c>
      <c r="F36" s="121"/>
      <c r="G36" s="48">
        <v>8</v>
      </c>
      <c r="H36" s="46"/>
    </row>
    <row r="37" spans="1:8" ht="15" customHeight="1">
      <c r="A37" s="5" t="s">
        <v>118</v>
      </c>
      <c r="B37" s="17" t="s">
        <v>268</v>
      </c>
      <c r="C37" s="17" t="s">
        <v>364</v>
      </c>
      <c r="D37" s="77" t="s">
        <v>43</v>
      </c>
      <c r="E37" s="77"/>
      <c r="F37" s="17" t="s">
        <v>141</v>
      </c>
      <c r="G37" s="16">
        <v>8</v>
      </c>
      <c r="H37" s="31">
        <v>0</v>
      </c>
    </row>
    <row r="38" spans="1:8" ht="15" customHeight="1">
      <c r="A38" s="23"/>
      <c r="D38" s="54" t="s">
        <v>310</v>
      </c>
      <c r="E38" s="121" t="s">
        <v>268</v>
      </c>
      <c r="F38" s="121"/>
      <c r="G38" s="48">
        <v>8</v>
      </c>
      <c r="H38" s="46"/>
    </row>
    <row r="39" spans="1:8" ht="15" customHeight="1">
      <c r="A39" s="5" t="s">
        <v>229</v>
      </c>
      <c r="B39" s="17" t="s">
        <v>268</v>
      </c>
      <c r="C39" s="17" t="s">
        <v>254</v>
      </c>
      <c r="D39" s="77" t="s">
        <v>63</v>
      </c>
      <c r="E39" s="77"/>
      <c r="F39" s="17" t="s">
        <v>141</v>
      </c>
      <c r="G39" s="16">
        <v>2</v>
      </c>
      <c r="H39" s="31">
        <v>0</v>
      </c>
    </row>
    <row r="40" spans="1:8" ht="15" customHeight="1">
      <c r="A40" s="23"/>
      <c r="D40" s="54" t="s">
        <v>266</v>
      </c>
      <c r="E40" s="121" t="s">
        <v>268</v>
      </c>
      <c r="F40" s="121"/>
      <c r="G40" s="48">
        <v>2</v>
      </c>
      <c r="H40" s="46"/>
    </row>
    <row r="41" spans="1:8" ht="15" customHeight="1">
      <c r="A41" s="5" t="s">
        <v>157</v>
      </c>
      <c r="B41" s="17" t="s">
        <v>268</v>
      </c>
      <c r="C41" s="17" t="s">
        <v>400</v>
      </c>
      <c r="D41" s="77" t="s">
        <v>117</v>
      </c>
      <c r="E41" s="77"/>
      <c r="F41" s="17" t="s">
        <v>141</v>
      </c>
      <c r="G41" s="16">
        <v>2</v>
      </c>
      <c r="H41" s="31">
        <v>0</v>
      </c>
    </row>
    <row r="42" spans="1:8" ht="15" customHeight="1">
      <c r="A42" s="23"/>
      <c r="D42" s="54" t="s">
        <v>266</v>
      </c>
      <c r="E42" s="121" t="s">
        <v>268</v>
      </c>
      <c r="F42" s="121"/>
      <c r="G42" s="48">
        <v>2</v>
      </c>
      <c r="H42" s="46"/>
    </row>
    <row r="43" spans="1:8" ht="15" customHeight="1">
      <c r="A43" s="5" t="s">
        <v>35</v>
      </c>
      <c r="B43" s="17" t="s">
        <v>268</v>
      </c>
      <c r="C43" s="17" t="s">
        <v>320</v>
      </c>
      <c r="D43" s="77" t="s">
        <v>357</v>
      </c>
      <c r="E43" s="77"/>
      <c r="F43" s="17" t="s">
        <v>297</v>
      </c>
      <c r="G43" s="16">
        <v>1</v>
      </c>
      <c r="H43" s="31">
        <v>0</v>
      </c>
    </row>
    <row r="44" spans="1:8" ht="15" customHeight="1">
      <c r="A44" s="23"/>
      <c r="D44" s="54" t="s">
        <v>388</v>
      </c>
      <c r="E44" s="121" t="s">
        <v>268</v>
      </c>
      <c r="F44" s="121"/>
      <c r="G44" s="48">
        <v>1</v>
      </c>
      <c r="H44" s="46"/>
    </row>
    <row r="45" spans="1:8" ht="15" customHeight="1">
      <c r="A45" s="5" t="s">
        <v>269</v>
      </c>
      <c r="B45" s="17" t="s">
        <v>268</v>
      </c>
      <c r="C45" s="17" t="s">
        <v>16</v>
      </c>
      <c r="D45" s="77" t="s">
        <v>424</v>
      </c>
      <c r="E45" s="77"/>
      <c r="F45" s="17" t="s">
        <v>297</v>
      </c>
      <c r="G45" s="16">
        <v>1</v>
      </c>
      <c r="H45" s="31">
        <v>0</v>
      </c>
    </row>
    <row r="46" spans="1:8" ht="15" customHeight="1">
      <c r="A46" s="23"/>
      <c r="D46" s="54" t="s">
        <v>388</v>
      </c>
      <c r="E46" s="121" t="s">
        <v>268</v>
      </c>
      <c r="F46" s="121"/>
      <c r="G46" s="48">
        <v>1</v>
      </c>
      <c r="H46" s="46"/>
    </row>
    <row r="47" spans="1:8" ht="15" customHeight="1">
      <c r="A47" s="9" t="s">
        <v>268</v>
      </c>
      <c r="B47" s="13" t="s">
        <v>268</v>
      </c>
      <c r="C47" s="13" t="s">
        <v>405</v>
      </c>
      <c r="D47" s="116" t="s">
        <v>290</v>
      </c>
      <c r="E47" s="116"/>
      <c r="F47" s="13" t="s">
        <v>268</v>
      </c>
      <c r="G47" s="42" t="s">
        <v>268</v>
      </c>
      <c r="H47" s="8" t="s">
        <v>268</v>
      </c>
    </row>
    <row r="48" spans="1:8" ht="15" customHeight="1">
      <c r="A48" s="5" t="s">
        <v>313</v>
      </c>
      <c r="B48" s="17" t="s">
        <v>268</v>
      </c>
      <c r="C48" s="17" t="s">
        <v>71</v>
      </c>
      <c r="D48" s="77" t="s">
        <v>187</v>
      </c>
      <c r="E48" s="77"/>
      <c r="F48" s="17" t="s">
        <v>382</v>
      </c>
      <c r="G48" s="16">
        <v>1</v>
      </c>
      <c r="H48" s="31">
        <v>0</v>
      </c>
    </row>
    <row r="49" spans="1:8" ht="15" customHeight="1">
      <c r="A49" s="23"/>
      <c r="D49" s="54" t="s">
        <v>388</v>
      </c>
      <c r="E49" s="121" t="s">
        <v>268</v>
      </c>
      <c r="F49" s="121"/>
      <c r="G49" s="48">
        <v>1</v>
      </c>
      <c r="H49" s="46"/>
    </row>
    <row r="50" spans="1:8" ht="15" customHeight="1">
      <c r="A50" s="5" t="s">
        <v>245</v>
      </c>
      <c r="B50" s="17" t="s">
        <v>268</v>
      </c>
      <c r="C50" s="17" t="s">
        <v>150</v>
      </c>
      <c r="D50" s="77" t="s">
        <v>433</v>
      </c>
      <c r="E50" s="77"/>
      <c r="F50" s="17" t="s">
        <v>297</v>
      </c>
      <c r="G50" s="16">
        <v>2</v>
      </c>
      <c r="H50" s="31">
        <v>0</v>
      </c>
    </row>
    <row r="51" spans="1:8" ht="15" customHeight="1">
      <c r="A51" s="23"/>
      <c r="D51" s="54" t="s">
        <v>266</v>
      </c>
      <c r="E51" s="121" t="s">
        <v>268</v>
      </c>
      <c r="F51" s="121"/>
      <c r="G51" s="48">
        <v>2</v>
      </c>
      <c r="H51" s="46"/>
    </row>
    <row r="52" spans="1:8" ht="15" customHeight="1">
      <c r="A52" s="5" t="s">
        <v>15</v>
      </c>
      <c r="B52" s="17" t="s">
        <v>268</v>
      </c>
      <c r="C52" s="17" t="s">
        <v>280</v>
      </c>
      <c r="D52" s="77" t="s">
        <v>172</v>
      </c>
      <c r="E52" s="77"/>
      <c r="F52" s="17" t="s">
        <v>271</v>
      </c>
      <c r="G52" s="16">
        <v>2</v>
      </c>
      <c r="H52" s="31">
        <v>0</v>
      </c>
    </row>
    <row r="53" spans="1:8" ht="15" customHeight="1">
      <c r="A53" s="23"/>
      <c r="D53" s="54" t="s">
        <v>266</v>
      </c>
      <c r="E53" s="121" t="s">
        <v>268</v>
      </c>
      <c r="F53" s="121"/>
      <c r="G53" s="48">
        <v>2</v>
      </c>
      <c r="H53" s="46"/>
    </row>
    <row r="54" spans="1:8" ht="15" customHeight="1">
      <c r="A54" s="5" t="s">
        <v>275</v>
      </c>
      <c r="B54" s="17" t="s">
        <v>268</v>
      </c>
      <c r="C54" s="17" t="s">
        <v>259</v>
      </c>
      <c r="D54" s="77" t="s">
        <v>120</v>
      </c>
      <c r="E54" s="77"/>
      <c r="F54" s="17" t="s">
        <v>297</v>
      </c>
      <c r="G54" s="16">
        <v>2</v>
      </c>
      <c r="H54" s="31">
        <v>0</v>
      </c>
    </row>
    <row r="55" spans="1:8" ht="15" customHeight="1">
      <c r="A55" s="23"/>
      <c r="D55" s="54" t="s">
        <v>266</v>
      </c>
      <c r="E55" s="121" t="s">
        <v>268</v>
      </c>
      <c r="F55" s="121"/>
      <c r="G55" s="48">
        <v>2</v>
      </c>
      <c r="H55" s="46"/>
    </row>
    <row r="56" spans="1:8" ht="15" customHeight="1">
      <c r="A56" s="5" t="s">
        <v>373</v>
      </c>
      <c r="B56" s="17" t="s">
        <v>268</v>
      </c>
      <c r="C56" s="17" t="s">
        <v>320</v>
      </c>
      <c r="D56" s="77" t="s">
        <v>167</v>
      </c>
      <c r="E56" s="77"/>
      <c r="F56" s="17" t="s">
        <v>297</v>
      </c>
      <c r="G56" s="16">
        <v>1</v>
      </c>
      <c r="H56" s="31">
        <v>0</v>
      </c>
    </row>
    <row r="57" spans="1:8" ht="15" customHeight="1">
      <c r="A57" s="23"/>
      <c r="D57" s="54" t="s">
        <v>388</v>
      </c>
      <c r="E57" s="121" t="s">
        <v>268</v>
      </c>
      <c r="F57" s="121"/>
      <c r="G57" s="48">
        <v>1</v>
      </c>
      <c r="H57" s="46"/>
    </row>
    <row r="58" spans="1:8" ht="15" customHeight="1">
      <c r="A58" s="5" t="s">
        <v>183</v>
      </c>
      <c r="B58" s="17" t="s">
        <v>268</v>
      </c>
      <c r="C58" s="17" t="s">
        <v>105</v>
      </c>
      <c r="D58" s="77" t="s">
        <v>88</v>
      </c>
      <c r="E58" s="77"/>
      <c r="F58" s="17" t="s">
        <v>297</v>
      </c>
      <c r="G58" s="16">
        <v>1</v>
      </c>
      <c r="H58" s="31">
        <v>0</v>
      </c>
    </row>
    <row r="59" spans="1:8" ht="15" customHeight="1">
      <c r="A59" s="23"/>
      <c r="D59" s="54" t="s">
        <v>388</v>
      </c>
      <c r="E59" s="121" t="s">
        <v>268</v>
      </c>
      <c r="F59" s="121"/>
      <c r="G59" s="48">
        <v>1</v>
      </c>
      <c r="H59" s="46"/>
    </row>
    <row r="60" spans="1:8" ht="15" customHeight="1">
      <c r="A60" s="5" t="s">
        <v>37</v>
      </c>
      <c r="B60" s="17" t="s">
        <v>268</v>
      </c>
      <c r="C60" s="17" t="s">
        <v>286</v>
      </c>
      <c r="D60" s="77" t="s">
        <v>284</v>
      </c>
      <c r="E60" s="77"/>
      <c r="F60" s="17" t="s">
        <v>297</v>
      </c>
      <c r="G60" s="16">
        <v>1</v>
      </c>
      <c r="H60" s="31">
        <v>0</v>
      </c>
    </row>
    <row r="61" spans="1:8" ht="15" customHeight="1">
      <c r="A61" s="23"/>
      <c r="D61" s="54" t="s">
        <v>388</v>
      </c>
      <c r="E61" s="121" t="s">
        <v>268</v>
      </c>
      <c r="F61" s="121"/>
      <c r="G61" s="48">
        <v>1</v>
      </c>
      <c r="H61" s="46"/>
    </row>
    <row r="62" spans="1:8" ht="15" customHeight="1">
      <c r="A62" s="9" t="s">
        <v>268</v>
      </c>
      <c r="B62" s="13" t="s">
        <v>268</v>
      </c>
      <c r="C62" s="13" t="s">
        <v>170</v>
      </c>
      <c r="D62" s="116" t="s">
        <v>192</v>
      </c>
      <c r="E62" s="116"/>
      <c r="F62" s="13" t="s">
        <v>268</v>
      </c>
      <c r="G62" s="42" t="s">
        <v>268</v>
      </c>
      <c r="H62" s="8" t="s">
        <v>268</v>
      </c>
    </row>
    <row r="63" spans="1:8" ht="15" customHeight="1">
      <c r="A63" s="5" t="s">
        <v>100</v>
      </c>
      <c r="B63" s="17" t="s">
        <v>268</v>
      </c>
      <c r="C63" s="17" t="s">
        <v>0</v>
      </c>
      <c r="D63" s="77" t="s">
        <v>250</v>
      </c>
      <c r="E63" s="77"/>
      <c r="F63" s="17" t="s">
        <v>101</v>
      </c>
      <c r="G63" s="16">
        <v>6.000000000000001</v>
      </c>
      <c r="H63" s="31">
        <v>0</v>
      </c>
    </row>
    <row r="64" spans="1:8" ht="15" customHeight="1">
      <c r="A64" s="23"/>
      <c r="D64" s="54" t="s">
        <v>65</v>
      </c>
      <c r="E64" s="121" t="s">
        <v>268</v>
      </c>
      <c r="F64" s="121"/>
      <c r="G64" s="48">
        <v>6.000000000000001</v>
      </c>
      <c r="H64" s="46"/>
    </row>
    <row r="65" spans="1:8" ht="15" customHeight="1">
      <c r="A65" s="5" t="s">
        <v>53</v>
      </c>
      <c r="B65" s="17" t="s">
        <v>268</v>
      </c>
      <c r="C65" s="17" t="s">
        <v>181</v>
      </c>
      <c r="D65" s="77" t="s">
        <v>403</v>
      </c>
      <c r="E65" s="77"/>
      <c r="F65" s="17" t="s">
        <v>101</v>
      </c>
      <c r="G65" s="16">
        <v>6.000000000000001</v>
      </c>
      <c r="H65" s="31">
        <v>0</v>
      </c>
    </row>
    <row r="66" spans="1:8" ht="15" customHeight="1">
      <c r="A66" s="23"/>
      <c r="D66" s="54" t="s">
        <v>65</v>
      </c>
      <c r="E66" s="121" t="s">
        <v>268</v>
      </c>
      <c r="F66" s="121"/>
      <c r="G66" s="48">
        <v>6.000000000000001</v>
      </c>
      <c r="H66" s="46"/>
    </row>
    <row r="67" spans="1:8" ht="15" customHeight="1">
      <c r="A67" s="5" t="s">
        <v>379</v>
      </c>
      <c r="B67" s="17" t="s">
        <v>268</v>
      </c>
      <c r="C67" s="17" t="s">
        <v>309</v>
      </c>
      <c r="D67" s="77" t="s">
        <v>110</v>
      </c>
      <c r="E67" s="77"/>
      <c r="F67" s="17" t="s">
        <v>101</v>
      </c>
      <c r="G67" s="16">
        <v>6.000000000000001</v>
      </c>
      <c r="H67" s="31">
        <v>0</v>
      </c>
    </row>
    <row r="68" spans="1:8" ht="15" customHeight="1">
      <c r="A68" s="23"/>
      <c r="D68" s="54" t="s">
        <v>65</v>
      </c>
      <c r="E68" s="121" t="s">
        <v>268</v>
      </c>
      <c r="F68" s="121"/>
      <c r="G68" s="48">
        <v>6.000000000000001</v>
      </c>
      <c r="H68" s="46"/>
    </row>
    <row r="69" spans="1:8" ht="15" customHeight="1">
      <c r="A69" s="5" t="s">
        <v>421</v>
      </c>
      <c r="B69" s="17" t="s">
        <v>268</v>
      </c>
      <c r="C69" s="17" t="s">
        <v>209</v>
      </c>
      <c r="D69" s="77" t="s">
        <v>198</v>
      </c>
      <c r="E69" s="77"/>
      <c r="F69" s="17" t="s">
        <v>101</v>
      </c>
      <c r="G69" s="16">
        <v>6.000000000000001</v>
      </c>
      <c r="H69" s="31">
        <v>0</v>
      </c>
    </row>
    <row r="70" spans="1:8" ht="15" customHeight="1">
      <c r="A70" s="23"/>
      <c r="D70" s="54" t="s">
        <v>65</v>
      </c>
      <c r="E70" s="121" t="s">
        <v>268</v>
      </c>
      <c r="F70" s="121"/>
      <c r="G70" s="48">
        <v>6.000000000000001</v>
      </c>
      <c r="H70" s="46"/>
    </row>
    <row r="71" spans="1:8" ht="15" customHeight="1">
      <c r="A71" s="5" t="s">
        <v>28</v>
      </c>
      <c r="B71" s="17" t="s">
        <v>268</v>
      </c>
      <c r="C71" s="17" t="s">
        <v>24</v>
      </c>
      <c r="D71" s="77" t="s">
        <v>83</v>
      </c>
      <c r="E71" s="77"/>
      <c r="F71" s="17" t="s">
        <v>271</v>
      </c>
      <c r="G71" s="16">
        <v>6.000000000000001</v>
      </c>
      <c r="H71" s="31">
        <v>0</v>
      </c>
    </row>
    <row r="72" spans="1:8" ht="15" customHeight="1">
      <c r="A72" s="23"/>
      <c r="D72" s="54" t="s">
        <v>65</v>
      </c>
      <c r="E72" s="121" t="s">
        <v>268</v>
      </c>
      <c r="F72" s="121"/>
      <c r="G72" s="48">
        <v>6.000000000000001</v>
      </c>
      <c r="H72" s="46"/>
    </row>
    <row r="73" spans="1:8" ht="15" customHeight="1">
      <c r="A73" s="9" t="s">
        <v>268</v>
      </c>
      <c r="B73" s="13" t="s">
        <v>268</v>
      </c>
      <c r="C73" s="13" t="s">
        <v>422</v>
      </c>
      <c r="D73" s="116" t="s">
        <v>343</v>
      </c>
      <c r="E73" s="116"/>
      <c r="F73" s="13" t="s">
        <v>268</v>
      </c>
      <c r="G73" s="42" t="s">
        <v>268</v>
      </c>
      <c r="H73" s="8" t="s">
        <v>268</v>
      </c>
    </row>
    <row r="74" spans="1:8" ht="15" customHeight="1">
      <c r="A74" s="5" t="s">
        <v>249</v>
      </c>
      <c r="B74" s="17" t="s">
        <v>268</v>
      </c>
      <c r="C74" s="17" t="s">
        <v>228</v>
      </c>
      <c r="D74" s="77" t="s">
        <v>337</v>
      </c>
      <c r="E74" s="77"/>
      <c r="F74" s="17" t="s">
        <v>382</v>
      </c>
      <c r="G74" s="16">
        <v>14.350000000000001</v>
      </c>
      <c r="H74" s="31">
        <v>0</v>
      </c>
    </row>
    <row r="75" spans="1:8" ht="15" customHeight="1">
      <c r="A75" s="23"/>
      <c r="D75" s="54" t="s">
        <v>427</v>
      </c>
      <c r="E75" s="121" t="s">
        <v>268</v>
      </c>
      <c r="F75" s="121"/>
      <c r="G75" s="48">
        <v>14.350000000000001</v>
      </c>
      <c r="H75" s="46"/>
    </row>
    <row r="76" spans="1:8" ht="15" customHeight="1">
      <c r="A76" s="5" t="s">
        <v>230</v>
      </c>
      <c r="B76" s="17" t="s">
        <v>268</v>
      </c>
      <c r="C76" s="17" t="s">
        <v>11</v>
      </c>
      <c r="D76" s="77" t="s">
        <v>12</v>
      </c>
      <c r="E76" s="77"/>
      <c r="F76" s="17" t="s">
        <v>382</v>
      </c>
      <c r="G76" s="16">
        <v>14.350000000000001</v>
      </c>
      <c r="H76" s="31">
        <v>0</v>
      </c>
    </row>
    <row r="77" spans="1:8" ht="15" customHeight="1">
      <c r="A77" s="23"/>
      <c r="D77" s="54" t="s">
        <v>427</v>
      </c>
      <c r="E77" s="121" t="s">
        <v>268</v>
      </c>
      <c r="F77" s="121"/>
      <c r="G77" s="48">
        <v>14.350000000000001</v>
      </c>
      <c r="H77" s="46"/>
    </row>
    <row r="78" spans="1:8" ht="15" customHeight="1">
      <c r="A78" s="5" t="s">
        <v>326</v>
      </c>
      <c r="B78" s="17" t="s">
        <v>268</v>
      </c>
      <c r="C78" s="17" t="s">
        <v>204</v>
      </c>
      <c r="D78" s="77" t="s">
        <v>387</v>
      </c>
      <c r="E78" s="77"/>
      <c r="F78" s="17" t="s">
        <v>321</v>
      </c>
      <c r="G78" s="16">
        <v>33.6</v>
      </c>
      <c r="H78" s="31">
        <v>0</v>
      </c>
    </row>
    <row r="79" spans="1:8" ht="15" customHeight="1">
      <c r="A79" s="23"/>
      <c r="D79" s="54" t="s">
        <v>139</v>
      </c>
      <c r="E79" s="121" t="s">
        <v>23</v>
      </c>
      <c r="F79" s="121"/>
      <c r="G79" s="48">
        <v>21.6</v>
      </c>
      <c r="H79" s="46"/>
    </row>
    <row r="80" spans="1:8" ht="15" customHeight="1">
      <c r="A80" s="5" t="s">
        <v>268</v>
      </c>
      <c r="B80" s="17" t="s">
        <v>268</v>
      </c>
      <c r="C80" s="17" t="s">
        <v>268</v>
      </c>
      <c r="D80" s="54" t="s">
        <v>45</v>
      </c>
      <c r="E80" s="121" t="s">
        <v>200</v>
      </c>
      <c r="F80" s="121"/>
      <c r="G80" s="48">
        <v>12.000000000000002</v>
      </c>
      <c r="H80" s="4" t="s">
        <v>268</v>
      </c>
    </row>
    <row r="81" spans="1:8" ht="15" customHeight="1">
      <c r="A81" s="5" t="s">
        <v>89</v>
      </c>
      <c r="B81" s="17" t="s">
        <v>268</v>
      </c>
      <c r="C81" s="17" t="s">
        <v>273</v>
      </c>
      <c r="D81" s="77" t="s">
        <v>264</v>
      </c>
      <c r="E81" s="77"/>
      <c r="F81" s="17" t="s">
        <v>382</v>
      </c>
      <c r="G81" s="16">
        <v>14.350000000000001</v>
      </c>
      <c r="H81" s="31">
        <v>0</v>
      </c>
    </row>
    <row r="82" spans="1:8" ht="15" customHeight="1">
      <c r="A82" s="23"/>
      <c r="D82" s="54" t="s">
        <v>427</v>
      </c>
      <c r="E82" s="121" t="s">
        <v>268</v>
      </c>
      <c r="F82" s="121"/>
      <c r="G82" s="48">
        <v>14.350000000000001</v>
      </c>
      <c r="H82" s="46"/>
    </row>
    <row r="83" spans="1:8" ht="15" customHeight="1">
      <c r="A83" s="5" t="s">
        <v>429</v>
      </c>
      <c r="B83" s="17" t="s">
        <v>268</v>
      </c>
      <c r="C83" s="17" t="s">
        <v>417</v>
      </c>
      <c r="D83" s="77" t="s">
        <v>242</v>
      </c>
      <c r="E83" s="77"/>
      <c r="F83" s="17" t="s">
        <v>321</v>
      </c>
      <c r="G83" s="16">
        <v>21.6</v>
      </c>
      <c r="H83" s="31">
        <v>0</v>
      </c>
    </row>
    <row r="84" spans="1:8" ht="15" customHeight="1">
      <c r="A84" s="23"/>
      <c r="D84" s="54" t="s">
        <v>260</v>
      </c>
      <c r="E84" s="121" t="s">
        <v>268</v>
      </c>
      <c r="F84" s="121"/>
      <c r="G84" s="48">
        <v>21.6</v>
      </c>
      <c r="H84" s="46"/>
    </row>
    <row r="85" spans="1:8" ht="15" customHeight="1">
      <c r="A85" s="5" t="s">
        <v>348</v>
      </c>
      <c r="B85" s="17" t="s">
        <v>268</v>
      </c>
      <c r="C85" s="17" t="s">
        <v>392</v>
      </c>
      <c r="D85" s="77" t="s">
        <v>137</v>
      </c>
      <c r="E85" s="77"/>
      <c r="F85" s="17" t="s">
        <v>382</v>
      </c>
      <c r="G85" s="16">
        <v>14.350000000000001</v>
      </c>
      <c r="H85" s="31">
        <v>0</v>
      </c>
    </row>
    <row r="86" spans="1:8" ht="15" customHeight="1">
      <c r="A86" s="23"/>
      <c r="D86" s="54" t="s">
        <v>427</v>
      </c>
      <c r="E86" s="121" t="s">
        <v>268</v>
      </c>
      <c r="F86" s="121"/>
      <c r="G86" s="48">
        <v>14.350000000000001</v>
      </c>
      <c r="H86" s="46"/>
    </row>
    <row r="87" spans="1:8" ht="15" customHeight="1">
      <c r="A87" s="5" t="s">
        <v>227</v>
      </c>
      <c r="B87" s="17" t="s">
        <v>268</v>
      </c>
      <c r="C87" s="17" t="s">
        <v>119</v>
      </c>
      <c r="D87" s="77" t="s">
        <v>263</v>
      </c>
      <c r="E87" s="77"/>
      <c r="F87" s="17" t="s">
        <v>382</v>
      </c>
      <c r="G87" s="16">
        <v>3.33</v>
      </c>
      <c r="H87" s="31">
        <v>0</v>
      </c>
    </row>
    <row r="88" spans="1:8" ht="15" customHeight="1">
      <c r="A88" s="23"/>
      <c r="D88" s="54" t="s">
        <v>391</v>
      </c>
      <c r="E88" s="121" t="s">
        <v>268</v>
      </c>
      <c r="F88" s="121"/>
      <c r="G88" s="48">
        <v>3.33</v>
      </c>
      <c r="H88" s="46"/>
    </row>
    <row r="89" spans="1:8" ht="15" customHeight="1">
      <c r="A89" s="5" t="s">
        <v>380</v>
      </c>
      <c r="B89" s="17" t="s">
        <v>268</v>
      </c>
      <c r="C89" s="17" t="s">
        <v>41</v>
      </c>
      <c r="D89" s="77" t="s">
        <v>371</v>
      </c>
      <c r="E89" s="77"/>
      <c r="F89" s="17" t="s">
        <v>382</v>
      </c>
      <c r="G89" s="16">
        <v>14.350000000000001</v>
      </c>
      <c r="H89" s="31">
        <v>0</v>
      </c>
    </row>
    <row r="90" spans="1:8" ht="15" customHeight="1">
      <c r="A90" s="23"/>
      <c r="D90" s="54" t="s">
        <v>427</v>
      </c>
      <c r="E90" s="121" t="s">
        <v>268</v>
      </c>
      <c r="F90" s="121"/>
      <c r="G90" s="48">
        <v>14.350000000000001</v>
      </c>
      <c r="H90" s="46"/>
    </row>
    <row r="91" spans="1:8" ht="15" customHeight="1">
      <c r="A91" s="5" t="s">
        <v>235</v>
      </c>
      <c r="B91" s="17" t="s">
        <v>268</v>
      </c>
      <c r="C91" s="17" t="s">
        <v>124</v>
      </c>
      <c r="D91" s="77" t="s">
        <v>366</v>
      </c>
      <c r="E91" s="77"/>
      <c r="F91" s="17" t="s">
        <v>382</v>
      </c>
      <c r="G91" s="16">
        <v>14.350000000000001</v>
      </c>
      <c r="H91" s="31">
        <v>0</v>
      </c>
    </row>
    <row r="92" spans="1:8" ht="15" customHeight="1">
      <c r="A92" s="23"/>
      <c r="D92" s="54" t="s">
        <v>427</v>
      </c>
      <c r="E92" s="121" t="s">
        <v>268</v>
      </c>
      <c r="F92" s="121"/>
      <c r="G92" s="48">
        <v>14.350000000000001</v>
      </c>
      <c r="H92" s="46"/>
    </row>
    <row r="93" spans="1:8" ht="15" customHeight="1">
      <c r="A93" s="5" t="s">
        <v>248</v>
      </c>
      <c r="B93" s="17" t="s">
        <v>268</v>
      </c>
      <c r="C93" s="17" t="s">
        <v>234</v>
      </c>
      <c r="D93" s="77" t="s">
        <v>298</v>
      </c>
      <c r="E93" s="77"/>
      <c r="F93" s="17" t="s">
        <v>342</v>
      </c>
      <c r="G93" s="16">
        <v>435.00000000000006</v>
      </c>
      <c r="H93" s="31">
        <v>0</v>
      </c>
    </row>
    <row r="94" spans="1:8" ht="15" customHeight="1">
      <c r="A94" s="23"/>
      <c r="D94" s="54" t="s">
        <v>140</v>
      </c>
      <c r="E94" s="121" t="s">
        <v>268</v>
      </c>
      <c r="F94" s="121"/>
      <c r="G94" s="48">
        <v>435.00000000000006</v>
      </c>
      <c r="H94" s="46"/>
    </row>
    <row r="95" spans="1:8" ht="15" customHeight="1">
      <c r="A95" s="9" t="s">
        <v>268</v>
      </c>
      <c r="B95" s="13" t="s">
        <v>268</v>
      </c>
      <c r="C95" s="13" t="s">
        <v>316</v>
      </c>
      <c r="D95" s="116" t="s">
        <v>178</v>
      </c>
      <c r="E95" s="116"/>
      <c r="F95" s="13" t="s">
        <v>268</v>
      </c>
      <c r="G95" s="42" t="s">
        <v>268</v>
      </c>
      <c r="H95" s="8" t="s">
        <v>268</v>
      </c>
    </row>
    <row r="96" spans="1:8" ht="15" customHeight="1">
      <c r="A96" s="5" t="s">
        <v>144</v>
      </c>
      <c r="B96" s="17" t="s">
        <v>268</v>
      </c>
      <c r="C96" s="17" t="s">
        <v>372</v>
      </c>
      <c r="D96" s="77" t="s">
        <v>19</v>
      </c>
      <c r="E96" s="77"/>
      <c r="F96" s="17" t="s">
        <v>382</v>
      </c>
      <c r="G96" s="16">
        <v>30.000000000000004</v>
      </c>
      <c r="H96" s="31">
        <v>0</v>
      </c>
    </row>
    <row r="97" spans="1:8" ht="15" customHeight="1">
      <c r="A97" s="23"/>
      <c r="D97" s="54" t="s">
        <v>249</v>
      </c>
      <c r="E97" s="121" t="s">
        <v>268</v>
      </c>
      <c r="F97" s="121"/>
      <c r="G97" s="48">
        <v>30.000000000000004</v>
      </c>
      <c r="H97" s="46"/>
    </row>
    <row r="98" spans="1:8" ht="15" customHeight="1">
      <c r="A98" s="5" t="s">
        <v>383</v>
      </c>
      <c r="B98" s="17" t="s">
        <v>268</v>
      </c>
      <c r="C98" s="17" t="s">
        <v>300</v>
      </c>
      <c r="D98" s="77" t="s">
        <v>215</v>
      </c>
      <c r="E98" s="77"/>
      <c r="F98" s="17" t="s">
        <v>382</v>
      </c>
      <c r="G98" s="16">
        <v>132.82000000000002</v>
      </c>
      <c r="H98" s="31">
        <v>0</v>
      </c>
    </row>
    <row r="99" spans="1:8" ht="15" customHeight="1">
      <c r="A99" s="23"/>
      <c r="D99" s="54" t="s">
        <v>276</v>
      </c>
      <c r="E99" s="121" t="s">
        <v>268</v>
      </c>
      <c r="F99" s="121"/>
      <c r="G99" s="48">
        <v>132.82000000000002</v>
      </c>
      <c r="H99" s="46"/>
    </row>
    <row r="100" spans="1:8" ht="15" customHeight="1">
      <c r="A100" s="5" t="s">
        <v>74</v>
      </c>
      <c r="B100" s="17" t="s">
        <v>268</v>
      </c>
      <c r="C100" s="17" t="s">
        <v>223</v>
      </c>
      <c r="D100" s="77" t="s">
        <v>10</v>
      </c>
      <c r="E100" s="77"/>
      <c r="F100" s="17" t="s">
        <v>382</v>
      </c>
      <c r="G100" s="16">
        <v>13.870000000000001</v>
      </c>
      <c r="H100" s="31">
        <v>0</v>
      </c>
    </row>
    <row r="101" spans="1:8" ht="15" customHeight="1">
      <c r="A101" s="23"/>
      <c r="D101" s="54" t="s">
        <v>123</v>
      </c>
      <c r="E101" s="121" t="s">
        <v>268</v>
      </c>
      <c r="F101" s="121"/>
      <c r="G101" s="48">
        <v>13.870000000000001</v>
      </c>
      <c r="H101" s="46"/>
    </row>
    <row r="102" spans="1:8" ht="15" customHeight="1">
      <c r="A102" s="5" t="s">
        <v>136</v>
      </c>
      <c r="B102" s="17" t="s">
        <v>268</v>
      </c>
      <c r="C102" s="17" t="s">
        <v>109</v>
      </c>
      <c r="D102" s="77" t="s">
        <v>160</v>
      </c>
      <c r="E102" s="77"/>
      <c r="F102" s="17" t="s">
        <v>101</v>
      </c>
      <c r="G102" s="16">
        <v>42</v>
      </c>
      <c r="H102" s="31">
        <v>0</v>
      </c>
    </row>
    <row r="103" spans="1:8" ht="15" customHeight="1">
      <c r="A103" s="23"/>
      <c r="D103" s="54" t="s">
        <v>74</v>
      </c>
      <c r="E103" s="121" t="s">
        <v>268</v>
      </c>
      <c r="F103" s="121"/>
      <c r="G103" s="48">
        <v>42</v>
      </c>
      <c r="H103" s="46"/>
    </row>
    <row r="104" spans="1:8" ht="15" customHeight="1">
      <c r="A104" s="5" t="s">
        <v>179</v>
      </c>
      <c r="B104" s="17" t="s">
        <v>268</v>
      </c>
      <c r="C104" s="17" t="s">
        <v>352</v>
      </c>
      <c r="D104" s="77" t="s">
        <v>106</v>
      </c>
      <c r="E104" s="77"/>
      <c r="F104" s="17" t="s">
        <v>101</v>
      </c>
      <c r="G104" s="16">
        <v>6.000000000000001</v>
      </c>
      <c r="H104" s="31">
        <v>0</v>
      </c>
    </row>
    <row r="105" spans="1:8" ht="15" customHeight="1">
      <c r="A105" s="23"/>
      <c r="D105" s="54" t="s">
        <v>65</v>
      </c>
      <c r="E105" s="121" t="s">
        <v>268</v>
      </c>
      <c r="F105" s="121"/>
      <c r="G105" s="48">
        <v>6.000000000000001</v>
      </c>
      <c r="H105" s="46"/>
    </row>
    <row r="106" spans="1:8" ht="15" customHeight="1">
      <c r="A106" s="5" t="s">
        <v>143</v>
      </c>
      <c r="B106" s="17" t="s">
        <v>268</v>
      </c>
      <c r="C106" s="17" t="s">
        <v>317</v>
      </c>
      <c r="D106" s="77" t="s">
        <v>20</v>
      </c>
      <c r="E106" s="77"/>
      <c r="F106" s="17" t="s">
        <v>321</v>
      </c>
      <c r="G106" s="16">
        <v>12.000000000000002</v>
      </c>
      <c r="H106" s="31">
        <v>0</v>
      </c>
    </row>
    <row r="107" spans="1:8" ht="15" customHeight="1">
      <c r="A107" s="23"/>
      <c r="D107" s="54" t="s">
        <v>285</v>
      </c>
      <c r="E107" s="121" t="s">
        <v>268</v>
      </c>
      <c r="F107" s="121"/>
      <c r="G107" s="48">
        <v>12.000000000000002</v>
      </c>
      <c r="H107" s="46"/>
    </row>
    <row r="108" spans="1:8" ht="15" customHeight="1">
      <c r="A108" s="5" t="s">
        <v>315</v>
      </c>
      <c r="B108" s="17" t="s">
        <v>268</v>
      </c>
      <c r="C108" s="17" t="s">
        <v>158</v>
      </c>
      <c r="D108" s="77" t="s">
        <v>203</v>
      </c>
      <c r="E108" s="77"/>
      <c r="F108" s="17" t="s">
        <v>382</v>
      </c>
      <c r="G108" s="16">
        <v>132.82000000000002</v>
      </c>
      <c r="H108" s="31">
        <v>0</v>
      </c>
    </row>
    <row r="109" spans="1:8" ht="15" customHeight="1">
      <c r="A109" s="23"/>
      <c r="D109" s="54" t="s">
        <v>276</v>
      </c>
      <c r="E109" s="121" t="s">
        <v>268</v>
      </c>
      <c r="F109" s="121"/>
      <c r="G109" s="48">
        <v>132.82000000000002</v>
      </c>
      <c r="H109" s="46"/>
    </row>
    <row r="110" spans="1:8" ht="15" customHeight="1">
      <c r="A110" s="5" t="s">
        <v>404</v>
      </c>
      <c r="B110" s="17" t="s">
        <v>268</v>
      </c>
      <c r="C110" s="17" t="s">
        <v>420</v>
      </c>
      <c r="D110" s="77" t="s">
        <v>415</v>
      </c>
      <c r="E110" s="77"/>
      <c r="F110" s="17" t="s">
        <v>382</v>
      </c>
      <c r="G110" s="16">
        <v>146.10000000000002</v>
      </c>
      <c r="H110" s="31">
        <v>0</v>
      </c>
    </row>
    <row r="111" spans="1:8" ht="15" customHeight="1">
      <c r="A111" s="23"/>
      <c r="D111" s="54" t="s">
        <v>92</v>
      </c>
      <c r="E111" s="121" t="s">
        <v>268</v>
      </c>
      <c r="F111" s="121"/>
      <c r="G111" s="48">
        <v>146.10000000000002</v>
      </c>
      <c r="H111" s="46"/>
    </row>
    <row r="112" spans="1:8" ht="15" customHeight="1">
      <c r="A112" s="5" t="s">
        <v>27</v>
      </c>
      <c r="B112" s="17" t="s">
        <v>268</v>
      </c>
      <c r="C112" s="17" t="s">
        <v>9</v>
      </c>
      <c r="D112" s="77" t="s">
        <v>47</v>
      </c>
      <c r="E112" s="77"/>
      <c r="F112" s="17" t="s">
        <v>382</v>
      </c>
      <c r="G112" s="16">
        <v>132.82000000000002</v>
      </c>
      <c r="H112" s="31">
        <v>0</v>
      </c>
    </row>
    <row r="113" spans="1:8" ht="15" customHeight="1">
      <c r="A113" s="23"/>
      <c r="D113" s="54" t="s">
        <v>276</v>
      </c>
      <c r="E113" s="121" t="s">
        <v>268</v>
      </c>
      <c r="F113" s="121"/>
      <c r="G113" s="48">
        <v>132.82000000000002</v>
      </c>
      <c r="H113" s="46"/>
    </row>
    <row r="114" spans="1:8" ht="15" customHeight="1">
      <c r="A114" s="5" t="s">
        <v>301</v>
      </c>
      <c r="B114" s="17" t="s">
        <v>268</v>
      </c>
      <c r="C114" s="17" t="s">
        <v>231</v>
      </c>
      <c r="D114" s="77" t="s">
        <v>281</v>
      </c>
      <c r="E114" s="77"/>
      <c r="F114" s="17" t="s">
        <v>321</v>
      </c>
      <c r="G114" s="16">
        <v>74.34</v>
      </c>
      <c r="H114" s="31">
        <v>0</v>
      </c>
    </row>
    <row r="115" spans="1:8" ht="15" customHeight="1">
      <c r="A115" s="23"/>
      <c r="D115" s="54" t="s">
        <v>222</v>
      </c>
      <c r="E115" s="121" t="s">
        <v>268</v>
      </c>
      <c r="F115" s="121"/>
      <c r="G115" s="48">
        <v>40.1</v>
      </c>
      <c r="H115" s="46"/>
    </row>
    <row r="116" spans="1:8" ht="15" customHeight="1">
      <c r="A116" s="5" t="s">
        <v>268</v>
      </c>
      <c r="B116" s="17" t="s">
        <v>268</v>
      </c>
      <c r="C116" s="17" t="s">
        <v>268</v>
      </c>
      <c r="D116" s="54" t="s">
        <v>116</v>
      </c>
      <c r="E116" s="121" t="s">
        <v>268</v>
      </c>
      <c r="F116" s="121"/>
      <c r="G116" s="48">
        <v>34.24</v>
      </c>
      <c r="H116" s="4" t="s">
        <v>268</v>
      </c>
    </row>
    <row r="117" spans="1:8" ht="15" customHeight="1">
      <c r="A117" s="5" t="s">
        <v>319</v>
      </c>
      <c r="B117" s="17" t="s">
        <v>268</v>
      </c>
      <c r="C117" s="17" t="s">
        <v>333</v>
      </c>
      <c r="D117" s="77" t="s">
        <v>17</v>
      </c>
      <c r="E117" s="77"/>
      <c r="F117" s="17" t="s">
        <v>342</v>
      </c>
      <c r="G117" s="16">
        <v>2237</v>
      </c>
      <c r="H117" s="31">
        <v>0</v>
      </c>
    </row>
    <row r="118" spans="1:8" ht="15" customHeight="1">
      <c r="A118" s="23"/>
      <c r="D118" s="54" t="s">
        <v>102</v>
      </c>
      <c r="E118" s="121" t="s">
        <v>268</v>
      </c>
      <c r="F118" s="121"/>
      <c r="G118" s="48">
        <v>2237</v>
      </c>
      <c r="H118" s="46"/>
    </row>
    <row r="119" spans="1:8" ht="15" customHeight="1">
      <c r="A119" s="9" t="s">
        <v>268</v>
      </c>
      <c r="B119" s="13" t="s">
        <v>268</v>
      </c>
      <c r="C119" s="13" t="s">
        <v>224</v>
      </c>
      <c r="D119" s="116" t="s">
        <v>312</v>
      </c>
      <c r="E119" s="116"/>
      <c r="F119" s="13" t="s">
        <v>268</v>
      </c>
      <c r="G119" s="42" t="s">
        <v>268</v>
      </c>
      <c r="H119" s="8" t="s">
        <v>268</v>
      </c>
    </row>
    <row r="120" spans="1:8" ht="15" customHeight="1">
      <c r="A120" s="5" t="s">
        <v>174</v>
      </c>
      <c r="B120" s="17" t="s">
        <v>268</v>
      </c>
      <c r="C120" s="17" t="s">
        <v>98</v>
      </c>
      <c r="D120" s="77" t="s">
        <v>176</v>
      </c>
      <c r="E120" s="77"/>
      <c r="F120" s="17" t="s">
        <v>271</v>
      </c>
      <c r="G120" s="16">
        <v>10</v>
      </c>
      <c r="H120" s="31">
        <v>0</v>
      </c>
    </row>
    <row r="121" spans="1:8" ht="15" customHeight="1">
      <c r="A121" s="23"/>
      <c r="D121" s="54" t="s">
        <v>225</v>
      </c>
      <c r="E121" s="121" t="s">
        <v>268</v>
      </c>
      <c r="F121" s="121"/>
      <c r="G121" s="48">
        <v>10</v>
      </c>
      <c r="H121" s="46"/>
    </row>
    <row r="122" spans="1:8" ht="15" customHeight="1">
      <c r="A122" s="5" t="s">
        <v>171</v>
      </c>
      <c r="B122" s="17" t="s">
        <v>268</v>
      </c>
      <c r="C122" s="17" t="s">
        <v>194</v>
      </c>
      <c r="D122" s="77" t="s">
        <v>145</v>
      </c>
      <c r="E122" s="77"/>
      <c r="F122" s="17" t="s">
        <v>297</v>
      </c>
      <c r="G122" s="16">
        <v>2</v>
      </c>
      <c r="H122" s="31">
        <v>0</v>
      </c>
    </row>
    <row r="123" spans="1:8" ht="15" customHeight="1">
      <c r="A123" s="23"/>
      <c r="D123" s="54" t="s">
        <v>266</v>
      </c>
      <c r="E123" s="121" t="s">
        <v>268</v>
      </c>
      <c r="F123" s="121"/>
      <c r="G123" s="48">
        <v>2</v>
      </c>
      <c r="H123" s="46"/>
    </row>
    <row r="124" spans="1:8" ht="15" customHeight="1">
      <c r="A124" s="9" t="s">
        <v>268</v>
      </c>
      <c r="B124" s="13" t="s">
        <v>268</v>
      </c>
      <c r="C124" s="13" t="s">
        <v>217</v>
      </c>
      <c r="D124" s="116" t="s">
        <v>8</v>
      </c>
      <c r="E124" s="116"/>
      <c r="F124" s="13" t="s">
        <v>268</v>
      </c>
      <c r="G124" s="42" t="s">
        <v>268</v>
      </c>
      <c r="H124" s="8" t="s">
        <v>268</v>
      </c>
    </row>
    <row r="125" spans="1:8" ht="15" customHeight="1">
      <c r="A125" s="5" t="s">
        <v>191</v>
      </c>
      <c r="B125" s="17" t="s">
        <v>268</v>
      </c>
      <c r="C125" s="17" t="s">
        <v>296</v>
      </c>
      <c r="D125" s="77" t="s">
        <v>199</v>
      </c>
      <c r="E125" s="77"/>
      <c r="F125" s="17" t="s">
        <v>382</v>
      </c>
      <c r="G125" s="16">
        <v>42.03</v>
      </c>
      <c r="H125" s="31">
        <v>0</v>
      </c>
    </row>
    <row r="126" spans="1:8" ht="15" customHeight="1">
      <c r="A126" s="23"/>
      <c r="D126" s="54" t="s">
        <v>113</v>
      </c>
      <c r="E126" s="121" t="s">
        <v>268</v>
      </c>
      <c r="F126" s="121"/>
      <c r="G126" s="48">
        <v>17.68</v>
      </c>
      <c r="H126" s="46"/>
    </row>
    <row r="127" spans="1:8" ht="15" customHeight="1">
      <c r="A127" s="5" t="s">
        <v>268</v>
      </c>
      <c r="B127" s="17" t="s">
        <v>268</v>
      </c>
      <c r="C127" s="17" t="s">
        <v>268</v>
      </c>
      <c r="D127" s="54" t="s">
        <v>347</v>
      </c>
      <c r="E127" s="121" t="s">
        <v>268</v>
      </c>
      <c r="F127" s="121"/>
      <c r="G127" s="48">
        <v>24.35</v>
      </c>
      <c r="H127" s="4" t="s">
        <v>268</v>
      </c>
    </row>
    <row r="128" spans="1:8" ht="15" customHeight="1">
      <c r="A128" s="5" t="s">
        <v>361</v>
      </c>
      <c r="B128" s="17" t="s">
        <v>268</v>
      </c>
      <c r="C128" s="17" t="s">
        <v>193</v>
      </c>
      <c r="D128" s="77" t="s">
        <v>156</v>
      </c>
      <c r="E128" s="77"/>
      <c r="F128" s="17" t="s">
        <v>382</v>
      </c>
      <c r="G128" s="16">
        <v>18.3</v>
      </c>
      <c r="H128" s="31">
        <v>0</v>
      </c>
    </row>
    <row r="129" spans="1:8" ht="15" customHeight="1">
      <c r="A129" s="23"/>
      <c r="D129" s="54" t="s">
        <v>359</v>
      </c>
      <c r="E129" s="121" t="s">
        <v>268</v>
      </c>
      <c r="F129" s="121"/>
      <c r="G129" s="48">
        <v>18.3</v>
      </c>
      <c r="H129" s="46"/>
    </row>
    <row r="130" spans="1:8" ht="15" customHeight="1">
      <c r="A130" s="5" t="s">
        <v>256</v>
      </c>
      <c r="B130" s="17" t="s">
        <v>268</v>
      </c>
      <c r="C130" s="17" t="s">
        <v>322</v>
      </c>
      <c r="D130" s="77" t="s">
        <v>262</v>
      </c>
      <c r="E130" s="77"/>
      <c r="F130" s="17" t="s">
        <v>382</v>
      </c>
      <c r="G130" s="16">
        <v>71.21000000000001</v>
      </c>
      <c r="H130" s="31">
        <v>0</v>
      </c>
    </row>
    <row r="131" spans="1:8" ht="15" customHeight="1">
      <c r="A131" s="23"/>
      <c r="D131" s="54" t="s">
        <v>164</v>
      </c>
      <c r="E131" s="121" t="s">
        <v>268</v>
      </c>
      <c r="F131" s="121"/>
      <c r="G131" s="48">
        <v>57.510000000000005</v>
      </c>
      <c r="H131" s="46"/>
    </row>
    <row r="132" spans="1:8" ht="15" customHeight="1">
      <c r="A132" s="5" t="s">
        <v>268</v>
      </c>
      <c r="B132" s="17" t="s">
        <v>268</v>
      </c>
      <c r="C132" s="17" t="s">
        <v>268</v>
      </c>
      <c r="D132" s="54" t="s">
        <v>103</v>
      </c>
      <c r="E132" s="121" t="s">
        <v>268</v>
      </c>
      <c r="F132" s="121"/>
      <c r="G132" s="48">
        <v>13.700000000000001</v>
      </c>
      <c r="H132" s="4" t="s">
        <v>268</v>
      </c>
    </row>
    <row r="133" spans="1:8" ht="15" customHeight="1">
      <c r="A133" s="5" t="s">
        <v>244</v>
      </c>
      <c r="B133" s="17" t="s">
        <v>268</v>
      </c>
      <c r="C133" s="17" t="s">
        <v>425</v>
      </c>
      <c r="D133" s="77" t="s">
        <v>232</v>
      </c>
      <c r="E133" s="77"/>
      <c r="F133" s="17" t="s">
        <v>382</v>
      </c>
      <c r="G133" s="16">
        <v>71.21000000000001</v>
      </c>
      <c r="H133" s="31">
        <v>0</v>
      </c>
    </row>
    <row r="134" spans="1:8" ht="15" customHeight="1">
      <c r="A134" s="23"/>
      <c r="D134" s="54" t="s">
        <v>122</v>
      </c>
      <c r="E134" s="121" t="s">
        <v>268</v>
      </c>
      <c r="F134" s="121"/>
      <c r="G134" s="48">
        <v>71.21000000000001</v>
      </c>
      <c r="H134" s="46"/>
    </row>
    <row r="135" spans="1:8" ht="15" customHeight="1">
      <c r="A135" s="9" t="s">
        <v>268</v>
      </c>
      <c r="B135" s="13" t="s">
        <v>268</v>
      </c>
      <c r="C135" s="13" t="s">
        <v>159</v>
      </c>
      <c r="D135" s="116" t="s">
        <v>289</v>
      </c>
      <c r="E135" s="116"/>
      <c r="F135" s="13" t="s">
        <v>268</v>
      </c>
      <c r="G135" s="42" t="s">
        <v>268</v>
      </c>
      <c r="H135" s="8" t="s">
        <v>268</v>
      </c>
    </row>
    <row r="136" spans="1:8" ht="15" customHeight="1">
      <c r="A136" s="5" t="s">
        <v>369</v>
      </c>
      <c r="B136" s="17" t="s">
        <v>268</v>
      </c>
      <c r="C136" s="17" t="s">
        <v>345</v>
      </c>
      <c r="D136" s="77" t="s">
        <v>169</v>
      </c>
      <c r="E136" s="77"/>
      <c r="F136" s="17" t="s">
        <v>382</v>
      </c>
      <c r="G136" s="16">
        <v>66.4</v>
      </c>
      <c r="H136" s="31">
        <v>0</v>
      </c>
    </row>
    <row r="137" spans="1:8" ht="15" customHeight="1">
      <c r="A137" s="23"/>
      <c r="D137" s="54" t="s">
        <v>211</v>
      </c>
      <c r="E137" s="121" t="s">
        <v>268</v>
      </c>
      <c r="F137" s="121"/>
      <c r="G137" s="48">
        <v>66.4</v>
      </c>
      <c r="H137" s="46"/>
    </row>
    <row r="138" spans="1:8" ht="15" customHeight="1">
      <c r="A138" s="9" t="s">
        <v>268</v>
      </c>
      <c r="B138" s="13" t="s">
        <v>268</v>
      </c>
      <c r="C138" s="13" t="s">
        <v>218</v>
      </c>
      <c r="D138" s="116" t="s">
        <v>351</v>
      </c>
      <c r="E138" s="116"/>
      <c r="F138" s="13" t="s">
        <v>268</v>
      </c>
      <c r="G138" s="42" t="s">
        <v>268</v>
      </c>
      <c r="H138" s="8" t="s">
        <v>268</v>
      </c>
    </row>
    <row r="139" spans="1:8" ht="15" customHeight="1">
      <c r="A139" s="5" t="s">
        <v>226</v>
      </c>
      <c r="B139" s="17" t="s">
        <v>268</v>
      </c>
      <c r="C139" s="17" t="s">
        <v>121</v>
      </c>
      <c r="D139" s="77" t="s">
        <v>402</v>
      </c>
      <c r="E139" s="77"/>
      <c r="F139" s="17" t="s">
        <v>101</v>
      </c>
      <c r="G139" s="16">
        <v>6.000000000000001</v>
      </c>
      <c r="H139" s="31">
        <v>0</v>
      </c>
    </row>
    <row r="140" spans="1:8" ht="15" customHeight="1">
      <c r="A140" s="23"/>
      <c r="D140" s="54" t="s">
        <v>65</v>
      </c>
      <c r="E140" s="121" t="s">
        <v>268</v>
      </c>
      <c r="F140" s="121"/>
      <c r="G140" s="48">
        <v>6.000000000000001</v>
      </c>
      <c r="H140" s="46"/>
    </row>
    <row r="141" spans="1:8" ht="15" customHeight="1">
      <c r="A141" s="5" t="s">
        <v>185</v>
      </c>
      <c r="B141" s="17" t="s">
        <v>268</v>
      </c>
      <c r="C141" s="17" t="s">
        <v>30</v>
      </c>
      <c r="D141" s="77" t="s">
        <v>428</v>
      </c>
      <c r="E141" s="77"/>
      <c r="F141" s="17" t="s">
        <v>141</v>
      </c>
      <c r="G141" s="16">
        <v>6.000000000000001</v>
      </c>
      <c r="H141" s="31">
        <v>0</v>
      </c>
    </row>
    <row r="142" spans="1:8" ht="15" customHeight="1">
      <c r="A142" s="23"/>
      <c r="D142" s="54" t="s">
        <v>65</v>
      </c>
      <c r="E142" s="121" t="s">
        <v>268</v>
      </c>
      <c r="F142" s="121"/>
      <c r="G142" s="48">
        <v>6.000000000000001</v>
      </c>
      <c r="H142" s="46"/>
    </row>
    <row r="143" spans="1:8" ht="15" customHeight="1">
      <c r="A143" s="5" t="s">
        <v>50</v>
      </c>
      <c r="B143" s="17" t="s">
        <v>268</v>
      </c>
      <c r="C143" s="17" t="s">
        <v>189</v>
      </c>
      <c r="D143" s="77" t="s">
        <v>335</v>
      </c>
      <c r="E143" s="77"/>
      <c r="F143" s="17" t="s">
        <v>101</v>
      </c>
      <c r="G143" s="16">
        <v>1</v>
      </c>
      <c r="H143" s="31">
        <v>0</v>
      </c>
    </row>
    <row r="144" spans="1:8" ht="15" customHeight="1">
      <c r="A144" s="23"/>
      <c r="D144" s="54" t="s">
        <v>388</v>
      </c>
      <c r="E144" s="121" t="s">
        <v>268</v>
      </c>
      <c r="F144" s="121"/>
      <c r="G144" s="48">
        <v>1</v>
      </c>
      <c r="H144" s="46"/>
    </row>
    <row r="145" spans="1:8" ht="15" customHeight="1">
      <c r="A145" s="5" t="s">
        <v>282</v>
      </c>
      <c r="B145" s="17" t="s">
        <v>268</v>
      </c>
      <c r="C145" s="17" t="s">
        <v>272</v>
      </c>
      <c r="D145" s="77" t="s">
        <v>299</v>
      </c>
      <c r="E145" s="77"/>
      <c r="F145" s="17" t="s">
        <v>271</v>
      </c>
      <c r="G145" s="16">
        <v>2</v>
      </c>
      <c r="H145" s="31">
        <v>0</v>
      </c>
    </row>
    <row r="146" spans="1:8" ht="15" customHeight="1">
      <c r="A146" s="23"/>
      <c r="D146" s="54" t="s">
        <v>266</v>
      </c>
      <c r="E146" s="121" t="s">
        <v>268</v>
      </c>
      <c r="F146" s="121"/>
      <c r="G146" s="48">
        <v>2</v>
      </c>
      <c r="H146" s="46"/>
    </row>
    <row r="147" spans="1:8" ht="15" customHeight="1">
      <c r="A147" s="5" t="s">
        <v>430</v>
      </c>
      <c r="B147" s="17" t="s">
        <v>268</v>
      </c>
      <c r="C147" s="17" t="s">
        <v>130</v>
      </c>
      <c r="D147" s="77" t="s">
        <v>82</v>
      </c>
      <c r="E147" s="77"/>
      <c r="F147" s="17" t="s">
        <v>101</v>
      </c>
      <c r="G147" s="16">
        <v>6.000000000000001</v>
      </c>
      <c r="H147" s="31">
        <v>0</v>
      </c>
    </row>
    <row r="148" spans="1:8" ht="15" customHeight="1">
      <c r="A148" s="23"/>
      <c r="D148" s="54" t="s">
        <v>65</v>
      </c>
      <c r="E148" s="121" t="s">
        <v>268</v>
      </c>
      <c r="F148" s="121"/>
      <c r="G148" s="48">
        <v>6.000000000000001</v>
      </c>
      <c r="H148" s="46"/>
    </row>
    <row r="149" spans="1:8" ht="15" customHeight="1">
      <c r="A149" s="5" t="s">
        <v>95</v>
      </c>
      <c r="B149" s="17" t="s">
        <v>268</v>
      </c>
      <c r="C149" s="17" t="s">
        <v>241</v>
      </c>
      <c r="D149" s="77" t="s">
        <v>367</v>
      </c>
      <c r="E149" s="77"/>
      <c r="F149" s="17" t="s">
        <v>141</v>
      </c>
      <c r="G149" s="16">
        <v>4</v>
      </c>
      <c r="H149" s="31">
        <v>0</v>
      </c>
    </row>
    <row r="150" spans="1:8" ht="15" customHeight="1">
      <c r="A150" s="23"/>
      <c r="D150" s="54" t="s">
        <v>48</v>
      </c>
      <c r="E150" s="121" t="s">
        <v>268</v>
      </c>
      <c r="F150" s="121"/>
      <c r="G150" s="48">
        <v>4</v>
      </c>
      <c r="H150" s="46"/>
    </row>
    <row r="151" spans="1:8" ht="15" customHeight="1">
      <c r="A151" s="5" t="s">
        <v>196</v>
      </c>
      <c r="B151" s="17" t="s">
        <v>268</v>
      </c>
      <c r="C151" s="17" t="s">
        <v>13</v>
      </c>
      <c r="D151" s="77" t="s">
        <v>52</v>
      </c>
      <c r="E151" s="77"/>
      <c r="F151" s="17" t="s">
        <v>141</v>
      </c>
      <c r="G151" s="16">
        <v>8</v>
      </c>
      <c r="H151" s="31">
        <v>0</v>
      </c>
    </row>
    <row r="152" spans="1:8" ht="15" customHeight="1">
      <c r="A152" s="23"/>
      <c r="D152" s="54" t="s">
        <v>310</v>
      </c>
      <c r="E152" s="121" t="s">
        <v>268</v>
      </c>
      <c r="F152" s="121"/>
      <c r="G152" s="48">
        <v>8</v>
      </c>
      <c r="H152" s="46"/>
    </row>
    <row r="153" spans="1:8" ht="15" customHeight="1">
      <c r="A153" s="5" t="s">
        <v>426</v>
      </c>
      <c r="B153" s="17" t="s">
        <v>268</v>
      </c>
      <c r="C153" s="17" t="s">
        <v>168</v>
      </c>
      <c r="D153" s="77" t="s">
        <v>91</v>
      </c>
      <c r="E153" s="77"/>
      <c r="F153" s="17" t="s">
        <v>101</v>
      </c>
      <c r="G153" s="16">
        <v>8</v>
      </c>
      <c r="H153" s="31">
        <v>0</v>
      </c>
    </row>
    <row r="154" spans="1:8" ht="15" customHeight="1">
      <c r="A154" s="23"/>
      <c r="D154" s="54" t="s">
        <v>310</v>
      </c>
      <c r="E154" s="121" t="s">
        <v>268</v>
      </c>
      <c r="F154" s="121"/>
      <c r="G154" s="48">
        <v>8</v>
      </c>
      <c r="H154" s="46"/>
    </row>
    <row r="155" spans="1:8" ht="15" customHeight="1">
      <c r="A155" s="5" t="s">
        <v>409</v>
      </c>
      <c r="B155" s="17" t="s">
        <v>268</v>
      </c>
      <c r="C155" s="17" t="s">
        <v>212</v>
      </c>
      <c r="D155" s="77" t="s">
        <v>81</v>
      </c>
      <c r="E155" s="77"/>
      <c r="F155" s="17" t="s">
        <v>141</v>
      </c>
      <c r="G155" s="16">
        <v>8</v>
      </c>
      <c r="H155" s="31">
        <v>0</v>
      </c>
    </row>
    <row r="156" spans="1:8" ht="15" customHeight="1">
      <c r="A156" s="23"/>
      <c r="D156" s="54" t="s">
        <v>310</v>
      </c>
      <c r="E156" s="121" t="s">
        <v>268</v>
      </c>
      <c r="F156" s="121"/>
      <c r="G156" s="48">
        <v>8</v>
      </c>
      <c r="H156" s="46"/>
    </row>
    <row r="157" spans="1:8" ht="15" customHeight="1">
      <c r="A157" s="5" t="s">
        <v>7</v>
      </c>
      <c r="B157" s="17" t="s">
        <v>268</v>
      </c>
      <c r="C157" s="17" t="s">
        <v>114</v>
      </c>
      <c r="D157" s="77" t="s">
        <v>240</v>
      </c>
      <c r="E157" s="77"/>
      <c r="F157" s="17" t="s">
        <v>271</v>
      </c>
      <c r="G157" s="16">
        <v>9</v>
      </c>
      <c r="H157" s="31">
        <v>0</v>
      </c>
    </row>
    <row r="158" spans="1:8" ht="15" customHeight="1">
      <c r="A158" s="23"/>
      <c r="D158" s="54" t="s">
        <v>42</v>
      </c>
      <c r="E158" s="121" t="s">
        <v>268</v>
      </c>
      <c r="F158" s="121"/>
      <c r="G158" s="48">
        <v>9</v>
      </c>
      <c r="H158" s="46"/>
    </row>
    <row r="159" spans="1:8" ht="15" customHeight="1">
      <c r="A159" s="5" t="s">
        <v>68</v>
      </c>
      <c r="B159" s="17" t="s">
        <v>268</v>
      </c>
      <c r="C159" s="17" t="s">
        <v>283</v>
      </c>
      <c r="D159" s="77" t="s">
        <v>213</v>
      </c>
      <c r="E159" s="77"/>
      <c r="F159" s="17" t="s">
        <v>382</v>
      </c>
      <c r="G159" s="16">
        <v>132.82000000000002</v>
      </c>
      <c r="H159" s="31">
        <v>0</v>
      </c>
    </row>
    <row r="160" spans="1:8" ht="15" customHeight="1">
      <c r="A160" s="23"/>
      <c r="D160" s="54" t="s">
        <v>432</v>
      </c>
      <c r="E160" s="121" t="s">
        <v>268</v>
      </c>
      <c r="F160" s="121"/>
      <c r="G160" s="48">
        <v>47.410000000000004</v>
      </c>
      <c r="H160" s="46"/>
    </row>
    <row r="161" spans="1:8" ht="15" customHeight="1">
      <c r="A161" s="5" t="s">
        <v>268</v>
      </c>
      <c r="B161" s="17" t="s">
        <v>268</v>
      </c>
      <c r="C161" s="17" t="s">
        <v>268</v>
      </c>
      <c r="D161" s="54" t="s">
        <v>79</v>
      </c>
      <c r="E161" s="121" t="s">
        <v>268</v>
      </c>
      <c r="F161" s="121"/>
      <c r="G161" s="48">
        <v>47.50000000000001</v>
      </c>
      <c r="H161" s="4" t="s">
        <v>268</v>
      </c>
    </row>
    <row r="162" spans="1:8" ht="15" customHeight="1">
      <c r="A162" s="5" t="s">
        <v>268</v>
      </c>
      <c r="B162" s="17" t="s">
        <v>268</v>
      </c>
      <c r="C162" s="17" t="s">
        <v>268</v>
      </c>
      <c r="D162" s="54" t="s">
        <v>67</v>
      </c>
      <c r="E162" s="121" t="s">
        <v>268</v>
      </c>
      <c r="F162" s="121"/>
      <c r="G162" s="48">
        <v>37.910000000000004</v>
      </c>
      <c r="H162" s="4" t="s">
        <v>268</v>
      </c>
    </row>
    <row r="163" spans="1:8" ht="15" customHeight="1">
      <c r="A163" s="5" t="s">
        <v>87</v>
      </c>
      <c r="B163" s="17" t="s">
        <v>268</v>
      </c>
      <c r="C163" s="17" t="s">
        <v>38</v>
      </c>
      <c r="D163" s="77" t="s">
        <v>1</v>
      </c>
      <c r="E163" s="77"/>
      <c r="F163" s="17" t="s">
        <v>297</v>
      </c>
      <c r="G163" s="16">
        <v>1</v>
      </c>
      <c r="H163" s="31">
        <v>0</v>
      </c>
    </row>
    <row r="164" spans="1:8" ht="15" customHeight="1">
      <c r="A164" s="23"/>
      <c r="D164" s="54" t="s">
        <v>388</v>
      </c>
      <c r="E164" s="121" t="s">
        <v>268</v>
      </c>
      <c r="F164" s="121"/>
      <c r="G164" s="48">
        <v>1</v>
      </c>
      <c r="H164" s="46"/>
    </row>
    <row r="165" spans="1:8" ht="15" customHeight="1">
      <c r="A165" s="5" t="s">
        <v>308</v>
      </c>
      <c r="B165" s="17" t="s">
        <v>268</v>
      </c>
      <c r="C165" s="17" t="s">
        <v>274</v>
      </c>
      <c r="D165" s="77" t="s">
        <v>85</v>
      </c>
      <c r="E165" s="77"/>
      <c r="F165" s="17" t="s">
        <v>382</v>
      </c>
      <c r="G165" s="16">
        <v>14.350000000000001</v>
      </c>
      <c r="H165" s="31">
        <v>0</v>
      </c>
    </row>
    <row r="166" spans="1:8" ht="15" customHeight="1">
      <c r="A166" s="23"/>
      <c r="D166" s="54" t="s">
        <v>90</v>
      </c>
      <c r="E166" s="121" t="s">
        <v>268</v>
      </c>
      <c r="F166" s="121"/>
      <c r="G166" s="48">
        <v>14.350000000000001</v>
      </c>
      <c r="H166" s="46"/>
    </row>
    <row r="167" spans="1:8" ht="15" customHeight="1">
      <c r="A167" s="5" t="s">
        <v>34</v>
      </c>
      <c r="B167" s="17" t="s">
        <v>268</v>
      </c>
      <c r="C167" s="17" t="s">
        <v>292</v>
      </c>
      <c r="D167" s="77" t="s">
        <v>3</v>
      </c>
      <c r="E167" s="77"/>
      <c r="F167" s="17" t="s">
        <v>101</v>
      </c>
      <c r="G167" s="16">
        <v>6.000000000000001</v>
      </c>
      <c r="H167" s="31">
        <v>0</v>
      </c>
    </row>
    <row r="168" spans="1:8" ht="15" customHeight="1">
      <c r="A168" s="23"/>
      <c r="D168" s="54" t="s">
        <v>65</v>
      </c>
      <c r="E168" s="121" t="s">
        <v>268</v>
      </c>
      <c r="F168" s="121"/>
      <c r="G168" s="48">
        <v>6.000000000000001</v>
      </c>
      <c r="H168" s="46"/>
    </row>
    <row r="169" spans="1:8" ht="15" customHeight="1">
      <c r="A169" s="5" t="s">
        <v>302</v>
      </c>
      <c r="B169" s="17" t="s">
        <v>268</v>
      </c>
      <c r="C169" s="17" t="s">
        <v>251</v>
      </c>
      <c r="D169" s="77" t="s">
        <v>328</v>
      </c>
      <c r="E169" s="77"/>
      <c r="F169" s="17" t="s">
        <v>376</v>
      </c>
      <c r="G169" s="16">
        <v>1</v>
      </c>
      <c r="H169" s="31">
        <v>0</v>
      </c>
    </row>
    <row r="170" spans="1:8" ht="15" customHeight="1">
      <c r="A170" s="23"/>
      <c r="D170" s="54" t="s">
        <v>173</v>
      </c>
      <c r="E170" s="121" t="s">
        <v>268</v>
      </c>
      <c r="F170" s="121"/>
      <c r="G170" s="48">
        <v>1</v>
      </c>
      <c r="H170" s="46"/>
    </row>
    <row r="171" spans="1:8" ht="15" customHeight="1">
      <c r="A171" s="9" t="s">
        <v>268</v>
      </c>
      <c r="B171" s="13" t="s">
        <v>268</v>
      </c>
      <c r="C171" s="13" t="s">
        <v>62</v>
      </c>
      <c r="D171" s="116" t="s">
        <v>294</v>
      </c>
      <c r="E171" s="116"/>
      <c r="F171" s="13" t="s">
        <v>268</v>
      </c>
      <c r="G171" s="42" t="s">
        <v>268</v>
      </c>
      <c r="H171" s="8" t="s">
        <v>268</v>
      </c>
    </row>
    <row r="172" spans="1:8" ht="15" customHeight="1">
      <c r="A172" s="5" t="s">
        <v>239</v>
      </c>
      <c r="B172" s="17" t="s">
        <v>268</v>
      </c>
      <c r="C172" s="17" t="s">
        <v>341</v>
      </c>
      <c r="D172" s="77" t="s">
        <v>206</v>
      </c>
      <c r="E172" s="77"/>
      <c r="F172" s="17" t="s">
        <v>297</v>
      </c>
      <c r="G172" s="16">
        <v>1</v>
      </c>
      <c r="H172" s="31">
        <v>0</v>
      </c>
    </row>
    <row r="173" spans="1:8" ht="15" customHeight="1">
      <c r="A173" s="23"/>
      <c r="D173" s="54" t="s">
        <v>388</v>
      </c>
      <c r="E173" s="121" t="s">
        <v>268</v>
      </c>
      <c r="F173" s="121"/>
      <c r="G173" s="48">
        <v>1</v>
      </c>
      <c r="H173" s="46"/>
    </row>
    <row r="174" spans="1:8" ht="15" customHeight="1">
      <c r="A174" s="5" t="s">
        <v>393</v>
      </c>
      <c r="B174" s="17" t="s">
        <v>268</v>
      </c>
      <c r="C174" s="17" t="s">
        <v>155</v>
      </c>
      <c r="D174" s="77" t="s">
        <v>339</v>
      </c>
      <c r="E174" s="77"/>
      <c r="F174" s="17" t="s">
        <v>297</v>
      </c>
      <c r="G174" s="16">
        <v>1</v>
      </c>
      <c r="H174" s="31">
        <v>0</v>
      </c>
    </row>
    <row r="175" spans="1:8" ht="15" customHeight="1">
      <c r="A175" s="23"/>
      <c r="D175" s="54" t="s">
        <v>388</v>
      </c>
      <c r="E175" s="121" t="s">
        <v>268</v>
      </c>
      <c r="F175" s="121"/>
      <c r="G175" s="48">
        <v>1</v>
      </c>
      <c r="H175" s="46"/>
    </row>
    <row r="176" spans="1:8" ht="15" customHeight="1">
      <c r="A176" s="5" t="s">
        <v>360</v>
      </c>
      <c r="B176" s="17" t="s">
        <v>268</v>
      </c>
      <c r="C176" s="17" t="s">
        <v>55</v>
      </c>
      <c r="D176" s="77" t="s">
        <v>70</v>
      </c>
      <c r="E176" s="77"/>
      <c r="F176" s="17" t="s">
        <v>321</v>
      </c>
      <c r="G176" s="16">
        <v>2</v>
      </c>
      <c r="H176" s="31">
        <v>0</v>
      </c>
    </row>
    <row r="177" spans="1:8" ht="15" customHeight="1">
      <c r="A177" s="23"/>
      <c r="D177" s="54" t="s">
        <v>266</v>
      </c>
      <c r="E177" s="121" t="s">
        <v>268</v>
      </c>
      <c r="F177" s="121"/>
      <c r="G177" s="48">
        <v>2</v>
      </c>
      <c r="H177" s="46"/>
    </row>
    <row r="178" spans="1:8" ht="15" customHeight="1">
      <c r="A178" s="5" t="s">
        <v>261</v>
      </c>
      <c r="B178" s="17" t="s">
        <v>268</v>
      </c>
      <c r="C178" s="17" t="s">
        <v>4</v>
      </c>
      <c r="D178" s="77" t="s">
        <v>80</v>
      </c>
      <c r="E178" s="77"/>
      <c r="F178" s="17" t="s">
        <v>297</v>
      </c>
      <c r="G178" s="16">
        <v>1</v>
      </c>
      <c r="H178" s="31">
        <v>0</v>
      </c>
    </row>
    <row r="179" spans="1:8" ht="15" customHeight="1">
      <c r="A179" s="23"/>
      <c r="D179" s="54" t="s">
        <v>388</v>
      </c>
      <c r="E179" s="121" t="s">
        <v>268</v>
      </c>
      <c r="F179" s="121"/>
      <c r="G179" s="48">
        <v>1</v>
      </c>
      <c r="H179" s="46"/>
    </row>
    <row r="180" spans="1:8" ht="15" customHeight="1">
      <c r="A180" s="9" t="s">
        <v>268</v>
      </c>
      <c r="B180" s="13" t="s">
        <v>268</v>
      </c>
      <c r="C180" s="13" t="s">
        <v>349</v>
      </c>
      <c r="D180" s="116" t="s">
        <v>115</v>
      </c>
      <c r="E180" s="116"/>
      <c r="F180" s="13" t="s">
        <v>268</v>
      </c>
      <c r="G180" s="42" t="s">
        <v>268</v>
      </c>
      <c r="H180" s="8" t="s">
        <v>268</v>
      </c>
    </row>
    <row r="181" spans="1:8" ht="15" customHeight="1">
      <c r="A181" s="5" t="s">
        <v>201</v>
      </c>
      <c r="B181" s="17" t="s">
        <v>268</v>
      </c>
      <c r="C181" s="17" t="s">
        <v>56</v>
      </c>
      <c r="D181" s="77" t="s">
        <v>411</v>
      </c>
      <c r="E181" s="77"/>
      <c r="F181" s="17" t="s">
        <v>297</v>
      </c>
      <c r="G181" s="16">
        <v>1</v>
      </c>
      <c r="H181" s="31">
        <v>0</v>
      </c>
    </row>
    <row r="182" spans="1:8" ht="15" customHeight="1">
      <c r="A182" s="23"/>
      <c r="D182" s="54" t="s">
        <v>388</v>
      </c>
      <c r="E182" s="121" t="s">
        <v>268</v>
      </c>
      <c r="F182" s="121"/>
      <c r="G182" s="48">
        <v>1</v>
      </c>
      <c r="H182" s="46"/>
    </row>
    <row r="183" spans="1:8" ht="15" customHeight="1">
      <c r="A183" s="9" t="s">
        <v>268</v>
      </c>
      <c r="B183" s="13" t="s">
        <v>268</v>
      </c>
      <c r="C183" s="13" t="s">
        <v>134</v>
      </c>
      <c r="D183" s="116" t="s">
        <v>175</v>
      </c>
      <c r="E183" s="116"/>
      <c r="F183" s="13" t="s">
        <v>268</v>
      </c>
      <c r="G183" s="42" t="s">
        <v>268</v>
      </c>
      <c r="H183" s="8" t="s">
        <v>268</v>
      </c>
    </row>
    <row r="184" spans="1:8" ht="15" customHeight="1">
      <c r="A184" s="5" t="s">
        <v>93</v>
      </c>
      <c r="B184" s="17" t="s">
        <v>268</v>
      </c>
      <c r="C184" s="17" t="s">
        <v>398</v>
      </c>
      <c r="D184" s="77" t="s">
        <v>107</v>
      </c>
      <c r="E184" s="77"/>
      <c r="F184" s="17" t="s">
        <v>188</v>
      </c>
      <c r="G184" s="16">
        <v>49.50000000000001</v>
      </c>
      <c r="H184" s="31">
        <v>0</v>
      </c>
    </row>
    <row r="185" spans="1:8" ht="15" customHeight="1">
      <c r="A185" s="23"/>
      <c r="D185" s="54" t="s">
        <v>303</v>
      </c>
      <c r="E185" s="121" t="s">
        <v>268</v>
      </c>
      <c r="F185" s="121"/>
      <c r="G185" s="48">
        <v>49.50000000000001</v>
      </c>
      <c r="H185" s="46"/>
    </row>
    <row r="186" spans="1:8" ht="15" customHeight="1">
      <c r="A186" s="5" t="s">
        <v>33</v>
      </c>
      <c r="B186" s="17" t="s">
        <v>268</v>
      </c>
      <c r="C186" s="17" t="s">
        <v>305</v>
      </c>
      <c r="D186" s="77" t="s">
        <v>277</v>
      </c>
      <c r="E186" s="77"/>
      <c r="F186" s="17" t="s">
        <v>188</v>
      </c>
      <c r="G186" s="16">
        <v>24.750000000000004</v>
      </c>
      <c r="H186" s="31">
        <v>0</v>
      </c>
    </row>
    <row r="187" spans="1:8" ht="15" customHeight="1">
      <c r="A187" s="23"/>
      <c r="D187" s="54" t="s">
        <v>324</v>
      </c>
      <c r="E187" s="121" t="s">
        <v>268</v>
      </c>
      <c r="F187" s="121"/>
      <c r="G187" s="48">
        <v>24.750000000000004</v>
      </c>
      <c r="H187" s="46"/>
    </row>
    <row r="188" spans="1:8" ht="15" customHeight="1">
      <c r="A188" s="5" t="s">
        <v>381</v>
      </c>
      <c r="B188" s="17" t="s">
        <v>268</v>
      </c>
      <c r="C188" s="17" t="s">
        <v>278</v>
      </c>
      <c r="D188" s="77" t="s">
        <v>287</v>
      </c>
      <c r="E188" s="77"/>
      <c r="F188" s="17" t="s">
        <v>188</v>
      </c>
      <c r="G188" s="16">
        <v>24.750000000000004</v>
      </c>
      <c r="H188" s="31">
        <v>0</v>
      </c>
    </row>
    <row r="189" spans="1:8" ht="15" customHeight="1">
      <c r="A189" s="23"/>
      <c r="D189" s="54" t="s">
        <v>112</v>
      </c>
      <c r="E189" s="121" t="s">
        <v>268</v>
      </c>
      <c r="F189" s="121"/>
      <c r="G189" s="48">
        <v>24.750000000000004</v>
      </c>
      <c r="H189" s="46"/>
    </row>
    <row r="190" spans="1:8" ht="15" customHeight="1">
      <c r="A190" s="5" t="s">
        <v>69</v>
      </c>
      <c r="B190" s="17" t="s">
        <v>268</v>
      </c>
      <c r="C190" s="17" t="s">
        <v>255</v>
      </c>
      <c r="D190" s="77" t="s">
        <v>180</v>
      </c>
      <c r="E190" s="77"/>
      <c r="F190" s="17" t="s">
        <v>188</v>
      </c>
      <c r="G190" s="16">
        <v>396.00000000000006</v>
      </c>
      <c r="H190" s="31">
        <v>0</v>
      </c>
    </row>
    <row r="191" spans="1:8" ht="15" customHeight="1">
      <c r="A191" s="23"/>
      <c r="D191" s="54" t="s">
        <v>22</v>
      </c>
      <c r="E191" s="121" t="s">
        <v>268</v>
      </c>
      <c r="F191" s="121"/>
      <c r="G191" s="48">
        <v>396.00000000000006</v>
      </c>
      <c r="H191" s="46"/>
    </row>
    <row r="192" spans="1:8" ht="15" customHeight="1">
      <c r="A192" s="5" t="s">
        <v>75</v>
      </c>
      <c r="B192" s="17" t="s">
        <v>268</v>
      </c>
      <c r="C192" s="17" t="s">
        <v>84</v>
      </c>
      <c r="D192" s="77" t="s">
        <v>86</v>
      </c>
      <c r="E192" s="77"/>
      <c r="F192" s="17" t="s">
        <v>188</v>
      </c>
      <c r="G192" s="16">
        <v>24.750000000000004</v>
      </c>
      <c r="H192" s="31">
        <v>0</v>
      </c>
    </row>
    <row r="193" spans="1:8" ht="15" customHeight="1">
      <c r="A193" s="62"/>
      <c r="B193" s="65"/>
      <c r="C193" s="65"/>
      <c r="D193" s="35" t="s">
        <v>324</v>
      </c>
      <c r="E193" s="122" t="s">
        <v>268</v>
      </c>
      <c r="F193" s="122"/>
      <c r="G193" s="19">
        <v>24.750000000000004</v>
      </c>
      <c r="H193" s="55"/>
    </row>
    <row r="195" ht="15" customHeight="1">
      <c r="A195" s="12" t="s">
        <v>31</v>
      </c>
    </row>
    <row r="196" spans="1:7" ht="12.75" customHeight="1">
      <c r="A196" s="76" t="s">
        <v>268</v>
      </c>
      <c r="B196" s="77"/>
      <c r="C196" s="77"/>
      <c r="D196" s="77"/>
      <c r="E196" s="77"/>
      <c r="F196" s="77"/>
      <c r="G196" s="77"/>
    </row>
  </sheetData>
  <sheetProtection/>
  <mergeCells count="202">
    <mergeCell ref="A1:H1"/>
    <mergeCell ref="A2:B3"/>
    <mergeCell ref="A4:B5"/>
    <mergeCell ref="A6:B7"/>
    <mergeCell ref="A8:B9"/>
    <mergeCell ref="E2:E3"/>
    <mergeCell ref="E4:E5"/>
    <mergeCell ref="E6:E7"/>
    <mergeCell ref="E8:E9"/>
    <mergeCell ref="C2:D3"/>
    <mergeCell ref="C4:D5"/>
    <mergeCell ref="C6:D7"/>
    <mergeCell ref="C8:D9"/>
    <mergeCell ref="F2:H3"/>
    <mergeCell ref="F4:H5"/>
    <mergeCell ref="F6:H7"/>
    <mergeCell ref="F8:H9"/>
    <mergeCell ref="D10:E10"/>
    <mergeCell ref="D11:E11"/>
    <mergeCell ref="D12:E12"/>
    <mergeCell ref="E13:F13"/>
    <mergeCell ref="D14:E14"/>
    <mergeCell ref="E15:F15"/>
    <mergeCell ref="D16:E16"/>
    <mergeCell ref="E17:F17"/>
    <mergeCell ref="D18:E18"/>
    <mergeCell ref="D19:E19"/>
    <mergeCell ref="E20:F20"/>
    <mergeCell ref="D21:E21"/>
    <mergeCell ref="E22:F22"/>
    <mergeCell ref="D23:E23"/>
    <mergeCell ref="E24:F24"/>
    <mergeCell ref="D25:E25"/>
    <mergeCell ref="E26:F26"/>
    <mergeCell ref="D27:E27"/>
    <mergeCell ref="E28:F28"/>
    <mergeCell ref="D29:E29"/>
    <mergeCell ref="E30:F30"/>
    <mergeCell ref="D31:E31"/>
    <mergeCell ref="E32:F32"/>
    <mergeCell ref="D33:E33"/>
    <mergeCell ref="E34:F34"/>
    <mergeCell ref="D35:E35"/>
    <mergeCell ref="E36:F36"/>
    <mergeCell ref="D37:E37"/>
    <mergeCell ref="E38:F38"/>
    <mergeCell ref="D39:E39"/>
    <mergeCell ref="E40:F40"/>
    <mergeCell ref="D41:E41"/>
    <mergeCell ref="E42:F42"/>
    <mergeCell ref="D43:E43"/>
    <mergeCell ref="E44:F44"/>
    <mergeCell ref="D45:E45"/>
    <mergeCell ref="E46:F46"/>
    <mergeCell ref="D47:E47"/>
    <mergeCell ref="D48:E48"/>
    <mergeCell ref="E49:F49"/>
    <mergeCell ref="D50:E50"/>
    <mergeCell ref="E51:F51"/>
    <mergeCell ref="D52:E52"/>
    <mergeCell ref="E53:F53"/>
    <mergeCell ref="D54:E54"/>
    <mergeCell ref="E55:F55"/>
    <mergeCell ref="D56:E56"/>
    <mergeCell ref="E57:F57"/>
    <mergeCell ref="D58:E58"/>
    <mergeCell ref="E59:F59"/>
    <mergeCell ref="D60:E60"/>
    <mergeCell ref="E61:F61"/>
    <mergeCell ref="D62:E62"/>
    <mergeCell ref="D63:E63"/>
    <mergeCell ref="E64:F64"/>
    <mergeCell ref="D65:E65"/>
    <mergeCell ref="E66:F66"/>
    <mergeCell ref="D67:E67"/>
    <mergeCell ref="E68:F68"/>
    <mergeCell ref="D69:E69"/>
    <mergeCell ref="E70:F70"/>
    <mergeCell ref="D71:E71"/>
    <mergeCell ref="E72:F72"/>
    <mergeCell ref="D73:E73"/>
    <mergeCell ref="D74:E74"/>
    <mergeCell ref="E75:F75"/>
    <mergeCell ref="D76:E76"/>
    <mergeCell ref="E77:F77"/>
    <mergeCell ref="D78:E78"/>
    <mergeCell ref="E79:F79"/>
    <mergeCell ref="E80:F80"/>
    <mergeCell ref="D81:E81"/>
    <mergeCell ref="E82:F82"/>
    <mergeCell ref="D83:E83"/>
    <mergeCell ref="E84:F84"/>
    <mergeCell ref="D85:E85"/>
    <mergeCell ref="E86:F86"/>
    <mergeCell ref="D87:E87"/>
    <mergeCell ref="E88:F88"/>
    <mergeCell ref="D89:E89"/>
    <mergeCell ref="E90:F90"/>
    <mergeCell ref="D91:E91"/>
    <mergeCell ref="E92:F92"/>
    <mergeCell ref="D93:E93"/>
    <mergeCell ref="E94:F94"/>
    <mergeCell ref="D95:E95"/>
    <mergeCell ref="D96:E96"/>
    <mergeCell ref="E97:F97"/>
    <mergeCell ref="D98:E98"/>
    <mergeCell ref="E99:F99"/>
    <mergeCell ref="D100:E100"/>
    <mergeCell ref="E101:F101"/>
    <mergeCell ref="D102:E102"/>
    <mergeCell ref="E103:F103"/>
    <mergeCell ref="D104:E104"/>
    <mergeCell ref="E105:F105"/>
    <mergeCell ref="D106:E106"/>
    <mergeCell ref="E107:F107"/>
    <mergeCell ref="D108:E108"/>
    <mergeCell ref="E109:F109"/>
    <mergeCell ref="D110:E110"/>
    <mergeCell ref="E111:F111"/>
    <mergeCell ref="D112:E112"/>
    <mergeCell ref="E113:F113"/>
    <mergeCell ref="D114:E114"/>
    <mergeCell ref="E115:F115"/>
    <mergeCell ref="E116:F116"/>
    <mergeCell ref="D117:E117"/>
    <mergeCell ref="E118:F118"/>
    <mergeCell ref="D119:E119"/>
    <mergeCell ref="D120:E120"/>
    <mergeCell ref="E121:F121"/>
    <mergeCell ref="D122:E122"/>
    <mergeCell ref="E123:F123"/>
    <mergeCell ref="D124:E124"/>
    <mergeCell ref="D125:E125"/>
    <mergeCell ref="E126:F126"/>
    <mergeCell ref="E127:F127"/>
    <mergeCell ref="D128:E128"/>
    <mergeCell ref="E129:F129"/>
    <mergeCell ref="D130:E130"/>
    <mergeCell ref="E131:F131"/>
    <mergeCell ref="E132:F132"/>
    <mergeCell ref="D133:E133"/>
    <mergeCell ref="E134:F134"/>
    <mergeCell ref="D135:E135"/>
    <mergeCell ref="D136:E136"/>
    <mergeCell ref="E137:F137"/>
    <mergeCell ref="D138:E138"/>
    <mergeCell ref="D139:E139"/>
    <mergeCell ref="E140:F140"/>
    <mergeCell ref="D141:E141"/>
    <mergeCell ref="E142:F142"/>
    <mergeCell ref="D143:E143"/>
    <mergeCell ref="E144:F144"/>
    <mergeCell ref="D145:E145"/>
    <mergeCell ref="E146:F146"/>
    <mergeCell ref="D147:E147"/>
    <mergeCell ref="E148:F148"/>
    <mergeCell ref="D149:E149"/>
    <mergeCell ref="E150:F150"/>
    <mergeCell ref="D151:E151"/>
    <mergeCell ref="E152:F152"/>
    <mergeCell ref="D153:E153"/>
    <mergeCell ref="E154:F154"/>
    <mergeCell ref="D155:E155"/>
    <mergeCell ref="E156:F156"/>
    <mergeCell ref="D157:E157"/>
    <mergeCell ref="E158:F158"/>
    <mergeCell ref="D159:E159"/>
    <mergeCell ref="E160:F160"/>
    <mergeCell ref="E161:F161"/>
    <mergeCell ref="E162:F162"/>
    <mergeCell ref="D163:E163"/>
    <mergeCell ref="E164:F164"/>
    <mergeCell ref="D165:E165"/>
    <mergeCell ref="E166:F166"/>
    <mergeCell ref="D167:E167"/>
    <mergeCell ref="E168:F168"/>
    <mergeCell ref="D169:E169"/>
    <mergeCell ref="E170:F170"/>
    <mergeCell ref="D171:E171"/>
    <mergeCell ref="D172:E172"/>
    <mergeCell ref="E173:F173"/>
    <mergeCell ref="D174:E174"/>
    <mergeCell ref="E175:F175"/>
    <mergeCell ref="D176:E176"/>
    <mergeCell ref="E177:F177"/>
    <mergeCell ref="E189:F189"/>
    <mergeCell ref="D178:E178"/>
    <mergeCell ref="E179:F179"/>
    <mergeCell ref="D180:E180"/>
    <mergeCell ref="D181:E181"/>
    <mergeCell ref="E182:F182"/>
    <mergeCell ref="D183:E183"/>
    <mergeCell ref="D190:E190"/>
    <mergeCell ref="E191:F191"/>
    <mergeCell ref="D192:E192"/>
    <mergeCell ref="E193:F193"/>
    <mergeCell ref="A196:G196"/>
    <mergeCell ref="D184:E184"/>
    <mergeCell ref="E185:F185"/>
    <mergeCell ref="D186:E186"/>
    <mergeCell ref="E187:F187"/>
    <mergeCell ref="D188:E188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10" t="s">
        <v>59</v>
      </c>
      <c r="B1" s="111"/>
      <c r="C1" s="111"/>
      <c r="D1" s="111"/>
      <c r="E1" s="111"/>
      <c r="F1" s="111"/>
      <c r="G1" s="111"/>
      <c r="H1" s="111"/>
      <c r="I1" s="111"/>
    </row>
    <row r="2" spans="1:9" ht="15" customHeight="1">
      <c r="A2" s="112" t="s">
        <v>25</v>
      </c>
      <c r="B2" s="105"/>
      <c r="C2" s="107" t="str">
        <f>'Stavební rozpočet'!C2</f>
        <v>Stavební úpravy WC tělocvična</v>
      </c>
      <c r="D2" s="108"/>
      <c r="E2" s="104" t="s">
        <v>327</v>
      </c>
      <c r="F2" s="104" t="str">
        <f>'Stavební rozpočet'!I2</f>
        <v>Město Benešov Masarykovo náměstí 100, 256 01  Bene</v>
      </c>
      <c r="G2" s="105"/>
      <c r="H2" s="104" t="s">
        <v>252</v>
      </c>
      <c r="I2" s="98" t="s">
        <v>61</v>
      </c>
    </row>
    <row r="3" spans="1:9" ht="15" customHeight="1">
      <c r="A3" s="113"/>
      <c r="B3" s="77"/>
      <c r="C3" s="109"/>
      <c r="D3" s="109"/>
      <c r="E3" s="77"/>
      <c r="F3" s="77"/>
      <c r="G3" s="77"/>
      <c r="H3" s="77"/>
      <c r="I3" s="99"/>
    </row>
    <row r="4" spans="1:9" ht="15" customHeight="1">
      <c r="A4" s="114" t="s">
        <v>214</v>
      </c>
      <c r="B4" s="77"/>
      <c r="C4" s="76" t="str">
        <f>'Stavební rozpočet'!C4</f>
        <v> </v>
      </c>
      <c r="D4" s="77"/>
      <c r="E4" s="76" t="s">
        <v>267</v>
      </c>
      <c r="F4" s="76" t="str">
        <f>'Stavební rozpočet'!I4</f>
        <v> </v>
      </c>
      <c r="G4" s="77"/>
      <c r="H4" s="76" t="s">
        <v>252</v>
      </c>
      <c r="I4" s="99" t="s">
        <v>268</v>
      </c>
    </row>
    <row r="5" spans="1:9" ht="15" customHeight="1">
      <c r="A5" s="113"/>
      <c r="B5" s="77"/>
      <c r="C5" s="77"/>
      <c r="D5" s="77"/>
      <c r="E5" s="77"/>
      <c r="F5" s="77"/>
      <c r="G5" s="77"/>
      <c r="H5" s="77"/>
      <c r="I5" s="99"/>
    </row>
    <row r="6" spans="1:9" ht="15" customHeight="1">
      <c r="A6" s="114" t="s">
        <v>32</v>
      </c>
      <c r="B6" s="77"/>
      <c r="C6" s="76" t="str">
        <f>'Stavební rozpočet'!C6</f>
        <v>Benešov; ZŠ Dukelská</v>
      </c>
      <c r="D6" s="77"/>
      <c r="E6" s="76" t="s">
        <v>340</v>
      </c>
      <c r="F6" s="76" t="str">
        <f>'Stavební rozpočet'!I6</f>
        <v> </v>
      </c>
      <c r="G6" s="77"/>
      <c r="H6" s="76" t="s">
        <v>252</v>
      </c>
      <c r="I6" s="99" t="s">
        <v>268</v>
      </c>
    </row>
    <row r="7" spans="1:9" ht="15" customHeight="1">
      <c r="A7" s="113"/>
      <c r="B7" s="77"/>
      <c r="C7" s="77"/>
      <c r="D7" s="77"/>
      <c r="E7" s="77"/>
      <c r="F7" s="77"/>
      <c r="G7" s="77"/>
      <c r="H7" s="77"/>
      <c r="I7" s="99"/>
    </row>
    <row r="8" spans="1:9" ht="15" customHeight="1">
      <c r="A8" s="114" t="s">
        <v>350</v>
      </c>
      <c r="B8" s="77"/>
      <c r="C8" s="76" t="str">
        <f>'Stavební rozpočet'!G4</f>
        <v> </v>
      </c>
      <c r="D8" s="77"/>
      <c r="E8" s="76" t="s">
        <v>132</v>
      </c>
      <c r="F8" s="76" t="str">
        <f>'Stavební rozpočet'!G6</f>
        <v> </v>
      </c>
      <c r="G8" s="77"/>
      <c r="H8" s="77" t="s">
        <v>394</v>
      </c>
      <c r="I8" s="100">
        <v>82</v>
      </c>
    </row>
    <row r="9" spans="1:9" ht="15" customHeight="1">
      <c r="A9" s="113"/>
      <c r="B9" s="77"/>
      <c r="C9" s="77"/>
      <c r="D9" s="77"/>
      <c r="E9" s="77"/>
      <c r="F9" s="77"/>
      <c r="G9" s="77"/>
      <c r="H9" s="77"/>
      <c r="I9" s="99"/>
    </row>
    <row r="10" spans="1:9" ht="15" customHeight="1">
      <c r="A10" s="114" t="s">
        <v>195</v>
      </c>
      <c r="B10" s="77"/>
      <c r="C10" s="76" t="str">
        <f>'Stavební rozpočet'!C8</f>
        <v> </v>
      </c>
      <c r="D10" s="77"/>
      <c r="E10" s="76" t="s">
        <v>258</v>
      </c>
      <c r="F10" s="76" t="str">
        <f>'Stavební rozpočet'!I8</f>
        <v> </v>
      </c>
      <c r="G10" s="77"/>
      <c r="H10" s="77" t="s">
        <v>378</v>
      </c>
      <c r="I10" s="101" t="str">
        <f>'Stavební rozpočet'!G8</f>
        <v>29.02.2024</v>
      </c>
    </row>
    <row r="11" spans="1:9" ht="15" customHeight="1">
      <c r="A11" s="115"/>
      <c r="B11" s="106"/>
      <c r="C11" s="106"/>
      <c r="D11" s="106"/>
      <c r="E11" s="106"/>
      <c r="F11" s="106"/>
      <c r="G11" s="106"/>
      <c r="H11" s="106"/>
      <c r="I11" s="102"/>
    </row>
    <row r="13" spans="1:5" ht="15.75" customHeight="1">
      <c r="A13" s="133" t="s">
        <v>153</v>
      </c>
      <c r="B13" s="133"/>
      <c r="C13" s="133"/>
      <c r="D13" s="133"/>
      <c r="E13" s="133"/>
    </row>
    <row r="14" spans="1:9" ht="15" customHeight="1">
      <c r="A14" s="134" t="s">
        <v>431</v>
      </c>
      <c r="B14" s="135"/>
      <c r="C14" s="135"/>
      <c r="D14" s="135"/>
      <c r="E14" s="136"/>
      <c r="F14" s="63" t="s">
        <v>407</v>
      </c>
      <c r="G14" s="63" t="s">
        <v>342</v>
      </c>
      <c r="H14" s="63" t="s">
        <v>99</v>
      </c>
      <c r="I14" s="63" t="s">
        <v>407</v>
      </c>
    </row>
    <row r="15" spans="1:9" ht="15" customHeight="1">
      <c r="A15" s="115" t="s">
        <v>358</v>
      </c>
      <c r="B15" s="106"/>
      <c r="C15" s="106"/>
      <c r="D15" s="106"/>
      <c r="E15" s="102"/>
      <c r="F15" s="7" t="s">
        <v>268</v>
      </c>
      <c r="G15" s="18">
        <v>0.51</v>
      </c>
      <c r="H15" s="18">
        <f>'Krycí list rozpočtu'!C22</f>
        <v>0</v>
      </c>
      <c r="I15" s="18">
        <f>ROUND((G15/100)*H15,2)</f>
        <v>0</v>
      </c>
    </row>
    <row r="16" spans="1:9" ht="15" customHeight="1">
      <c r="A16" s="115" t="s">
        <v>268</v>
      </c>
      <c r="B16" s="106"/>
      <c r="C16" s="106"/>
      <c r="D16" s="106"/>
      <c r="E16" s="102"/>
      <c r="F16" s="18">
        <v>0</v>
      </c>
      <c r="G16" s="7" t="s">
        <v>268</v>
      </c>
      <c r="H16" s="7" t="s">
        <v>268</v>
      </c>
      <c r="I16" s="18">
        <f>F16</f>
        <v>0</v>
      </c>
    </row>
    <row r="17" spans="1:9" ht="15" customHeight="1">
      <c r="A17" s="113" t="s">
        <v>268</v>
      </c>
      <c r="B17" s="77"/>
      <c r="C17" s="77"/>
      <c r="D17" s="77"/>
      <c r="E17" s="99"/>
      <c r="F17" s="31">
        <v>0</v>
      </c>
      <c r="G17" s="29" t="s">
        <v>268</v>
      </c>
      <c r="H17" s="29" t="s">
        <v>268</v>
      </c>
      <c r="I17" s="31">
        <f>F17</f>
        <v>0</v>
      </c>
    </row>
    <row r="18" spans="1:9" ht="15" customHeight="1">
      <c r="A18" s="125" t="s">
        <v>416</v>
      </c>
      <c r="B18" s="123"/>
      <c r="C18" s="123"/>
      <c r="D18" s="123"/>
      <c r="E18" s="126"/>
      <c r="F18" s="14" t="s">
        <v>268</v>
      </c>
      <c r="G18" s="59" t="s">
        <v>268</v>
      </c>
      <c r="H18" s="59" t="s">
        <v>268</v>
      </c>
      <c r="I18" s="36">
        <f>SUM(I15:I17)</f>
        <v>0</v>
      </c>
    </row>
    <row r="20" spans="1:9" ht="15" customHeight="1">
      <c r="A20" s="134" t="s">
        <v>73</v>
      </c>
      <c r="B20" s="135"/>
      <c r="C20" s="135"/>
      <c r="D20" s="135"/>
      <c r="E20" s="136"/>
      <c r="F20" s="63" t="s">
        <v>407</v>
      </c>
      <c r="G20" s="63" t="s">
        <v>342</v>
      </c>
      <c r="H20" s="63" t="s">
        <v>99</v>
      </c>
      <c r="I20" s="63" t="s">
        <v>407</v>
      </c>
    </row>
    <row r="21" spans="1:9" ht="15" customHeight="1">
      <c r="A21" s="115" t="s">
        <v>40</v>
      </c>
      <c r="B21" s="106"/>
      <c r="C21" s="106"/>
      <c r="D21" s="106"/>
      <c r="E21" s="102"/>
      <c r="F21" s="7" t="s">
        <v>268</v>
      </c>
      <c r="G21" s="18">
        <v>3</v>
      </c>
      <c r="H21" s="18">
        <f>'Krycí list rozpočtu'!C22</f>
        <v>0</v>
      </c>
      <c r="I21" s="18">
        <f>ROUND((G21/100)*H21,2)</f>
        <v>0</v>
      </c>
    </row>
    <row r="22" spans="1:9" ht="15" customHeight="1">
      <c r="A22" s="115" t="s">
        <v>311</v>
      </c>
      <c r="B22" s="106"/>
      <c r="C22" s="106"/>
      <c r="D22" s="106"/>
      <c r="E22" s="102"/>
      <c r="F22" s="18">
        <v>0</v>
      </c>
      <c r="G22" s="7" t="s">
        <v>268</v>
      </c>
      <c r="H22" s="7" t="s">
        <v>268</v>
      </c>
      <c r="I22" s="18">
        <f>F22</f>
        <v>0</v>
      </c>
    </row>
    <row r="23" spans="1:9" ht="15" customHeight="1">
      <c r="A23" s="115" t="s">
        <v>375</v>
      </c>
      <c r="B23" s="106"/>
      <c r="C23" s="106"/>
      <c r="D23" s="106"/>
      <c r="E23" s="102"/>
      <c r="F23" s="18">
        <v>0</v>
      </c>
      <c r="G23" s="7" t="s">
        <v>268</v>
      </c>
      <c r="H23" s="7" t="s">
        <v>268</v>
      </c>
      <c r="I23" s="18">
        <f>F23</f>
        <v>0</v>
      </c>
    </row>
    <row r="24" spans="1:9" ht="15" customHeight="1">
      <c r="A24" s="115" t="s">
        <v>207</v>
      </c>
      <c r="B24" s="106"/>
      <c r="C24" s="106"/>
      <c r="D24" s="106"/>
      <c r="E24" s="102"/>
      <c r="F24" s="18">
        <v>0</v>
      </c>
      <c r="G24" s="7" t="s">
        <v>268</v>
      </c>
      <c r="H24" s="7" t="s">
        <v>268</v>
      </c>
      <c r="I24" s="18">
        <f>F24</f>
        <v>0</v>
      </c>
    </row>
    <row r="25" spans="1:9" ht="15" customHeight="1">
      <c r="A25" s="115" t="s">
        <v>253</v>
      </c>
      <c r="B25" s="106"/>
      <c r="C25" s="106"/>
      <c r="D25" s="106"/>
      <c r="E25" s="102"/>
      <c r="F25" s="18">
        <v>0</v>
      </c>
      <c r="G25" s="7" t="s">
        <v>268</v>
      </c>
      <c r="H25" s="7" t="s">
        <v>268</v>
      </c>
      <c r="I25" s="18">
        <f>F25</f>
        <v>0</v>
      </c>
    </row>
    <row r="26" spans="1:9" ht="15" customHeight="1">
      <c r="A26" s="113" t="s">
        <v>385</v>
      </c>
      <c r="B26" s="77"/>
      <c r="C26" s="77"/>
      <c r="D26" s="77"/>
      <c r="E26" s="99"/>
      <c r="F26" s="31">
        <v>0</v>
      </c>
      <c r="G26" s="29" t="s">
        <v>268</v>
      </c>
      <c r="H26" s="29" t="s">
        <v>268</v>
      </c>
      <c r="I26" s="31">
        <f>F26</f>
        <v>0</v>
      </c>
    </row>
    <row r="27" spans="1:9" ht="15" customHeight="1">
      <c r="A27" s="125" t="s">
        <v>163</v>
      </c>
      <c r="B27" s="123"/>
      <c r="C27" s="123"/>
      <c r="D27" s="123"/>
      <c r="E27" s="126"/>
      <c r="F27" s="14" t="s">
        <v>268</v>
      </c>
      <c r="G27" s="59" t="s">
        <v>268</v>
      </c>
      <c r="H27" s="59" t="s">
        <v>268</v>
      </c>
      <c r="I27" s="36">
        <f>SUM(I21:I26)</f>
        <v>0</v>
      </c>
    </row>
    <row r="29" spans="1:9" ht="15.75" customHeight="1">
      <c r="A29" s="127" t="s">
        <v>410</v>
      </c>
      <c r="B29" s="128"/>
      <c r="C29" s="128"/>
      <c r="D29" s="128"/>
      <c r="E29" s="129"/>
      <c r="F29" s="130">
        <f>I18+I27</f>
        <v>0</v>
      </c>
      <c r="G29" s="131"/>
      <c r="H29" s="131"/>
      <c r="I29" s="132"/>
    </row>
    <row r="33" spans="1:5" ht="15.75" customHeight="1">
      <c r="A33" s="133" t="s">
        <v>401</v>
      </c>
      <c r="B33" s="133"/>
      <c r="C33" s="133"/>
      <c r="D33" s="133"/>
      <c r="E33" s="133"/>
    </row>
    <row r="34" spans="1:9" ht="15" customHeight="1">
      <c r="A34" s="134" t="s">
        <v>414</v>
      </c>
      <c r="B34" s="135"/>
      <c r="C34" s="135"/>
      <c r="D34" s="135"/>
      <c r="E34" s="136"/>
      <c r="F34" s="63" t="s">
        <v>407</v>
      </c>
      <c r="G34" s="63" t="s">
        <v>342</v>
      </c>
      <c r="H34" s="63" t="s">
        <v>99</v>
      </c>
      <c r="I34" s="63" t="s">
        <v>407</v>
      </c>
    </row>
    <row r="35" spans="1:9" ht="15" customHeight="1">
      <c r="A35" s="113" t="s">
        <v>268</v>
      </c>
      <c r="B35" s="77"/>
      <c r="C35" s="77"/>
      <c r="D35" s="77"/>
      <c r="E35" s="99"/>
      <c r="F35" s="31">
        <v>0</v>
      </c>
      <c r="G35" s="29" t="s">
        <v>268</v>
      </c>
      <c r="H35" s="29" t="s">
        <v>268</v>
      </c>
      <c r="I35" s="31">
        <f>F35</f>
        <v>0</v>
      </c>
    </row>
    <row r="36" spans="1:9" ht="15" customHeight="1">
      <c r="A36" s="125" t="s">
        <v>147</v>
      </c>
      <c r="B36" s="123"/>
      <c r="C36" s="123"/>
      <c r="D36" s="123"/>
      <c r="E36" s="126"/>
      <c r="F36" s="14" t="s">
        <v>268</v>
      </c>
      <c r="G36" s="59" t="s">
        <v>268</v>
      </c>
      <c r="H36" s="59" t="s">
        <v>268</v>
      </c>
      <c r="I36" s="36">
        <f>SUM(I35:I35)</f>
        <v>0</v>
      </c>
    </row>
  </sheetData>
  <sheetProtection/>
  <mergeCells count="51">
    <mergeCell ref="A10:B11"/>
    <mergeCell ref="E2:E3"/>
    <mergeCell ref="E4:E5"/>
    <mergeCell ref="E6:E7"/>
    <mergeCell ref="E8:E9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F10:G11"/>
    <mergeCell ref="E10:E11"/>
    <mergeCell ref="I2:I3"/>
    <mergeCell ref="I4:I5"/>
    <mergeCell ref="I6:I7"/>
    <mergeCell ref="I8:I9"/>
    <mergeCell ref="I10:I11"/>
    <mergeCell ref="A13:E13"/>
    <mergeCell ref="C2:D3"/>
    <mergeCell ref="C4:D5"/>
    <mergeCell ref="C6:D7"/>
    <mergeCell ref="C8:D9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36:E36"/>
    <mergeCell ref="A27:E27"/>
    <mergeCell ref="A29:E29"/>
    <mergeCell ref="F29:I29"/>
    <mergeCell ref="A33:E33"/>
    <mergeCell ref="A34:E34"/>
    <mergeCell ref="A35:E35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Pavlína Tůmová</cp:lastModifiedBy>
  <dcterms:created xsi:type="dcterms:W3CDTF">2021-06-10T20:06:38Z</dcterms:created>
  <dcterms:modified xsi:type="dcterms:W3CDTF">2024-04-22T08:52:07Z</dcterms:modified>
  <cp:category/>
  <cp:version/>
  <cp:contentType/>
  <cp:contentStatus/>
</cp:coreProperties>
</file>