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00" tabRatio="991" activeTab="1"/>
  </bookViews>
  <sheets>
    <sheet name="Krycí list rozpočtu" sheetId="1" r:id="rId1"/>
    <sheet name="Stavební rozpočet" sheetId="2" r:id="rId2"/>
    <sheet name="VORN" sheetId="3" r:id="rId3"/>
    <sheet name="186 - ZTI" sheetId="4" r:id="rId4"/>
    <sheet name="187 - ZTI rozvody" sheetId="5" r:id="rId5"/>
    <sheet name="368 - VZT" sheetId="6" r:id="rId6"/>
    <sheet name="206 - VYT" sheetId="7" r:id="rId7"/>
    <sheet name="361 - Elektro" sheetId="8" r:id="rId8"/>
    <sheet name="362 - CCTV" sheetId="9" state="hidden" r:id="rId9"/>
    <sheet name="362 - Slabproud" sheetId="14" r:id="rId10"/>
    <sheet name="363 - Vstup" sheetId="10" r:id="rId11"/>
    <sheet name="364 - Ozvučení" sheetId="11" r:id="rId12"/>
    <sheet name="365 - IT" sheetId="12" r:id="rId13"/>
    <sheet name="370 -  CV" sheetId="13" r:id="rId14"/>
  </sheets>
  <definedNames>
    <definedName name="Print_Titles_0" localSheetId="1">'Stavební rozpočet'!$10:$11</definedName>
    <definedName name="vorn_sum">'VORN'!$I$21:$I$21</definedName>
    <definedName name="_xlnm.Print_Titles" localSheetId="1">'Stavební rozpočet'!$10:$11</definedName>
  </definedNames>
  <calcPr calcId="162913"/>
</workbook>
</file>

<file path=xl/sharedStrings.xml><?xml version="1.0" encoding="utf-8"?>
<sst xmlns="http://schemas.openxmlformats.org/spreadsheetml/2006/main" count="6554" uniqueCount="3062">
  <si>
    <t>Krycí list rozpočtu</t>
  </si>
  <si>
    <t>Název stavby:</t>
  </si>
  <si>
    <t>Objednatel:</t>
  </si>
  <si>
    <t>Město Benešov</t>
  </si>
  <si>
    <t>IČ/DIČ:</t>
  </si>
  <si>
    <t>231401/CZ00231401</t>
  </si>
  <si>
    <t>Druh stavby:</t>
  </si>
  <si>
    <t>Projektant:</t>
  </si>
  <si>
    <t>Ing.arch Martin Kraus, atelier a-detail</t>
  </si>
  <si>
    <t>16683986/CZ6611221265</t>
  </si>
  <si>
    <t>Lokalita:</t>
  </si>
  <si>
    <t>Zhotovitel:</t>
  </si>
  <si>
    <t>Začátek výstavby:</t>
  </si>
  <si>
    <t>Konec výstavby:</t>
  </si>
  <si>
    <t>Položek:</t>
  </si>
  <si>
    <t>372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</si>
  <si>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</si>
  <si>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</si>
  <si>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</si>
  <si>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</si>
  <si>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</si>
  <si>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</si>
  <si>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</si>
  <si>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</si>
  <si>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</si>
  <si>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</si>
  <si>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</si>
  <si>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Práce přesčas</t>
  </si>
  <si>
    <t>Bez pevné podl.</t>
  </si>
  <si>
    <t>PSV</t>
  </si>
  <si>
    <t>Kulturní památka</t>
  </si>
  <si>
    <t>"M"</t>
  </si>
  <si>
    <t>Ostatní materiál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</si>
  <si>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</si>
  <si>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</si>
  <si>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</si>
  <si>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</si>
  <si>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</si>
  <si>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</si>
  <si>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</si>
  <si>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</si>
  <si>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</si>
  <si>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</si>
  <si>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</si>
  <si>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</si>
  <si>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</si>
  <si>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</si>
  <si>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</si>
  <si>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</si>
  <si>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</si>
  <si>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</si>
  <si>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Stavební rozpočet</t>
  </si>
  <si>
    <t>Zázemí atletického oválu</t>
  </si>
  <si>
    <t>Doba výstavby:</t>
  </si>
  <si>
    <t/>
  </si>
  <si>
    <t>Novostavba objektu</t>
  </si>
  <si>
    <t>Hráského 1913, 256 01 Benešov</t>
  </si>
  <si>
    <t> </t>
  </si>
  <si>
    <t>8015 - Budovy pro tělovýchovu</t>
  </si>
  <si>
    <t>Zpracováno dne:</t>
  </si>
  <si>
    <t>10.03.2020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</si>
  <si>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</si>
  <si>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</si>
  <si>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</si>
  <si>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</si>
  <si>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</si>
  <si>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</si>
  <si>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</si>
  <si>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</si>
  <si>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</si>
  <si>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</si>
  <si>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Rozměry</t>
  </si>
  <si>
    <t>(Kč)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</si>
  <si>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</si>
  <si>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</si>
  <si>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</si>
  <si>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</si>
  <si>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</si>
  <si>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</si>
  <si>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</si>
  <si>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</si>
  <si>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</si>
  <si>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</si>
  <si>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</si>
  <si>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</si>
  <si>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</si>
  <si>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</si>
  <si>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</si>
  <si>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</si>
  <si>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</si>
  <si>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</si>
  <si>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115101201R00</t>
  </si>
  <si>
    <t>Čerpání vody na výšku do 10 m, přítok do 500 l/min</t>
  </si>
  <si>
    <t>h</t>
  </si>
  <si>
    <t>RTS II / 2019</t>
  </si>
  <si>
    <t>11_</t>
  </si>
  <si>
    <t>1_</t>
  </si>
  <si>
    <t>_</t>
  </si>
  <si>
    <t>3*90   </t>
  </si>
  <si>
    <t>2</t>
  </si>
  <si>
    <t>131301119R00</t>
  </si>
  <si>
    <t>Příplatek za lepivost - hloubení nezap.jam v hor.4</t>
  </si>
  <si>
    <t>m3</t>
  </si>
  <si>
    <t>24,75*9,8*2,2+71,48*12,4*2,2+9,0*12,4*2,4   </t>
  </si>
  <si>
    <t>(0,5+2,67+0,5)*(2,57+0,5)*0,6   </t>
  </si>
  <si>
    <t>3</t>
  </si>
  <si>
    <t>115101301R00</t>
  </si>
  <si>
    <t>Pohotovost čerp.soupravy, výška 10 m, přítok 500 l</t>
  </si>
  <si>
    <t>den</t>
  </si>
  <si>
    <t>90   </t>
  </si>
  <si>
    <t>13</t>
  </si>
  <si>
    <t>Hloubené vykopávky</t>
  </si>
  <si>
    <t>4</t>
  </si>
  <si>
    <t>131301112R00</t>
  </si>
  <si>
    <t>Hloubení nezapaž. jam hor.4 do 1000 m3, STROJNĚ</t>
  </si>
  <si>
    <t>13_</t>
  </si>
  <si>
    <t>(24,75*9,8*2,2+71,43*12,4*2,2+9,0*12,4*2,4)*0,95   </t>
  </si>
  <si>
    <t>(0,5+2,67+0,5)*(2,57+0,5)*0,6*0,95   </t>
  </si>
  <si>
    <t>5</t>
  </si>
  <si>
    <t>132301110R00</t>
  </si>
  <si>
    <t>Hloubení rýh š.do 60 cm v hor.4 do 50 m3,STROJNĚ</t>
  </si>
  <si>
    <t>(1,27+0,75+0,95)*0,6*0,5*10*0,95   </t>
  </si>
  <si>
    <t>(1,27*1,6*1,6*10+0,75*1,6*1,0*10+0,95*1,6*0,6*10)*0,95   </t>
  </si>
  <si>
    <t>6,87*0,6*1,2*0,95   </t>
  </si>
  <si>
    <t>(5,0*0,6*0,5+(1,431+1,431)*0,4*0,5)*0,95   </t>
  </si>
  <si>
    <t>(0,98*0,6*0,5+(2,57+2,67)*0,6*0,5)*0,95   </t>
  </si>
  <si>
    <t>(0,9*0,39*0,5+2,07*0,6*0,5)*0,95   </t>
  </si>
  <si>
    <t>6</t>
  </si>
  <si>
    <t>132301119R00</t>
  </si>
  <si>
    <t>Přípl.za lepivost,hloubení rýh 60 cm,hor.4,STROJNĚ</t>
  </si>
  <si>
    <t>(1,27+0,75+0,95)*0,6*0,5*10   </t>
  </si>
  <si>
    <t>(1,27*1,6*1,6*10+0,75*1,6*1,0*10+0,95*1,6*0,6*10)   </t>
  </si>
  <si>
    <t>6,87*0,6*1,2   </t>
  </si>
  <si>
    <t>(5,0*0,6*0,5+(1,431+1,431)*0,4*0,5)   </t>
  </si>
  <si>
    <t>(0,98*0,6*0,5+(2,57+2,67)*0,6*0,5)   </t>
  </si>
  <si>
    <t>(0,9*0,39*0,5+2,07*0,6*0,5)+124,0   </t>
  </si>
  <si>
    <t>7</t>
  </si>
  <si>
    <t>132301210R00</t>
  </si>
  <si>
    <t>Hloubení rýh š.do 200 cm hor.4 do 50 m3, STROJNĚ</t>
  </si>
  <si>
    <t>1,431*1,67*(2,7+0,4+0,4)*0,5*0,95   </t>
  </si>
  <si>
    <t>8</t>
  </si>
  <si>
    <t>132301219R00</t>
  </si>
  <si>
    <t>Přípl.za lepivost,hloubení rýh 200cm,hor.4,STROJNĚ</t>
  </si>
  <si>
    <t>1,431*1,67*(2,7+0,4+0,4)*0,5   </t>
  </si>
  <si>
    <t>9</t>
  </si>
  <si>
    <t>139601103R00</t>
  </si>
  <si>
    <t>Ruční výkop jam, rýh a šachet v hornině tř. 4</t>
  </si>
  <si>
    <t>(24,75*9,8*2,2+71,43*12,4*2,2+9,0*12,4*2,4)*0,05   začištění základové spáry</t>
  </si>
  <si>
    <t>(1,27+0,75+0,95)*0,6*0,5*10*0,05   </t>
  </si>
  <si>
    <t>(1,27*1,6*1,6*10+0,75*1,6*1,0*10+0,95*1,6*0,6*10)*0,05   </t>
  </si>
  <si>
    <t>6,87*0,6*1,2*0,05   </t>
  </si>
  <si>
    <t>(5,0*0,6*0,5+(1,431+1,431)*0,4*0,5)*0,05   </t>
  </si>
  <si>
    <t>(0,98*0,6*0,5+(2,57+2,67)*0,6*0,5)*0,05   </t>
  </si>
  <si>
    <t>(0,9*0,39*0,5+2,07*0,6*0,5)*0,05   </t>
  </si>
  <si>
    <t>(0,5+2,67+0,5)*(2,57+0,5)*0,6*0,05   </t>
  </si>
  <si>
    <t>1,431*1,67*(2,7+0,4+0,4)*0,5*0,05   </t>
  </si>
  <si>
    <t>(6,0+7,0+12,0)*0,6*0,6+115   </t>
  </si>
  <si>
    <t>16</t>
  </si>
  <si>
    <t>Přemístění výkopku</t>
  </si>
  <si>
    <t>10</t>
  </si>
  <si>
    <t>162301101R00</t>
  </si>
  <si>
    <t>Vodorovné přemístění výkopku z hor.1-4 do 500 m</t>
  </si>
  <si>
    <t>16_</t>
  </si>
  <si>
    <t>243,3+2618,979+68,613+3,973+265,662   </t>
  </si>
  <si>
    <t>167101102R00</t>
  </si>
  <si>
    <t>Nakládání výkopku z hor.1-4 v množství nad 100 m3</t>
  </si>
  <si>
    <t>(243,3+2618,979+68,613+3,973+265,662)*2   </t>
  </si>
  <si>
    <t>12</t>
  </si>
  <si>
    <t>162701105R00</t>
  </si>
  <si>
    <t>Vodorovné přemístění výkopku z hor.1-4 do 10000 m</t>
  </si>
  <si>
    <t>3200,527-1095,483-304,200   </t>
  </si>
  <si>
    <t>162701109R00</t>
  </si>
  <si>
    <t>Příplatek k vod. přemístění hor.1-4 za další 1 km</t>
  </si>
  <si>
    <t>1800,844*10   </t>
  </si>
  <si>
    <t>17</t>
  </si>
  <si>
    <t>Konstrukce ze zemin</t>
  </si>
  <si>
    <t>14</t>
  </si>
  <si>
    <t>171101101R00</t>
  </si>
  <si>
    <t>Uložení sypaniny do násypů zhutněných na 95% PS</t>
  </si>
  <si>
    <t>17_</t>
  </si>
  <si>
    <t>243,3+2618,979+68,613+3,973+265,662   meziskládka na stavbě</t>
  </si>
  <si>
    <t>3200,527-1095,483-304,2   skládka zeminy</t>
  </si>
  <si>
    <t>15</t>
  </si>
  <si>
    <t>175101201R00</t>
  </si>
  <si>
    <t>Obsyp objektu bez prohození sypaniny</t>
  </si>
  <si>
    <t>3200,527-2105,044+304,200   </t>
  </si>
  <si>
    <t>175101209R00</t>
  </si>
  <si>
    <t>Příplatek za prohození sypaniny pro obsyp objektu</t>
  </si>
  <si>
    <t>18</t>
  </si>
  <si>
    <t>Povrchové úpravy terénu</t>
  </si>
  <si>
    <t>183405213R00</t>
  </si>
  <si>
    <t>Výsev travin a bylin  hydroosevem, sadové úpravy</t>
  </si>
  <si>
    <t>m2</t>
  </si>
  <si>
    <t>18_</t>
  </si>
  <si>
    <t>284,45   V.06, vegetační střecha+sadovky</t>
  </si>
  <si>
    <t>19</t>
  </si>
  <si>
    <t>Hloubení pro podzemní stěny, ražení a hloubení důlní</t>
  </si>
  <si>
    <t>199000002R00</t>
  </si>
  <si>
    <t>Poplatek za skládku horniny 1- 4</t>
  </si>
  <si>
    <t>19_</t>
  </si>
  <si>
    <t>21</t>
  </si>
  <si>
    <t>Úprava podloží a základové spáry</t>
  </si>
  <si>
    <t>215901101RT5</t>
  </si>
  <si>
    <t>Zhutnění podloží z hornin nesoudržných do 92% PS</t>
  </si>
  <si>
    <t>21_</t>
  </si>
  <si>
    <t>2_</t>
  </si>
  <si>
    <t>177,20   Ex.01</t>
  </si>
  <si>
    <t>110,00   Ex.04</t>
  </si>
  <si>
    <t>699,72   V.01</t>
  </si>
  <si>
    <t>27</t>
  </si>
  <si>
    <t>Základy</t>
  </si>
  <si>
    <t>20</t>
  </si>
  <si>
    <t>274272140RT4</t>
  </si>
  <si>
    <t>Zdivo základové z bednicích tvárnic, tl. 30 cm, výplň tvárnic betonem C 20/25</t>
  </si>
  <si>
    <t>27_</t>
  </si>
  <si>
    <t>0,79*2,93*10+0,99*1,995*10+0,99*1,06*10   tribuna</t>
  </si>
  <si>
    <t>0,79*2,43+0,99*1,995+0,99*1,56+4,1*2,43   tribuna</t>
  </si>
  <si>
    <t>0,79*2,93+0,99*1,995+0,99*1,06+2,75*1,06   schodiště</t>
  </si>
  <si>
    <t>1,431*2,93+1,40*2,93+3,1*1,67*0,5   schodiště</t>
  </si>
  <si>
    <t>(6,0+7,0+12,0)*1,25   opěrka u rampy</t>
  </si>
  <si>
    <t>274272110RT4</t>
  </si>
  <si>
    <t>Zdivo základové z bednicích tvárnic, tl. 15 cm, výplň tvárnic betonem C 20/25</t>
  </si>
  <si>
    <t>132,00*0,75 přizdívka po obvodu desky, včetně úpravy před izolací</t>
  </si>
  <si>
    <t>274272119IK</t>
  </si>
  <si>
    <t>Základové patky pro zábradlí, bednící dílce tl.500 mm, beton C20/25</t>
  </si>
  <si>
    <t>kus</t>
  </si>
  <si>
    <t>KALK</t>
  </si>
  <si>
    <t>35,00 základové patky pro zábradlí Z.01</t>
  </si>
  <si>
    <t>23</t>
  </si>
  <si>
    <t>274313711R00</t>
  </si>
  <si>
    <t>Beton základových pasů prostý C 25/30</t>
  </si>
  <si>
    <t>42,00   ZÁKLADOVÉ PASY</t>
  </si>
  <si>
    <t>24</t>
  </si>
  <si>
    <t>274351215R00</t>
  </si>
  <si>
    <t>Bednění stěn základových pasů - zřízení</t>
  </si>
  <si>
    <t>(0,5+0,6+0,5)*2*0,7*10   </t>
  </si>
  <si>
    <t>25</t>
  </si>
  <si>
    <t>274361721R00</t>
  </si>
  <si>
    <t>Výztuž základových pasů z oceli BSt 500 S</t>
  </si>
  <si>
    <t>t</t>
  </si>
  <si>
    <t>0,965*1,10   VÝZTUŽ ZÁKLADŮ</t>
  </si>
  <si>
    <t>0,743*1,10   VÝZTUŽ ZÁKLADŮ</t>
  </si>
  <si>
    <t>26</t>
  </si>
  <si>
    <t>273321611R00</t>
  </si>
  <si>
    <t>Železobeton základových desek C 30/37</t>
  </si>
  <si>
    <t>257,00   V.01</t>
  </si>
  <si>
    <t>273351215R00</t>
  </si>
  <si>
    <t>Bednění stěn základových desek - zřízení</t>
  </si>
  <si>
    <t>((70,0+24,30)*2+8,66+1,53)*0,40   V.01</t>
  </si>
  <si>
    <t>28</t>
  </si>
  <si>
    <t>273351216R00</t>
  </si>
  <si>
    <t>Bednění stěn základových desek - odstranění</t>
  </si>
  <si>
    <t>29</t>
  </si>
  <si>
    <t>273361215R00</t>
  </si>
  <si>
    <t>Výztuž zákl. desek do 12 mm, ocel BSt 500 S</t>
  </si>
  <si>
    <t>21,585*1,10   V.01</t>
  </si>
  <si>
    <t>31</t>
  </si>
  <si>
    <t>Zdi podpěrné a volné</t>
  </si>
  <si>
    <t>30</t>
  </si>
  <si>
    <t>311321412R00</t>
  </si>
  <si>
    <t>Železobeton nadzákladových zdí C 30/37</t>
  </si>
  <si>
    <t>31_</t>
  </si>
  <si>
    <t>3_</t>
  </si>
  <si>
    <t>172,00   ŽB STĚNY</t>
  </si>
  <si>
    <t>311351105R00</t>
  </si>
  <si>
    <t>Bednění nadzákladových zdí oboustranné - zřízení</t>
  </si>
  <si>
    <t>24,50*2*4,37*2+7,025*4,37*2+7,025*4,37*2   1.PP S.3</t>
  </si>
  <si>
    <t>70,205*3,21*2+70,205*3,13*2+6,875*3,21*2   1.PP S.3</t>
  </si>
  <si>
    <t>(24,5+7,025)*2*1,42*2   atiková stěna AT.01</t>
  </si>
  <si>
    <t>32</t>
  </si>
  <si>
    <t>311351106R00</t>
  </si>
  <si>
    <t>Bednění nadzákladových zdí oboustranné-odstranění</t>
  </si>
  <si>
    <t>33</t>
  </si>
  <si>
    <t>311361721R00</t>
  </si>
  <si>
    <t>Výztuž nadzákladových zdí z ocel BSt 500 S</t>
  </si>
  <si>
    <t>13,67*1,10   VÝZTUŽ ŽB STĚN</t>
  </si>
  <si>
    <t>34</t>
  </si>
  <si>
    <t>311351903R00</t>
  </si>
  <si>
    <t>Bednění otvoru nadzáklad.zdí plochy do 2,25 m2</t>
  </si>
  <si>
    <t>14+1   1.PP S.01</t>
  </si>
  <si>
    <t>35</t>
  </si>
  <si>
    <t>311351904R00</t>
  </si>
  <si>
    <t>Bednění otvoru nadzáklad.zdí plochy do 3,6 m2</t>
  </si>
  <si>
    <t>1+1   1.PP S.01</t>
  </si>
  <si>
    <t>36</t>
  </si>
  <si>
    <t>311351901R00</t>
  </si>
  <si>
    <t>Bednění otvoru nadzáklad.zdí plochy do 0,5 m2</t>
  </si>
  <si>
    <t>2   atiková stěna AT.01</t>
  </si>
  <si>
    <t>Sloupy a pilíře, stožáry a rámové stojky</t>
  </si>
  <si>
    <t>37</t>
  </si>
  <si>
    <t>330321411R00</t>
  </si>
  <si>
    <t>Beton sloupů a pilířů železový C 30/37</t>
  </si>
  <si>
    <t>33_</t>
  </si>
  <si>
    <t>4,60   SL.01, SL.02, SL.03</t>
  </si>
  <si>
    <t>38</t>
  </si>
  <si>
    <t>331351101R00</t>
  </si>
  <si>
    <t>Bednění sloupů čtyřúhelníkového průřezu - zřízení</t>
  </si>
  <si>
    <t>0,35*4*2,92*9+(0,35+0,25)*2*4,37+0,30*4*2,92   SL.01, SL.02, SL.03</t>
  </si>
  <si>
    <t>39</t>
  </si>
  <si>
    <t>331351102R00</t>
  </si>
  <si>
    <t>Bednění sloupů čtyřúhelníkového průřezu-odstranění</t>
  </si>
  <si>
    <t>40</t>
  </si>
  <si>
    <t>331351108R00</t>
  </si>
  <si>
    <t>Příplatek za vzepření bednění při výšce 4 - 6 m</t>
  </si>
  <si>
    <t>41</t>
  </si>
  <si>
    <t>331361721R00</t>
  </si>
  <si>
    <t>Výztuž sloupů hranatých z oceli BSt 500 S</t>
  </si>
  <si>
    <t>0,555*1,10   SL.01, SL.02, SL.03</t>
  </si>
  <si>
    <t>Stěny a příčky</t>
  </si>
  <si>
    <t>42</t>
  </si>
  <si>
    <t>342013321R00</t>
  </si>
  <si>
    <t>Příčka SDK tl.150 mm,ocel.kce,2x oplášť.,RB 12,5mm</t>
  </si>
  <si>
    <t>34_</t>
  </si>
  <si>
    <t>3,6*2,850-3,2*2,7+(3,5+3,3)*2,85-1,68   </t>
  </si>
  <si>
    <t>(3,0+1,5+2,15+3,4)*2,85--1,68   </t>
  </si>
  <si>
    <t>(2,15+1,95)*2,85-1,89   </t>
  </si>
  <si>
    <t>(3,0+1,8+1,55+2,15+3,35)*2,85-3,36-1,89   </t>
  </si>
  <si>
    <t>(5,15+5,075+1,0+1,0)*2,85-3,36   </t>
  </si>
  <si>
    <t>(10,7+5,15+2,902+0,85)*2,85-3,36-2,31   </t>
  </si>
  <si>
    <t>(20,795+1,0*4+3,455+2,012)*2,85-6,72-1,47   </t>
  </si>
  <si>
    <t>43</t>
  </si>
  <si>
    <t>342016221R00</t>
  </si>
  <si>
    <t>Příčka SDK tl.205mm,2x ocel.kce,2x oplášť.,RB 12,5</t>
  </si>
  <si>
    <t>(2,4+6,974)*2,85-4,32   </t>
  </si>
  <si>
    <t>(4,15+5,15+0,885)*2,85   </t>
  </si>
  <si>
    <t>(3,9+5,3+4,15+5,15*3+4,15+5,15)*2,85   </t>
  </si>
  <si>
    <t>6,975*2*2,85-11,76   </t>
  </si>
  <si>
    <t>44</t>
  </si>
  <si>
    <t>342090131R00</t>
  </si>
  <si>
    <t>Otvor v SDK, pro dveře 1kř do 25 kg, CW 100,1xopl.</t>
  </si>
  <si>
    <t>1+2+1+2+3+2+3+7+4   </t>
  </si>
  <si>
    <t>45</t>
  </si>
  <si>
    <t>342091012R00</t>
  </si>
  <si>
    <t>Příplatek za otvor 4 m2 v SDK příčce 1x CW,2x opl.</t>
  </si>
  <si>
    <t>1+1   </t>
  </si>
  <si>
    <t>46</t>
  </si>
  <si>
    <t>342264051RT1</t>
  </si>
  <si>
    <t>Podhled sádrokartonový na zavěšenou ocel. konstr., desky standard tl. 12,5 mm, bez izolace</t>
  </si>
  <si>
    <t>318,00+33,00   1.NP+1.PP</t>
  </si>
  <si>
    <t>47</t>
  </si>
  <si>
    <t>342264051RT3</t>
  </si>
  <si>
    <t>Podhled sádrokartonový na zavěšenou ocel. konstr., desky standard impreg. tl. 12,5 mm, bez izolace</t>
  </si>
  <si>
    <t>83,00+10,00  1.NP+1.PP, vlhký provoz</t>
  </si>
  <si>
    <t>48</t>
  </si>
  <si>
    <t>347111429IK</t>
  </si>
  <si>
    <t>Předstěna SDK tl.122,5 mm,ocel.kce,oplášť 12,5+12,5</t>
  </si>
  <si>
    <t>265,00   S.02, S.03</t>
  </si>
  <si>
    <t>35,50 předstěny</t>
  </si>
  <si>
    <t>347111499IK</t>
  </si>
  <si>
    <t>Obklad sloupů, šachet, předstěna schodiště, 2x SDK deska bez roštu</t>
  </si>
  <si>
    <t>50</t>
  </si>
  <si>
    <t>Nosný rošt ocel.systémové SDK kce, svislé prvky á 600 mm</t>
  </si>
  <si>
    <t>429,00 S.02, S.04, S.06</t>
  </si>
  <si>
    <t>Stropy a stropní konstrukce (pro pozemní stavby)</t>
  </si>
  <si>
    <t>51</t>
  </si>
  <si>
    <t>413321515R00</t>
  </si>
  <si>
    <t>Nosníky z betonu železového C 30/37</t>
  </si>
  <si>
    <t>41_</t>
  </si>
  <si>
    <t>4_</t>
  </si>
  <si>
    <t>30,80   PRŮVLAKY</t>
  </si>
  <si>
    <t>52</t>
  </si>
  <si>
    <t>413351107R00</t>
  </si>
  <si>
    <t>Bednění nosníků - zřízení</t>
  </si>
  <si>
    <t>(69,55+2,49)*(0,55+0,35+0,55)   1.PP</t>
  </si>
  <si>
    <t>53</t>
  </si>
  <si>
    <t>413351108R00</t>
  </si>
  <si>
    <t>Bednění nosníků - odstranění</t>
  </si>
  <si>
    <t>54</t>
  </si>
  <si>
    <t>413351213R00</t>
  </si>
  <si>
    <t>Podpěrná konstr.nosníků do 4 m,do 10 kPa - zřízení</t>
  </si>
  <si>
    <t>0,35*(69,55+2,49)   1.PP</t>
  </si>
  <si>
    <t>55</t>
  </si>
  <si>
    <t>413351214R00</t>
  </si>
  <si>
    <t>Podpěrná konstr.nosníků do 4 m,10 kPa - odstranění</t>
  </si>
  <si>
    <t>56</t>
  </si>
  <si>
    <t>413361721R00</t>
  </si>
  <si>
    <t>Výztuž nosníků z oceli BSt 500 S</t>
  </si>
  <si>
    <t>2,50*1,10   VÝZTUŽ PRŮVLAKŮ</t>
  </si>
  <si>
    <t>57</t>
  </si>
  <si>
    <t>411321515R00</t>
  </si>
  <si>
    <t>Stropy deskové ze železobetonu C 30/37</t>
  </si>
  <si>
    <t>188,00   V.03, V.04, V.05, V.06</t>
  </si>
  <si>
    <t>58</t>
  </si>
  <si>
    <t>411351101R00</t>
  </si>
  <si>
    <t>Bednění stropů deskových, bednění vlastní -zřízení</t>
  </si>
  <si>
    <t>24*6,525-4,775*1,5   1.PP D.03</t>
  </si>
  <si>
    <t>69,80*6,775-3,3*3,05   1.PP D.01</t>
  </si>
  <si>
    <t>69,83*1,53   1:PP D.02</t>
  </si>
  <si>
    <t>59</t>
  </si>
  <si>
    <t>411351102R00</t>
  </si>
  <si>
    <t>Bednění stropů deskových, vlastní - odstranění</t>
  </si>
  <si>
    <t>69,83*1,53   1.PP D.02</t>
  </si>
  <si>
    <t>60</t>
  </si>
  <si>
    <t>411351801R00</t>
  </si>
  <si>
    <t>Bednění čel stropních desek, zřízení</t>
  </si>
  <si>
    <t>m</t>
  </si>
  <si>
    <t>(4,775+1,5)*2+(24,5+7,025)*2   1.PP D.03</t>
  </si>
  <si>
    <t>69,80+6,775   1.PP D.01</t>
  </si>
  <si>
    <t>69,63+1,53*2   1.PP D.02</t>
  </si>
  <si>
    <t>61</t>
  </si>
  <si>
    <t>411351802R00</t>
  </si>
  <si>
    <t>Bednění čel stropních desek, odstranění</t>
  </si>
  <si>
    <t>69,8+6,775   1.PP D.01</t>
  </si>
  <si>
    <t>62</t>
  </si>
  <si>
    <t>411361721R00</t>
  </si>
  <si>
    <t>Výztuž stropů z oceli Bst 500 S</t>
  </si>
  <si>
    <t>22,250*1,10   VÝZTUŽ STROPŮ</t>
  </si>
  <si>
    <t>63</t>
  </si>
  <si>
    <t>411361921RT8</t>
  </si>
  <si>
    <t>Výztuž stropů svařovanou sítí, průměr drátu  8,0, oka 100/100 mm KY81</t>
  </si>
  <si>
    <t>149,438*0,35*0,00799   1.PP D.03</t>
  </si>
  <si>
    <t>462,83*0,35*0,00799   1.PP D.01</t>
  </si>
  <si>
    <t>106,84*0,35*0,00799   1.PP D.02</t>
  </si>
  <si>
    <t>64</t>
  </si>
  <si>
    <t>411354175R00</t>
  </si>
  <si>
    <t>Podpěrná konstr. stropů do 20 kPa - zřízení</t>
  </si>
  <si>
    <t>65</t>
  </si>
  <si>
    <t>411354176R00</t>
  </si>
  <si>
    <t>Podpěrná konstr. stropů do 20 kPa - odstranění</t>
  </si>
  <si>
    <t>Schodiště</t>
  </si>
  <si>
    <t>66</t>
  </si>
  <si>
    <t>430321514R00</t>
  </si>
  <si>
    <t>Beton schodišťových konstrukcí železový C 30/37</t>
  </si>
  <si>
    <t>43_</t>
  </si>
  <si>
    <t>(3,2*1,5+1,775*1,5)*0,18   11x167/300 mm</t>
  </si>
  <si>
    <t>(3,5*1,7+1,7*2,03)*0,18   12x167/300 mm ext.</t>
  </si>
  <si>
    <t>(1,2*3,2+1,15*2,1+1,0*1,2+1,2*1,2*2)*0,18   20x168/300 mm</t>
  </si>
  <si>
    <t>67</t>
  </si>
  <si>
    <t>430361721R00</t>
  </si>
  <si>
    <t>Výztuž schodišť. konstrukcí ocel BSt 500 S</t>
  </si>
  <si>
    <t>1,35*0,15   11x167/300 mm</t>
  </si>
  <si>
    <t>1,692*0,15   12x167/300 mm ext.</t>
  </si>
  <si>
    <t>1,860*0,15   20x168/300 mm</t>
  </si>
  <si>
    <t>68</t>
  </si>
  <si>
    <t>433351131R00</t>
  </si>
  <si>
    <t>Bednění schodnic přímočarých - zřízení</t>
  </si>
  <si>
    <t>3,2*1,1+3,2*0,25+1,775*1,5+1,5*0,25   11x167/300 mm</t>
  </si>
  <si>
    <t>3,5*1,7+1,7*2,03   12x167/300 mm ext.</t>
  </si>
  <si>
    <t>1,2*3,2+1,15*2,1+1,0*1,2+1,2*1,2*2+8,4*0,25   20x168/300 mm</t>
  </si>
  <si>
    <t>69</t>
  </si>
  <si>
    <t>433351132R00</t>
  </si>
  <si>
    <t>Bednění schodnic přímočarých - odstranění</t>
  </si>
  <si>
    <t>70</t>
  </si>
  <si>
    <t>433351138R00</t>
  </si>
  <si>
    <t>Příplatek za podpěrnou konstr. schodnic - zřízení</t>
  </si>
  <si>
    <t>3,2*1,1+3,2*0,25+1,775*1,5+1,50*0,25   11x167/300 mm</t>
  </si>
  <si>
    <t>1,2*3,2+1,15*2,1+1,0*1,2+1,2*1,2*2   20x168/300 mm</t>
  </si>
  <si>
    <t>71</t>
  </si>
  <si>
    <t>433351139R00</t>
  </si>
  <si>
    <t>Příplatek za podpěrnou konstr. schodnic-odstranění</t>
  </si>
  <si>
    <t>72</t>
  </si>
  <si>
    <t>434311116R00</t>
  </si>
  <si>
    <t>Stupně dusané na terén, na desku, z betonu C 25/30</t>
  </si>
  <si>
    <t>1,50*11   11x167/300 mm</t>
  </si>
  <si>
    <t>1,7*12   12x167/300 mm ext.</t>
  </si>
  <si>
    <t>1,20*20   20y168/300 mm</t>
  </si>
  <si>
    <t>73</t>
  </si>
  <si>
    <t>434351141R00</t>
  </si>
  <si>
    <t>Bednění stupňů přímočarých - zřízení</t>
  </si>
  <si>
    <t>1,50*0,2*11   11x167/300 mm</t>
  </si>
  <si>
    <t>1,70*0,2*12   12x167/300 mm ext.</t>
  </si>
  <si>
    <t>1,20*0,2*20   20x168/300 mm</t>
  </si>
  <si>
    <t>74</t>
  </si>
  <si>
    <t>434351142R00</t>
  </si>
  <si>
    <t>Bednění stupňů přímočarých - odstranění</t>
  </si>
  <si>
    <t>1,2*0,2*20   20x168/300 mm</t>
  </si>
  <si>
    <t>75</t>
  </si>
  <si>
    <t>435121119IK</t>
  </si>
  <si>
    <t>Montáž prefa lavic tribuny, včetně dodávky ŽB výrobků DLE ŘEŠENÍ STATIKY</t>
  </si>
  <si>
    <t>soub</t>
  </si>
  <si>
    <t>1   tribuna</t>
  </si>
  <si>
    <t>Zastřešení</t>
  </si>
  <si>
    <t>76</t>
  </si>
  <si>
    <t>444172113R00</t>
  </si>
  <si>
    <t>Mtž panelů k oc.prof, střecha jedn.,RW, tl.80 mm</t>
  </si>
  <si>
    <t>44_</t>
  </si>
  <si>
    <t>3,5*125   V.09 PULTOVÁ STŘECHA</t>
  </si>
  <si>
    <t>77</t>
  </si>
  <si>
    <t>61230899IK</t>
  </si>
  <si>
    <t>Panel sendvičový 3500/1000/188 mm, jádro IPN tl.100 mm, spodní povrch trapéz.plech, horní povrch rovný plech</t>
  </si>
  <si>
    <t>125   V.09 SENDVIČOVÝ PANEL</t>
  </si>
  <si>
    <t>Podkladní vrstvy komunikací, letišť a ploch</t>
  </si>
  <si>
    <t>78</t>
  </si>
  <si>
    <t>564851111R00</t>
  </si>
  <si>
    <t>Podklad ze štěrkodrti po zhutnění tloušťky 15 cm</t>
  </si>
  <si>
    <t>56_</t>
  </si>
  <si>
    <t>5_</t>
  </si>
  <si>
    <t>177,00   Ex.1</t>
  </si>
  <si>
    <t>79</t>
  </si>
  <si>
    <t>564201111R00</t>
  </si>
  <si>
    <t>Podklad ze štěrkopísku po zhutnění tloušťky 4 cm</t>
  </si>
  <si>
    <t>Kryty pozemních komunikací, letišť a ploch z betonu a ostatních hmot</t>
  </si>
  <si>
    <t>80</t>
  </si>
  <si>
    <t>589151004RT3</t>
  </si>
  <si>
    <t>Kryt sportovních ploch, umělý pryžový povrch tl.15 mm</t>
  </si>
  <si>
    <t>58_</t>
  </si>
  <si>
    <t>81</t>
  </si>
  <si>
    <t>589651101R00</t>
  </si>
  <si>
    <t>Penetrace pro sportovní povrchy</t>
  </si>
  <si>
    <t>82</t>
  </si>
  <si>
    <t>589651121R00</t>
  </si>
  <si>
    <t>Lajnování sportovních ploch Conipur 60, do š.12 cm</t>
  </si>
  <si>
    <t>(62,267+23,135)*5+5,0*3   skladba V.1</t>
  </si>
  <si>
    <t>83</t>
  </si>
  <si>
    <t>589152009IK</t>
  </si>
  <si>
    <t>Sportovní plocha, umělý povrch  z dlaždic z pryžového granulátu 500x500x25 mm, včetně podkladního souvrství a zemních prací</t>
  </si>
  <si>
    <t>22,0*6,7+2,2*100,0   Ex.02</t>
  </si>
  <si>
    <t>Kryty pozemních komunikací, letišť a ploch dlážděných (předlažby)</t>
  </si>
  <si>
    <t>84</t>
  </si>
  <si>
    <t>596215040R00</t>
  </si>
  <si>
    <t>Kladení zámkové dlažby tl. 8 cm do drtě tl. 4 cm</t>
  </si>
  <si>
    <t>59_</t>
  </si>
  <si>
    <t>2,50  Ex.7</t>
  </si>
  <si>
    <t>85</t>
  </si>
  <si>
    <t>59245266</t>
  </si>
  <si>
    <t>Dlažba šedá  50x50x8 cm</t>
  </si>
  <si>
    <t>(2,50)*1,15   Ex.7</t>
  </si>
  <si>
    <t>Úprava povrchů vnitřní</t>
  </si>
  <si>
    <t>86</t>
  </si>
  <si>
    <t>612475111RT1</t>
  </si>
  <si>
    <t>Omítka vnitřních stěn Hasit vápenocem. jednovrstvá, tloušťka vrstvy 5 mm</t>
  </si>
  <si>
    <t>61_</t>
  </si>
  <si>
    <t>6_</t>
  </si>
  <si>
    <t>275,53+467,17-333,801   ŽB stěny 1.PP</t>
  </si>
  <si>
    <t>0,35*4*2,71*8   ŽB sloupy 1.PP</t>
  </si>
  <si>
    <t>87</t>
  </si>
  <si>
    <t>611475199IK</t>
  </si>
  <si>
    <t>Pohledový beton stropu, příplatek za pracnost</t>
  </si>
  <si>
    <t>725,56   ŽB strop 1.PP</t>
  </si>
  <si>
    <t>88</t>
  </si>
  <si>
    <t>602016193R00</t>
  </si>
  <si>
    <t>Penetrace hloubková stěn PROFI Akryl-Tiefengrund</t>
  </si>
  <si>
    <t>699,72  ŽB strop 1.PP</t>
  </si>
  <si>
    <t>89</t>
  </si>
  <si>
    <t>610991111R00</t>
  </si>
  <si>
    <t>Zakrývání výplní vnitřních otvorů</t>
  </si>
  <si>
    <t>4,8+16,8+3,6+25,2   plast.výplně otvorů 1.PP a 1.NP</t>
  </si>
  <si>
    <t>13,23+15,67+84,80+3,672   plast.výplně otvorů</t>
  </si>
  <si>
    <t>1,0*2,2*25*2   dveře interiérové</t>
  </si>
  <si>
    <t>Úprava povrchů vnější</t>
  </si>
  <si>
    <t>90</t>
  </si>
  <si>
    <t>622311137RT5</t>
  </si>
  <si>
    <t>Zateplovací systém Baumit, fasáda, EPS F tl.200 mm, s omítkou NanoporTop K2, lepidlo ProContact</t>
  </si>
  <si>
    <t>62_</t>
  </si>
  <si>
    <t>24,895*2,838+7,425*2,10+24,895*3,749   S.01, ŽB stěna nad terénem</t>
  </si>
  <si>
    <t>-1,8*1,0*14-1,06*2,16   odpočet otvorů</t>
  </si>
  <si>
    <t>91</t>
  </si>
  <si>
    <t>622311154RT5</t>
  </si>
  <si>
    <t>Zateplovací systém Baumit, ostění, EPS F tl. 40 mm, s omítkou NanoporTop K2, lepidlo ProContact</t>
  </si>
  <si>
    <t>(1,8+1,0)*2*0,2*14   </t>
  </si>
  <si>
    <t>(0,9+2,08*2)*0,2*2   </t>
  </si>
  <si>
    <t>92</t>
  </si>
  <si>
    <t>620991121R00</t>
  </si>
  <si>
    <t>Zakrývání výplní vnějších otvorů z lešení</t>
  </si>
  <si>
    <t>13,23+15,67+84,80+3,672   hliníkové výplně otvorů</t>
  </si>
  <si>
    <t>Podlahy a podlahové konstrukce</t>
  </si>
  <si>
    <t>93</t>
  </si>
  <si>
    <t>631313511R00</t>
  </si>
  <si>
    <t>Mazanina betonová tl. 8 - 12 cm C 12/15</t>
  </si>
  <si>
    <t>63_</t>
  </si>
  <si>
    <t>699,72*0,12   V.01</t>
  </si>
  <si>
    <t>122,00*0,065  V.03, spádový beton</t>
  </si>
  <si>
    <t>155,00*0,065  V.05, spádový beton</t>
  </si>
  <si>
    <t>94</t>
  </si>
  <si>
    <t>631319153R00</t>
  </si>
  <si>
    <t>Příplatek za přehlaz. mazanin pod povlaky do tl. 12 cm</t>
  </si>
  <si>
    <t>83,966,00   V.01</t>
  </si>
  <si>
    <t>95</t>
  </si>
  <si>
    <t>631312621R00</t>
  </si>
  <si>
    <t>Mazanina betonová tl. 5 - 8 cm C 20/25</t>
  </si>
  <si>
    <t>699,72*0,075   V.01</t>
  </si>
  <si>
    <t>391,27*0,075   V.02</t>
  </si>
  <si>
    <t>204,91*0,06   skladba V.03</t>
  </si>
  <si>
    <t>83,80*0,06   Ex.2, rampy, terasy</t>
  </si>
  <si>
    <t>631313811R00</t>
  </si>
  <si>
    <t>Mazanina betonová tl. 8 - 12 cm C 30/37</t>
  </si>
  <si>
    <t>122,00*0,12 V.03</t>
  </si>
  <si>
    <t>45,00*0,12 V.04</t>
  </si>
  <si>
    <t>97</t>
  </si>
  <si>
    <t>631317210R00</t>
  </si>
  <si>
    <t>Řezání dilatační spáry hl. 0-120 mm, železobeton</t>
  </si>
  <si>
    <t>64*2+7*5   </t>
  </si>
  <si>
    <t>98</t>
  </si>
  <si>
    <t>631319161R00</t>
  </si>
  <si>
    <t>Příplatek za konečnou úpravu mazanin tl. 8 cm</t>
  </si>
  <si>
    <t>122,00*0,12   skladba V.03</t>
  </si>
  <si>
    <t>45,00*0,12   skladba V.04</t>
  </si>
  <si>
    <t>83,80*0,06   Ex.1, rampy, terasy</t>
  </si>
  <si>
    <t>99</t>
  </si>
  <si>
    <t>631319171R00</t>
  </si>
  <si>
    <t>Příplatek za stržení povrchu mazaniny tl. 8 cm</t>
  </si>
  <si>
    <t>699,72*0,075   skladba V.01</t>
  </si>
  <si>
    <t>391,27*0,075   skladba V.02</t>
  </si>
  <si>
    <t>100</t>
  </si>
  <si>
    <t>631361921RT0</t>
  </si>
  <si>
    <t>Výztuž mazanin svařovanou sítí, průměr drátu  4,0, oka 150/150 mm KA17</t>
  </si>
  <si>
    <t>699,72*0,00135*1,15   V.01</t>
  </si>
  <si>
    <t>391,27*0,00135*1,15   skladba V.02</t>
  </si>
  <si>
    <t>204,91*0,00135*1,15   skladba V.03</t>
  </si>
  <si>
    <t>83,80*0,00135*1,15   Ex.2, rampy, terasy</t>
  </si>
  <si>
    <t>101</t>
  </si>
  <si>
    <t>631361921RT4</t>
  </si>
  <si>
    <t>Výztuž mazanin svařovanou sítí, průměr drátu  6,0, oka 100/100 mm KH30</t>
  </si>
  <si>
    <t>314,2*0,00444*1,15 V.01, V.02, V.03, Ex.01</t>
  </si>
  <si>
    <t>102</t>
  </si>
  <si>
    <t>632922953RT5</t>
  </si>
  <si>
    <t>Kladení dlaždic 50x50 cm na stavitel. terče plast., výškově stavitelné podstavce 151-191 mm</t>
  </si>
  <si>
    <t>49,75   V.05</t>
  </si>
  <si>
    <t>Výplně otvorů</t>
  </si>
  <si>
    <t>103</t>
  </si>
  <si>
    <t>642941211RT3</t>
  </si>
  <si>
    <t>Pouzdro pro posuvné dveře jednostranné, do SDK, jednostranné pouzdro 800/2100 mm</t>
  </si>
  <si>
    <t>64_</t>
  </si>
  <si>
    <t>104</t>
  </si>
  <si>
    <t>642942214RT2</t>
  </si>
  <si>
    <t>Osazení zárubně do sádrokarton. příčky tl. 150 mm, včetně dodávky zárubně 700-1100/150 mm</t>
  </si>
  <si>
    <t>1   700/2100 mm</t>
  </si>
  <si>
    <t>10   800/2100 mm</t>
  </si>
  <si>
    <t>3   900/2100 mm</t>
  </si>
  <si>
    <t>2   1100/2100 mm</t>
  </si>
  <si>
    <t>105</t>
  </si>
  <si>
    <t>6429422159IK</t>
  </si>
  <si>
    <t>Osazení zárubně do sádrokarton. příčky tl. 200 mm, včetně dodávky zárubně 700-1100/200 mm</t>
  </si>
  <si>
    <t>3+4+1+1   800/2100 mm</t>
  </si>
  <si>
    <t>Doplňující konstrukce a práce na pozemních komunikacích a zpevněných plochách</t>
  </si>
  <si>
    <t>106</t>
  </si>
  <si>
    <t>917762111RT8</t>
  </si>
  <si>
    <t>Osazení prefa schodišťového stupně do betonového lože C 12/15, včetně dodávky prefa dílců</t>
  </si>
  <si>
    <t>91_</t>
  </si>
  <si>
    <t>9_</t>
  </si>
  <si>
    <t>(1,2*3)*5+(1,8*2*3)*5   schod.stupně prefa tribuny</t>
  </si>
  <si>
    <t>13,5*3+11,0*2+7,0   schod.stupně z ulice</t>
  </si>
  <si>
    <t>13,0    schod.stupně</t>
  </si>
  <si>
    <t>107</t>
  </si>
  <si>
    <t>917862111RT7</t>
  </si>
  <si>
    <t>Osazení stojat. obrub.bet. s opěrou,lože z C 12/15, včetně obrubníku ABO 2 - 15 100/15/25</t>
  </si>
  <si>
    <t>120,0+30,0   Ex.8, Ovál</t>
  </si>
  <si>
    <t>Lešení a stavební výtahy</t>
  </si>
  <si>
    <t>108</t>
  </si>
  <si>
    <t>941941041R00</t>
  </si>
  <si>
    <t>Montáž lešení leh.řad.s podlahami,š.1,2 m, H 10 m</t>
  </si>
  <si>
    <t>94_</t>
  </si>
  <si>
    <t>24,0*4,5*2+14,0*4,5*2+75,0*4,5+75,0*6,5   </t>
  </si>
  <si>
    <t>109</t>
  </si>
  <si>
    <t>941941291R00</t>
  </si>
  <si>
    <t>Příplatek za každý měsíc použití lešení k pol.1041</t>
  </si>
  <si>
    <t>1167*5   </t>
  </si>
  <si>
    <t>110</t>
  </si>
  <si>
    <t>941941841R00</t>
  </si>
  <si>
    <t>Demontáž lešení leh.řad.s podlahami,š.1,2 m,H 10 m</t>
  </si>
  <si>
    <t>1167   </t>
  </si>
  <si>
    <t>111</t>
  </si>
  <si>
    <t>944944011R00</t>
  </si>
  <si>
    <t>Montáž ochranné sítě z umělých vláken</t>
  </si>
  <si>
    <t>112</t>
  </si>
  <si>
    <t>944944031R00</t>
  </si>
  <si>
    <t>Příplatek za každý měsíc použití sítí k pol. 4011</t>
  </si>
  <si>
    <t>113</t>
  </si>
  <si>
    <t>944944081R00</t>
  </si>
  <si>
    <t>Demontáž ochranné sítě z umělých vláken</t>
  </si>
  <si>
    <t>114</t>
  </si>
  <si>
    <t>941955001R00</t>
  </si>
  <si>
    <t>Lešení lehké pomocné, výška podlahy do 1,2 m</t>
  </si>
  <si>
    <t>180   </t>
  </si>
  <si>
    <t>115</t>
  </si>
  <si>
    <t>941955002R00</t>
  </si>
  <si>
    <t>Lešení lehké pomocné, výška podlahy do 1,9 m</t>
  </si>
  <si>
    <t>120   </t>
  </si>
  <si>
    <t>116</t>
  </si>
  <si>
    <t>941955003R00</t>
  </si>
  <si>
    <t>Lešení lehké pomocné, výška podlahy do 2,5 m</t>
  </si>
  <si>
    <t>Různé dokončovací konstrukce a práce na pozemních stavbách</t>
  </si>
  <si>
    <t>117</t>
  </si>
  <si>
    <t>953171998IK</t>
  </si>
  <si>
    <t>Dodávka a montáž PHP, typ 21A</t>
  </si>
  <si>
    <t>95_</t>
  </si>
  <si>
    <t>5,0   požadavek PBŘ</t>
  </si>
  <si>
    <t>118</t>
  </si>
  <si>
    <t>953171999IK</t>
  </si>
  <si>
    <t>Požární dovybavení objektu jinde neuvedené (např.infotabulky, ucpávky)</t>
  </si>
  <si>
    <t>1,0   požadavek PBŘ</t>
  </si>
  <si>
    <t>119</t>
  </si>
  <si>
    <t>953951199IK</t>
  </si>
  <si>
    <t>Záchytný systém střechy, kotevní body s permanentním nerezovým lanem</t>
  </si>
  <si>
    <t>1,0   včetně dokumentace k systému</t>
  </si>
  <si>
    <t>120</t>
  </si>
  <si>
    <t>952901111R00</t>
  </si>
  <si>
    <t>Vyčištění budov o výšce podlaží do 4 m</t>
  </si>
  <si>
    <t>391,27+725,56   </t>
  </si>
  <si>
    <t>121</t>
  </si>
  <si>
    <t>953171901IK</t>
  </si>
  <si>
    <t>Řešení stavby dle detailu D.01 Práh - vstup, včetně souvisejících prací a dodávek</t>
  </si>
  <si>
    <t>1 D.01</t>
  </si>
  <si>
    <t>122</t>
  </si>
  <si>
    <t>953171902IK</t>
  </si>
  <si>
    <t>Řešení stavby dle detailu D.02 Dilatace +Atika, včetně souvisejících prací a dodávek</t>
  </si>
  <si>
    <t>1 D.02</t>
  </si>
  <si>
    <t>123</t>
  </si>
  <si>
    <t>953171903IK</t>
  </si>
  <si>
    <t>Řešení stavby dle detailu D.03 Tribuna - ochoz, včetně souvisejících prací a dodávek</t>
  </si>
  <si>
    <t>1 D.03</t>
  </si>
  <si>
    <t>124</t>
  </si>
  <si>
    <t>953171904IK</t>
  </si>
  <si>
    <t>Řešení stavby dle detailu D.04 Terasa, včetně souvisejících prací a dodávek</t>
  </si>
  <si>
    <t>1 D.04</t>
  </si>
  <si>
    <t>125</t>
  </si>
  <si>
    <t>953171905IK</t>
  </si>
  <si>
    <t>Řešení stavby dle detailu D.05 Sokl, včetně souvisejících prací a dodávek</t>
  </si>
  <si>
    <t>1 D.05</t>
  </si>
  <si>
    <t>126</t>
  </si>
  <si>
    <t>953171906IK</t>
  </si>
  <si>
    <t>Řešení stavby dle detailu D.06 Základová deska - stěna, včetně souvisejících prací a dodávek</t>
  </si>
  <si>
    <t>1 D.06</t>
  </si>
  <si>
    <t>127</t>
  </si>
  <si>
    <t>953171907IK</t>
  </si>
  <si>
    <t>Řešení stavby dle detailu D.07 Schod k ochozu k hlasatelně, včetně souvisejících prací a dodávek</t>
  </si>
  <si>
    <t>1 D.07</t>
  </si>
  <si>
    <t>128</t>
  </si>
  <si>
    <t>953171908IK</t>
  </si>
  <si>
    <t>Řešení stavby dle detailu D.08 Ukončení ochozu, včetně souvisejících prací a dodávek</t>
  </si>
  <si>
    <t>1 D.08</t>
  </si>
  <si>
    <t>129</t>
  </si>
  <si>
    <t>953171909IK</t>
  </si>
  <si>
    <t>Řešení stavby dle detailu D.09 Vstup - suterén, včetně souvisejících prací a dodávek</t>
  </si>
  <si>
    <t>1 D.09</t>
  </si>
  <si>
    <t>130</t>
  </si>
  <si>
    <t>9539009V.16IK</t>
  </si>
  <si>
    <t>Ostatní vybavení, projekční plátno roletové 100” s nastav.odrolováním, s kontr.okraji, pozor.úhel 160°, projekční plocha min. 2,20x1,20 m</t>
  </si>
  <si>
    <t>1   TAB_08, V.16 PROJEKČNÍ PLÁTNO</t>
  </si>
  <si>
    <t>131</t>
  </si>
  <si>
    <t>9539009V.17IK</t>
  </si>
  <si>
    <t>Ostatní vybavení, židle kancelářská s područkami - typ 1; výškově nastavitelný podsedák</t>
  </si>
  <si>
    <t>1*2+2*2   TAB_08, V.17 ŽIDLE KANCELÁŘSKÁ</t>
  </si>
  <si>
    <t>132</t>
  </si>
  <si>
    <t>9539009V.18IK</t>
  </si>
  <si>
    <t>Ostatní vybavení, židle stohovatelná, samostavitelné plastové nohy, sedák z formované vrstvené a lepené dřevěné dýhy, laminát</t>
  </si>
  <si>
    <t>20   TAB_08, V.18 ŽIDLE STOHOVATELNÁ</t>
  </si>
  <si>
    <t>133</t>
  </si>
  <si>
    <t>9539009V.19IK</t>
  </si>
  <si>
    <t>Ostatní vybavení, stůl čtvercový 750/750, výška 740 mm, kovový rám - ocel, polyesterový práškový lak, nohy ocelové, stolová deska dřevotřísková</t>
  </si>
  <si>
    <t>6   TAB_08, V.19 STŮL</t>
  </si>
  <si>
    <t>979</t>
  </si>
  <si>
    <t>Přesuny sutí</t>
  </si>
  <si>
    <t>134</t>
  </si>
  <si>
    <t>979081111R00</t>
  </si>
  <si>
    <t>Odvoz suti a vybour. hmot na skládku do 1 km</t>
  </si>
  <si>
    <t>979_</t>
  </si>
  <si>
    <t>50,0   stavební odpad, obaly</t>
  </si>
  <si>
    <t>135</t>
  </si>
  <si>
    <t>979081121R00</t>
  </si>
  <si>
    <t>Příplatek k odvozu za každý další 1 km</t>
  </si>
  <si>
    <t>50*20   </t>
  </si>
  <si>
    <t>136</t>
  </si>
  <si>
    <t>979082111R00</t>
  </si>
  <si>
    <t>Vnitrostaveništní doprava suti do 10 m</t>
  </si>
  <si>
    <t>50,0   </t>
  </si>
  <si>
    <t>137</t>
  </si>
  <si>
    <t>979082121R00</t>
  </si>
  <si>
    <t>Příplatek k vnitrost. dopravě suti za dalších 5 m</t>
  </si>
  <si>
    <t>50,0*10   </t>
  </si>
  <si>
    <t>138</t>
  </si>
  <si>
    <t>979093111R00</t>
  </si>
  <si>
    <t>Uložení suti na skládku bez zhutnění</t>
  </si>
  <si>
    <t>139</t>
  </si>
  <si>
    <t>979087313R00</t>
  </si>
  <si>
    <t>Nakládání vybouraných trub na dopravní prostředek</t>
  </si>
  <si>
    <t>140</t>
  </si>
  <si>
    <t>979990107R00</t>
  </si>
  <si>
    <t>Poplatek za skládku suti - směs betonu,cihel,dřeva</t>
  </si>
  <si>
    <t>998</t>
  </si>
  <si>
    <t>Přesun hmot pro HSV</t>
  </si>
  <si>
    <t>141</t>
  </si>
  <si>
    <t>998012021R00</t>
  </si>
  <si>
    <t>Přesun hmot pro budovy monolitické výšky do 6 m</t>
  </si>
  <si>
    <t>998_</t>
  </si>
  <si>
    <t>3142</t>
  </si>
  <si>
    <t>711</t>
  </si>
  <si>
    <t>Izolace proti vodě</t>
  </si>
  <si>
    <t>142</t>
  </si>
  <si>
    <t>711111001RZ1</t>
  </si>
  <si>
    <t>Izolace proti vlhkosti vodor. nátěr ALP za studena, 1x nátěr - včetně dodávky penetračního laku ALP</t>
  </si>
  <si>
    <t>711_</t>
  </si>
  <si>
    <t>71_</t>
  </si>
  <si>
    <t>122,00  V.03</t>
  </si>
  <si>
    <t>45,00  V.04</t>
  </si>
  <si>
    <t>155,00  V.05, V.06</t>
  </si>
  <si>
    <t>143</t>
  </si>
  <si>
    <t>711112001RZ1</t>
  </si>
  <si>
    <t>Izolace proti vlhkosti svis. nátěr ALP, za studena,1x nátěr - včetně dodávky asfaltového laku</t>
  </si>
  <si>
    <t>(94,30+8,655)*2*3,95   S.01</t>
  </si>
  <si>
    <t>144</t>
  </si>
  <si>
    <t>711131101RZ1</t>
  </si>
  <si>
    <t>Izolace proti vlhkosti vodorovná pásy na sucho,1 vrstva - včetně dodávky A 330/H</t>
  </si>
  <si>
    <t>145</t>
  </si>
  <si>
    <t>711141559RZ2</t>
  </si>
  <si>
    <t>Izolace proti vlhk. vodorovná pásy přitavením, 2 vrstvy - včetně dodávky Bitubitagit S 35</t>
  </si>
  <si>
    <t>699,72 V.01</t>
  </si>
  <si>
    <t>122,00  skladba V.03</t>
  </si>
  <si>
    <t>155,00  skladba V.05, V.06</t>
  </si>
  <si>
    <t>146</t>
  </si>
  <si>
    <t>711142559RZ2</t>
  </si>
  <si>
    <t>Izolace proti vlhkosti svislá pásy přitavením, 2 vrstvy - včetně dodávky Bitubitagit S 35</t>
  </si>
  <si>
    <t>147</t>
  </si>
  <si>
    <t>711482001RZ1</t>
  </si>
  <si>
    <t>Izolační systém Tefond, jednoduchý spoj, svisle, včetně dodávky fólie Tefond a spojovacích prvků</t>
  </si>
  <si>
    <t>148</t>
  </si>
  <si>
    <t>711823111RT2</t>
  </si>
  <si>
    <t>Položení nopové fólie vodorovně, včetně dodávky fólie</t>
  </si>
  <si>
    <t>122,00   V.03</t>
  </si>
  <si>
    <t>45,00   V.04</t>
  </si>
  <si>
    <t>114,00   V.06</t>
  </si>
  <si>
    <t>149</t>
  </si>
  <si>
    <t>711171559RT3</t>
  </si>
  <si>
    <t>Izolace proti vlhkosti vodorovná, fólií, volně, včetně fólie PVC, tl. 1,5 mm</t>
  </si>
  <si>
    <t>155,00   V.05, V.06</t>
  </si>
  <si>
    <t>150</t>
  </si>
  <si>
    <t>711491172RZ2</t>
  </si>
  <si>
    <t>Izolace tlaková, ochranná textilie, vodorovná, včetně dodávky textilie</t>
  </si>
  <si>
    <t>699,72*2  V.01</t>
  </si>
  <si>
    <t>122,00 V.03</t>
  </si>
  <si>
    <t>45,00 V.04</t>
  </si>
  <si>
    <t>114,00 V.06</t>
  </si>
  <si>
    <t>151</t>
  </si>
  <si>
    <t>711491171RZ2</t>
  </si>
  <si>
    <t>Izolace tlaková, podkladní textilie, vodorovná, včetně dodávky textilie</t>
  </si>
  <si>
    <t>122,00*2  V.03</t>
  </si>
  <si>
    <t>45,00*2 V.04</t>
  </si>
  <si>
    <t>114,00*2   V.06</t>
  </si>
  <si>
    <t>152</t>
  </si>
  <si>
    <t>711823121RT5</t>
  </si>
  <si>
    <t>Montáž nopové fólie svisle, včetně dodávky fólie</t>
  </si>
  <si>
    <t>(24,1+6,625)*2*1,10   svislá plocha střechy, atika</t>
  </si>
  <si>
    <t>153</t>
  </si>
  <si>
    <t>998711101R00</t>
  </si>
  <si>
    <t>Přesun hmot pro izolace proti vodě, výšky do 6 m</t>
  </si>
  <si>
    <t>19,83   </t>
  </si>
  <si>
    <t>712</t>
  </si>
  <si>
    <t>Izolace střech (živičné krytiny)</t>
  </si>
  <si>
    <t>154</t>
  </si>
  <si>
    <t>712311101RZ1</t>
  </si>
  <si>
    <t>Povlaková krytina střech do 10°, za studena ALP, 1 x nátěr - včetně dodávky ALP</t>
  </si>
  <si>
    <t>712_</t>
  </si>
  <si>
    <t>24,1*6,625+(24,1+6,625)*2*0,2   vodorovná plocha střechy</t>
  </si>
  <si>
    <t>155</t>
  </si>
  <si>
    <t>712341559RZ3</t>
  </si>
  <si>
    <t>Povlaková krytina střech do 10°, NAIP přitavením, 1 vrstva - včetně dodávky Bitagit S</t>
  </si>
  <si>
    <t>156</t>
  </si>
  <si>
    <t>712391171RZ5</t>
  </si>
  <si>
    <t>Povlaková krytina střech do 10°, podklad. textilie, 1 vrstva - včetně dodávky textilie geoNETEX</t>
  </si>
  <si>
    <t>157</t>
  </si>
  <si>
    <t>712391172RZ5</t>
  </si>
  <si>
    <t>Povlaková krytina střech do 10°, ochran. textilie, 1 vrstva - včetně dodávky textilie geoNETEX</t>
  </si>
  <si>
    <t>158</t>
  </si>
  <si>
    <t>712372111RV3</t>
  </si>
  <si>
    <t>Krytina střech do 10° fólie, 4 kotvy/m2, na beton, tl. izolace do 300 mm, Alkorplan 35176 tl. 1,5 mm</t>
  </si>
  <si>
    <t>(24,1+6,625)*2*1,10   střecha plochá V.4</t>
  </si>
  <si>
    <t>159</t>
  </si>
  <si>
    <t>712800030RAA</t>
  </si>
  <si>
    <t>Zelená střecha, extenzívní zeleň, substráty do tl. 10 cm s kondicionerem</t>
  </si>
  <si>
    <t>114,00   vodorovná plocha střechy</t>
  </si>
  <si>
    <t>160</t>
  </si>
  <si>
    <t>712378003R00</t>
  </si>
  <si>
    <t>Atiková okapnice VIPLANYL RŠ 250 mm</t>
  </si>
  <si>
    <t>(24,10+6,625)*2   střecha V.4</t>
  </si>
  <si>
    <t>161</t>
  </si>
  <si>
    <t>998712101R00</t>
  </si>
  <si>
    <t>Přesun hmot pro povlakové krytiny, výšky do 6 m</t>
  </si>
  <si>
    <t>7,11</t>
  </si>
  <si>
    <t>713</t>
  </si>
  <si>
    <t>Izolace tepelné</t>
  </si>
  <si>
    <t>162</t>
  </si>
  <si>
    <t>713121111RV5</t>
  </si>
  <si>
    <t>Izolace tepelná podlah na sucho, jednovrstvá, včetně dodávky polystyren EPS 150 S tl. 120 mm</t>
  </si>
  <si>
    <t>713_</t>
  </si>
  <si>
    <t>669,72   V.01</t>
  </si>
  <si>
    <t>163</t>
  </si>
  <si>
    <t>713121111RU1</t>
  </si>
  <si>
    <t>Izolace tepelná podlah na sucho, jednovrstvá, včetně dodávky EPS tl. 20 mm</t>
  </si>
  <si>
    <t>(7,025*2+8,655)*0,30-0,35*0,35*11   V.01</t>
  </si>
  <si>
    <t>164</t>
  </si>
  <si>
    <t>713191100RT9</t>
  </si>
  <si>
    <t>Položení separační fólie, včetně dodávky PE fólie</t>
  </si>
  <si>
    <t>391,27   V.02</t>
  </si>
  <si>
    <t>204,91   skladba V.3</t>
  </si>
  <si>
    <t>165</t>
  </si>
  <si>
    <t>713131131R00</t>
  </si>
  <si>
    <t>Izolace tepelná stěn lepením</t>
  </si>
  <si>
    <t>(94,30+8,655)*2*3,95   skladba S.3</t>
  </si>
  <si>
    <t>166</t>
  </si>
  <si>
    <t>283754851</t>
  </si>
  <si>
    <t>Deska polystyrenová XPS Austrotherm TOP30 SF 200mm</t>
  </si>
  <si>
    <t>(94,30+8,655)*2*3,95*1,15   skladba S.3</t>
  </si>
  <si>
    <t>167</t>
  </si>
  <si>
    <t>713141313R00</t>
  </si>
  <si>
    <t>Izolace tepelná střech do tl.200 mm,1vrstva,kotvy</t>
  </si>
  <si>
    <t>24,1*6,625   vodorovná plocha střechy</t>
  </si>
  <si>
    <t>168</t>
  </si>
  <si>
    <t>28375971</t>
  </si>
  <si>
    <t>Deska spádová EPS 100 BACHL</t>
  </si>
  <si>
    <t>24,1*6,625*0,190*1,15   vodorovná plocha střechy</t>
  </si>
  <si>
    <t>169</t>
  </si>
  <si>
    <t>28375704</t>
  </si>
  <si>
    <t>Deska izolační stabilizov. EPS 100  1000 x 500 mm</t>
  </si>
  <si>
    <t>24,1*6,625*0,08*1,15   vodorovná plocha střechy</t>
  </si>
  <si>
    <t>170</t>
  </si>
  <si>
    <t>713141312R00</t>
  </si>
  <si>
    <t>Izolace tepelná střech do tl.160 mm,1vrstva,kotvy</t>
  </si>
  <si>
    <t>171</t>
  </si>
  <si>
    <t>713111121R00</t>
  </si>
  <si>
    <t>Izolace tepelné stropů rovných spodem, drátem</t>
  </si>
  <si>
    <t>(318,00+83,00)*2   V.07</t>
  </si>
  <si>
    <t>(63,0*7,5)*2   V.5, střecha šikmá</t>
  </si>
  <si>
    <t>172</t>
  </si>
  <si>
    <t>63151375.A</t>
  </si>
  <si>
    <t>Deska z minerální plsti ORSIK tl. 1200x600x120 mm</t>
  </si>
  <si>
    <t>(401,00+43,00)*1,15   V.07, SDK podhled 1.NP+1.PP (80+20 mm)</t>
  </si>
  <si>
    <t>(63,0*7,50)*2*1,15   V.5, střecha šikmá</t>
  </si>
  <si>
    <t>173</t>
  </si>
  <si>
    <t>713111221RO6</t>
  </si>
  <si>
    <t>Montáž parozábrany, zavěšené podhl., přelep. spojů, DEKFOL N AL 170 speciál</t>
  </si>
  <si>
    <t>401,00+43,00   SDK podhled 1.NP+1.PP</t>
  </si>
  <si>
    <t>63,0*7,5   V.5, střecha šikmá</t>
  </si>
  <si>
    <t>174</t>
  </si>
  <si>
    <t>713131121R00</t>
  </si>
  <si>
    <t>Izolace tepelná stěn přichycením drátem</t>
  </si>
  <si>
    <t>429,00   S.02, S.03</t>
  </si>
  <si>
    <t>431,00   S.02, S.03</t>
  </si>
  <si>
    <t>175</t>
  </si>
  <si>
    <t>63151374.A</t>
  </si>
  <si>
    <t>Deska z minerální plsti ORSIK tl. 1200x600x100 mm</t>
  </si>
  <si>
    <t>429,00*1,15   S.02, S.03</t>
  </si>
  <si>
    <t>176</t>
  </si>
  <si>
    <t>431,00*1,15   S.02, S.03</t>
  </si>
  <si>
    <t>177</t>
  </si>
  <si>
    <t>713134211RS3</t>
  </si>
  <si>
    <t>Montáž parozábrany na stěny s přelepením spojů, parotěsná fólie</t>
  </si>
  <si>
    <t>429,00   S.02, S.03, S.06</t>
  </si>
  <si>
    <t>178</t>
  </si>
  <si>
    <t>713135112RS2</t>
  </si>
  <si>
    <t>Montáž difúzní fólie na stěny, s přelepením spojů, včetně dodávky fólie</t>
  </si>
  <si>
    <t>265,00  S.02, S.03</t>
  </si>
  <si>
    <t>179</t>
  </si>
  <si>
    <t>713121111R00</t>
  </si>
  <si>
    <t>Izolace tepelná podlah na sucho, jednovrstvá</t>
  </si>
  <si>
    <t>391,27*2   V.02</t>
  </si>
  <si>
    <t>45*2  V.04</t>
  </si>
  <si>
    <t>155*2  V.05</t>
  </si>
  <si>
    <t>114*3  V.06</t>
  </si>
  <si>
    <t>180</t>
  </si>
  <si>
    <t>63153782.A</t>
  </si>
  <si>
    <t>Deska z minerální vlny STEPROCK ND 1000x600x 30 mm</t>
  </si>
  <si>
    <t>391,27*1,15   skladba V.02</t>
  </si>
  <si>
    <t>181</t>
  </si>
  <si>
    <t>28375705</t>
  </si>
  <si>
    <t>Deska izolační stabilizov. EPS 150  1000 x 500 mm</t>
  </si>
  <si>
    <t>122,00*2*0,12*1,15   V.03</t>
  </si>
  <si>
    <t>391,27*0,03*1,15   V.02</t>
  </si>
  <si>
    <t>45,00*0,03*1,15   V.04</t>
  </si>
  <si>
    <t>155,00*0,08*1,15   V.05</t>
  </si>
  <si>
    <t>114,00*0,14*1,15   V.06</t>
  </si>
  <si>
    <t>114,00*0,12*1,15   V.06</t>
  </si>
  <si>
    <t>182</t>
  </si>
  <si>
    <t>Deska izolační PIR tl.80 mm</t>
  </si>
  <si>
    <t>45,00*1,15   V.04</t>
  </si>
  <si>
    <t>155,00*1,15   V.05</t>
  </si>
  <si>
    <t>183</t>
  </si>
  <si>
    <t>Deska polystyrén EPS PERIMETR 80 1250x600x 80 mm</t>
  </si>
  <si>
    <t>114,00*1,15   V.06</t>
  </si>
  <si>
    <t>184</t>
  </si>
  <si>
    <t>998713102R00</t>
  </si>
  <si>
    <t>Přesun hmot pro izolace tepelné, výšky do 12 m</t>
  </si>
  <si>
    <t>26,55</t>
  </si>
  <si>
    <t>720</t>
  </si>
  <si>
    <t>Zdravotechnické instalace</t>
  </si>
  <si>
    <t>185</t>
  </si>
  <si>
    <t>721231111RT4</t>
  </si>
  <si>
    <t>Pojistný přepad střechy</t>
  </si>
  <si>
    <t>720_</t>
  </si>
  <si>
    <t>72_</t>
  </si>
  <si>
    <t>2   střecha V.06</t>
  </si>
  <si>
    <t>186</t>
  </si>
  <si>
    <t>721100901IK</t>
  </si>
  <si>
    <t>ZTI, Zdravotechnické instalace</t>
  </si>
  <si>
    <t>1   ZTI</t>
  </si>
  <si>
    <t>187</t>
  </si>
  <si>
    <t>721100902IK</t>
  </si>
  <si>
    <t>ZTI, Zdravotechnické instalace - areálové rozvody</t>
  </si>
  <si>
    <t>188</t>
  </si>
  <si>
    <t>721100903IK</t>
  </si>
  <si>
    <t>Stavební přípomoce pro ZTI</t>
  </si>
  <si>
    <t>1   </t>
  </si>
  <si>
    <t>189</t>
  </si>
  <si>
    <t>721100904IK</t>
  </si>
  <si>
    <t>Střešní vpusť vodorovná, vyhřívaná DN100 s integrovanou PVC manžetou</t>
  </si>
  <si>
    <t>2   </t>
  </si>
  <si>
    <t>190</t>
  </si>
  <si>
    <t>721100905IK</t>
  </si>
  <si>
    <t>Střešní vpusť svislá, DN100, do ploché střechy s integrovanou PVC manžetou</t>
  </si>
  <si>
    <t>191</t>
  </si>
  <si>
    <t>7211009V.01IK</t>
  </si>
  <si>
    <t>Ostatní vybavení, dávkovač mýdla nástěnný 250 - 350 ml, materiál povrchu chrom lesklý, alt. průhledný plast</t>
  </si>
  <si>
    <t>1*2+2*8   TAB_08, V.01 DÁVKOVAČ MÝDLA</t>
  </si>
  <si>
    <t>192</t>
  </si>
  <si>
    <t>7211009V.02IK</t>
  </si>
  <si>
    <t>Ostatní vybavení, dávkovač mýdla, 350 ml, 122 x 240 x 110 mm, materiál nerez mat</t>
  </si>
  <si>
    <t>1*3   TAB_08, V.02 DÁVKOVAČ MÝDLA</t>
  </si>
  <si>
    <t>193</t>
  </si>
  <si>
    <t>7211009V.03IK</t>
  </si>
  <si>
    <t>Ostatní vybavení, madlo rovné pro tělesně postižené, 800 mm, materiál nerez broušený</t>
  </si>
  <si>
    <t>1*3   TAB_08, V.03 MADLO</t>
  </si>
  <si>
    <t>194</t>
  </si>
  <si>
    <t>7211009V.04IK</t>
  </si>
  <si>
    <t>Ostatní vybavení, madlo sklopné pro tělesně postižené, 813 mm, materiál nerez broušený</t>
  </si>
  <si>
    <t>1*3   TAB_08, V.04 MADLO</t>
  </si>
  <si>
    <t>195</t>
  </si>
  <si>
    <t>7211009V.05IK</t>
  </si>
  <si>
    <t>Ostatní vybavení, zrcadlo výklopné, 400 x 600 mm, materiál nerez broušená</t>
  </si>
  <si>
    <t>1*3   TAB_08, V.05 ZRCADLO</t>
  </si>
  <si>
    <t>196</t>
  </si>
  <si>
    <t>7211009V.06IK</t>
  </si>
  <si>
    <t>Ostatní vybavení, nástěnná štětka na WC, design kulatý, materiál nerez broušená</t>
  </si>
  <si>
    <t>1*11+3*2   TAB_08, V.06 ŠTĚTKA</t>
  </si>
  <si>
    <t>197</t>
  </si>
  <si>
    <t>7211009V.07IK</t>
  </si>
  <si>
    <t>Ostatní vybavení, zásobník na toaletní papír do průměru 30 cm (31/32/13 cm), materiál nerez mat</t>
  </si>
  <si>
    <t>1*7+3*2   TAB_08, V.07 ZÁSOBNÍK TOAL.PAPÍRU</t>
  </si>
  <si>
    <t>198</t>
  </si>
  <si>
    <t>7211009V.08IK</t>
  </si>
  <si>
    <t>Ostatní vybavení, držák na toaletní papír, bez krytu, materiál, nerez broušená</t>
  </si>
  <si>
    <t>1*4   TAB_08, V.08 DRŽÁK NA TOAL.PAPÍR</t>
  </si>
  <si>
    <t>199</t>
  </si>
  <si>
    <t>7211009V.09IK</t>
  </si>
  <si>
    <t>Ostatní vybavení, odpadkový koš kulatý, 5 l, materiál nerez leštěná</t>
  </si>
  <si>
    <t>1*6   TAB_08, V.09 ODPADKOVÝ KOŠ</t>
  </si>
  <si>
    <t>200</t>
  </si>
  <si>
    <t>7211009V.10IK</t>
  </si>
  <si>
    <t>Ostatní vybavení, odpadkový koš závěsný hranatý s rámečkem pro uchycení sáčku, 25 l, 37/46/16,5 cm, materiál nerez</t>
  </si>
  <si>
    <t>1*7   TAB_08, V.10 ODPADKOVÝ KOŠ</t>
  </si>
  <si>
    <t>201</t>
  </si>
  <si>
    <t>7211009V.11IK</t>
  </si>
  <si>
    <t>Ostatní vybavení, zásobník na papírové ručníky 285/400/130 mm, barva bílá, plast odolný, pod zásobníkem zaslepený přívod elektro</t>
  </si>
  <si>
    <t>1*7   TAB_08, V.11 ZÁSOBNÍK RUČNÍKŮ</t>
  </si>
  <si>
    <t>202</t>
  </si>
  <si>
    <t>7211009V.12IK</t>
  </si>
  <si>
    <t>Ostatní vybavení, osoušeč rukou 24,5/39,5/10 cm, materiál povrchu stříkaný nikl, motor 1000 W, hladina akustického výkonu 79 dB(A)</t>
  </si>
  <si>
    <t>1*4   TAB_08, V.12 OSOUŠEČ</t>
  </si>
  <si>
    <t>203</t>
  </si>
  <si>
    <t>7211009V.13IK</t>
  </si>
  <si>
    <t>Ostatní vybavení, nádoba na tříděný odpad, lakovaná šedá trojdílná (papír / plast / ostatní odpad), rozměry 910 / 310 / 690 mm, včetně piktogramů</t>
  </si>
  <si>
    <t>1*2   TAB_08, V.13 NÁDOBA TŘÍDĚNÉHO ODOPADU</t>
  </si>
  <si>
    <t>204</t>
  </si>
  <si>
    <t>7211009V.14IK</t>
  </si>
  <si>
    <t>Ostatní vybavení, samolepící háček, materiál povrchu chrom lesklý</t>
  </si>
  <si>
    <t>4+2+2   TAB_08, V.14 SAMOLEPÍCÍ HÁČKY</t>
  </si>
  <si>
    <t>205</t>
  </si>
  <si>
    <t>7211009V.15IK</t>
  </si>
  <si>
    <t>Ostatní vybavení, drátěná mýdlenka do sprchy 140/90 mm, mosaz, povrch lesklý chrom</t>
  </si>
  <si>
    <t>3*6+1   TAB_08, V.15 MÝDELNÍK</t>
  </si>
  <si>
    <t>731</t>
  </si>
  <si>
    <t>Ústřední vytápění</t>
  </si>
  <si>
    <t>206</t>
  </si>
  <si>
    <t>731100801IK</t>
  </si>
  <si>
    <t>ÚT, Ústřední vytápění</t>
  </si>
  <si>
    <t>731_</t>
  </si>
  <si>
    <t>73_</t>
  </si>
  <si>
    <t>1   ÚT</t>
  </si>
  <si>
    <t>207</t>
  </si>
  <si>
    <t>731100802IK</t>
  </si>
  <si>
    <t>ÚT, stavební přípomoce</t>
  </si>
  <si>
    <t>764</t>
  </si>
  <si>
    <t>Konstrukce klempířské</t>
  </si>
  <si>
    <t>208</t>
  </si>
  <si>
    <t>764232480R00</t>
  </si>
  <si>
    <t>Lemování Ti Zn zdí, krycí pl.2 díly, TK, rš 900 mm</t>
  </si>
  <si>
    <t>764_</t>
  </si>
  <si>
    <t>76_</t>
  </si>
  <si>
    <t>57,50   K.01 OPLECHOVÁNÍ ATIKY, VČ. VŠECH KOTVÍCÍCH A DOPLŇKOVÝCH PRVKŮ</t>
  </si>
  <si>
    <t>209</t>
  </si>
  <si>
    <t>764430220R00</t>
  </si>
  <si>
    <t>Oplechování zdí z Pz plechu, rš 330 mm, poplastovaný plech</t>
  </si>
  <si>
    <t>73,00   K.02, OLECHOVÁNÍ ATIKY VČ. VŠECH KOTVÍCÍCH A DOPLŇKOVÝCH PRVKŮ</t>
  </si>
  <si>
    <t>210</t>
  </si>
  <si>
    <t>764392280R00</t>
  </si>
  <si>
    <t>Úžlabí z Pz plechu, rš 1000 mm, poplastovaný plech</t>
  </si>
  <si>
    <t>73,00   K.03, 650+320 mm OKAPOVÝ ŽLAB (KORYTO POD PVC FÓLII)</t>
  </si>
  <si>
    <t>211</t>
  </si>
  <si>
    <t>764222420R00</t>
  </si>
  <si>
    <t>Oplechování okapů Ti Zn, tvrdá krytina, rš 330 mm</t>
  </si>
  <si>
    <t>73,00   K.04 ZÁVĚTRNÁ LIŠTA - UKONČENÍ TRAP. PLECHU VČ. VŠECH KOTVÍCÍCH A DOPLŇKOVÝCH PRVKŮ</t>
  </si>
  <si>
    <t>73,00   K.05 PODKLADNÍ PLECH VČ. VŠECH KOTVÍCÍCH A DOPLŇKOVÝCH PRVKŮ</t>
  </si>
  <si>
    <t>212</t>
  </si>
  <si>
    <t>764410350R00</t>
  </si>
  <si>
    <t>Oplechování parapetů včetně rohů Al, rš 330 mm</t>
  </si>
  <si>
    <t>25,50   K.06a PARAPET TAŽENÝ RAL VČ. VŠECH KOTVÍCÍCH A DOPLŇKOVÝCH PRVKŮ</t>
  </si>
  <si>
    <t>213</t>
  </si>
  <si>
    <t>764410330R00</t>
  </si>
  <si>
    <t>Oplechování parapetů včetně rohů Al, rš 200 mm</t>
  </si>
  <si>
    <t>31,40   K.06b PARAPET TAŽENÝ RAL, VČ. VŠECH KOTVÍCÍCH A DOPLŇKOVÝCH PRVKŮ</t>
  </si>
  <si>
    <t>214</t>
  </si>
  <si>
    <t>764391210R00</t>
  </si>
  <si>
    <t>Závětrná lišta z Pz plechu, rš 250 mm, poplastovaný plech</t>
  </si>
  <si>
    <t>2,00   K.07 ZÁVĚTRNNÁ LIŠTA VČ. VŠECH KOTVÍCÍCH A DOPLŇKOVÝCH PRVKŮ</t>
  </si>
  <si>
    <t>215</t>
  </si>
  <si>
    <t>764325220R00</t>
  </si>
  <si>
    <t>Oplechování Pz okapů, ŽK, segm.do 0,5 m, rš 250 mm, poplastovaný plech</t>
  </si>
  <si>
    <t>2,00   K.08 OKAPNIČKA VČ. VŠECH KOTVÍCÍCH A DOPLŇKOVÝCH PRVKŮ</t>
  </si>
  <si>
    <t>216</t>
  </si>
  <si>
    <t>764531670R00</t>
  </si>
  <si>
    <t>Oplech.zdí, tl.0,7 mm,rš.1000,lepením</t>
  </si>
  <si>
    <t>7,60   K.09 OPLECHOVÁNÍ ATIKY 870 mm VČ. KOTVÍCÍCH A DOPLŇKOVÝCH PRVKŮ</t>
  </si>
  <si>
    <t>217</t>
  </si>
  <si>
    <t>764531640R00</t>
  </si>
  <si>
    <t>Oplechování zdí, rš. 500, lepením</t>
  </si>
  <si>
    <t>7,60   K.09 OPLECHOVÁNÍ ATIKY 2x215 mm</t>
  </si>
  <si>
    <t>218</t>
  </si>
  <si>
    <t>764298611R00</t>
  </si>
  <si>
    <t>Obvodové lemování střechy TiZn RHEINZINK</t>
  </si>
  <si>
    <t>99,00   K.10 OPLECHOVÁNÍ HRANY ZASTŘEŠENÍ TRIBUNY</t>
  </si>
  <si>
    <t>219</t>
  </si>
  <si>
    <t>764323220R00</t>
  </si>
  <si>
    <t>Oplechování okapů Pz, rš 250 mm, poplastovaný plech</t>
  </si>
  <si>
    <t>13,00   K.11 OKAPNIČKA VČ. VŠECH KOTVÍCÍCH A DOPLŇKOVÝCH PRVKŮ</t>
  </si>
  <si>
    <t>220</t>
  </si>
  <si>
    <t>998764102R00</t>
  </si>
  <si>
    <t>Přesun hmot pro klempířské konstr., výšky do 12 m</t>
  </si>
  <si>
    <t>2,36 </t>
  </si>
  <si>
    <t>766</t>
  </si>
  <si>
    <t>Konstrukce truhlářské</t>
  </si>
  <si>
    <t>221</t>
  </si>
  <si>
    <t>76662990Di8IK</t>
  </si>
  <si>
    <t>Výplně otvorů, prosklená vstupní stěna plastová 1500/2600 mm, otevíravé dveře 900/2100 mm, hrazda pro invalidy</t>
  </si>
  <si>
    <t>766_</t>
  </si>
  <si>
    <t>2+2   D.1.1.15, PROSKLENÁ STĚNA Di.8</t>
  </si>
  <si>
    <t>222</t>
  </si>
  <si>
    <t>76662990Di9IK</t>
  </si>
  <si>
    <t>Výplně otvorů, prosklená vstupní stěna plastová 2490/2560 mm, otevíravé dveře 900/2100 mm, hrazda pro invalidy</t>
  </si>
  <si>
    <t>1   D.1.1.15, PROSKLENÁ STĚNA Di.9</t>
  </si>
  <si>
    <t>223</t>
  </si>
  <si>
    <t>7666990Di10IK</t>
  </si>
  <si>
    <t>Výplně otvorů, prosklená vstupní stěna plastová 3060/2600 mm, otevíravé dveře 2*800/2100 mm</t>
  </si>
  <si>
    <t>1   D.1.1.15, PROSKLENÁ STĚNA Di.10</t>
  </si>
  <si>
    <t>224</t>
  </si>
  <si>
    <t>766601216RT1</t>
  </si>
  <si>
    <t>Těsnění oken.spáry, ostění, PT folie + PP páska, folie š.  50 mm; páska tl. 8 mm, š. 20 mm</t>
  </si>
  <si>
    <t>17,6+47,6+19,2+20,6+11,5+5,0+10,1+13,6+66,0   </t>
  </si>
  <si>
    <t>35,7+15,08+78,4+5,06+4,9   </t>
  </si>
  <si>
    <t>225</t>
  </si>
  <si>
    <t>766694111R00</t>
  </si>
  <si>
    <t>Montáž parapetních desek š.do 30 cm,dl.do 100 cm</t>
  </si>
  <si>
    <t>6   TAB_06, T.09, UMÝVÁRNY ŠATNY</t>
  </si>
  <si>
    <t>226</t>
  </si>
  <si>
    <t>766694112R00</t>
  </si>
  <si>
    <t>Montáž parapetních desek š.do 30 cm,dl.do 160 cm</t>
  </si>
  <si>
    <t>1   TAB_06, T.07 RECEPCE ZÁZEMÍ</t>
  </si>
  <si>
    <t>2   TAB_06, T.07 WC</t>
  </si>
  <si>
    <t>227</t>
  </si>
  <si>
    <t>766694113R00</t>
  </si>
  <si>
    <t>Montáž parapetních desek š.do 30 cm,dl.do 260 cm</t>
  </si>
  <si>
    <t>7+7   TAB_06, T.09 BĚŽECKÝ TUNEL, ŠATNY</t>
  </si>
  <si>
    <t>1   TAB_06, T.07 HLASATELNA, ROZHODČÍ</t>
  </si>
  <si>
    <t>228</t>
  </si>
  <si>
    <t>766694114R00</t>
  </si>
  <si>
    <t>Montáž parapetních desek š.do 30 cm,dl.nad 260 cm</t>
  </si>
  <si>
    <t>3   TAB_06, T.07</t>
  </si>
  <si>
    <t>229</t>
  </si>
  <si>
    <t>60775510</t>
  </si>
  <si>
    <t>Parapet interiér PVC šíře 150mm dl. 6m fólie bílá</t>
  </si>
  <si>
    <t>(0,6*2+0,6*4)*1,15   TAB_06, T.09, UMÝVÁRNY ŠATNY</t>
  </si>
  <si>
    <t>1,20*2*1,15   TAB_06, T.09 WC</t>
  </si>
  <si>
    <t>(1,80*7+2,20*7)*1,15   TAB_06, T.09 BĚŽECKÝ TUNEL, ŠATNY</t>
  </si>
  <si>
    <t>230</t>
  </si>
  <si>
    <t>60775550.A</t>
  </si>
  <si>
    <t>Krytka boční pro PVC parapety 400 mm oboustr. bílá</t>
  </si>
  <si>
    <t>(6+3+15)*2   TAB_06, T.09</t>
  </si>
  <si>
    <t>231</t>
  </si>
  <si>
    <t>7666940T.06IK</t>
  </si>
  <si>
    <t>Montáž parapetních desek š.do 30 cm,dl.nad 260 cm, dřevotříska dýhovaná 17 mm s nosem výšky 40 mm, dýha dub, na celou šířku okna 3 300 mm</t>
  </si>
  <si>
    <t>3+3   TAB_06, T.06, CHODBA</t>
  </si>
  <si>
    <t>232</t>
  </si>
  <si>
    <t>60775433</t>
  </si>
  <si>
    <t>Parapet interiér DTD šíře 300 mm</t>
  </si>
  <si>
    <t>(3,30*3+3,30*3)*1,15   TAB_06, T.06 CHODBA</t>
  </si>
  <si>
    <t>(3,30+3,48+2,774)*1,15   TAB_06, T.07 ROZHODČÍ, HLASATELNA</t>
  </si>
  <si>
    <t>(2,20+1,20)*1,15   TAB_06, T.07 RECEPCE ZÁZEMÍ, ROZHODČÍ</t>
  </si>
  <si>
    <t>233</t>
  </si>
  <si>
    <t>76666100Di1IK</t>
  </si>
  <si>
    <t>Dveře interiérové, 1100/2100 mm, plná DTD CPL, barevnost RAL, kování, hrazda pro invalidy</t>
  </si>
  <si>
    <t>1   D.1.1.15,  DVEŘE Di 1</t>
  </si>
  <si>
    <t>234</t>
  </si>
  <si>
    <t>76666100Di2IK</t>
  </si>
  <si>
    <t>Dveře interiérové, 1100/2100 mm, odlehčená DTD CPL, barevnost RAL, kování, hrazda pro invalidy</t>
  </si>
  <si>
    <t>1   D.1.1.15,  DVEŘE Di 2</t>
  </si>
  <si>
    <t>235</t>
  </si>
  <si>
    <t>76666100Di3IK</t>
  </si>
  <si>
    <t>Dveře interiérové, 900/2100 mm, odlehčená DTD CPL, barevnost RAL, kování, hrazda pro invalidy</t>
  </si>
  <si>
    <t>1+2   D.1.1.15,  DVEŘE Di 3</t>
  </si>
  <si>
    <t>236</t>
  </si>
  <si>
    <t>7666610Di4aIK</t>
  </si>
  <si>
    <t>Dveře interiérové, 800/2100 mm, odlehčená DTD CPL, barevnost RAL, kování</t>
  </si>
  <si>
    <t>1+2+2+2+3+4   D.1.1.15,  DVEŘE Di 4a</t>
  </si>
  <si>
    <t>237</t>
  </si>
  <si>
    <t>7666610Di4bIK</t>
  </si>
  <si>
    <t>Dveře interiérové, 800/2100 mm, odlehčená DTD CPL, barevnost RAL, kování, elektrozámek</t>
  </si>
  <si>
    <t>1   D.1.1.15,  DVEŘE Di 4b</t>
  </si>
  <si>
    <t>238</t>
  </si>
  <si>
    <t>7666610Di4cIK</t>
  </si>
  <si>
    <t>Dveře interiérové, 800/2100 mm, odlehčená DTD CPL, barevnost RAL, kování, hrazda pro invalidy</t>
  </si>
  <si>
    <t>2   D.1.1.15,  DVEŘE Di 4c</t>
  </si>
  <si>
    <t>239</t>
  </si>
  <si>
    <t>76666100Di5IK</t>
  </si>
  <si>
    <t>Dveře interiérové, 700/2100 mm, odlehčená DTD CPL, barevnost RAL, kování, WC zámek</t>
  </si>
  <si>
    <t>1   D.1.1.15,  DVEŘE Di 5</t>
  </si>
  <si>
    <t>240</t>
  </si>
  <si>
    <t>7666610Di6aIK</t>
  </si>
  <si>
    <t>Dveře interiérové, 800/2100 mm, odlehčená DTD CPL, prosklené, barevnost RAL, kování</t>
  </si>
  <si>
    <t>1   D.1.1.15,  DVEŘE Di 6a</t>
  </si>
  <si>
    <t>241</t>
  </si>
  <si>
    <t>7666610Di6bIK</t>
  </si>
  <si>
    <t>Dveře interiérové, 800/2100 mm, odlehčená DTD CPL, prosklené, barevnost RAL, kování, elektrozámek</t>
  </si>
  <si>
    <t>1   D.1.1.15,  DVEŘE Di 6b</t>
  </si>
  <si>
    <t>242</t>
  </si>
  <si>
    <t>7666610T.01IK</t>
  </si>
  <si>
    <t>Dřevěná lavice masivní komplet včetně kotevních prvků s opěrákem a lištou s háčky</t>
  </si>
  <si>
    <t>4   TAB_06, T.01,VÝKRES TV.01, VSTUPNÍ HALA 1.PP</t>
  </si>
  <si>
    <t>243</t>
  </si>
  <si>
    <t>76666100Di7IK</t>
  </si>
  <si>
    <t>Dveře interiérové, 800/2100 mm, odlehčená DTD CPL, posuvné do SDK, barevnost RAL, kování</t>
  </si>
  <si>
    <t>1+1   D.1.1.15,  DVEŘE Di 7</t>
  </si>
  <si>
    <t>244</t>
  </si>
  <si>
    <t>7666610T.02IK</t>
  </si>
  <si>
    <t>Švédská lavička s kladinkou a zarážkou k zavěšení na ribstol</t>
  </si>
  <si>
    <t>4   TAB_06, T.02,BĚŽECKÝ TUNEL</t>
  </si>
  <si>
    <t>245</t>
  </si>
  <si>
    <t>7666610T.03IK</t>
  </si>
  <si>
    <t>Ribstole 80 x 240 cm, bočnice ze smrkového dřeva odýhované bukovou dýhou.</t>
  </si>
  <si>
    <t>4   TAB_06, T.03, BĚŽECKÝ TUNEL</t>
  </si>
  <si>
    <t>246</t>
  </si>
  <si>
    <t>7666610T.04IK</t>
  </si>
  <si>
    <t>Předstěna; spodní část překližka a niky pro radiátory s krytem z ocelového děrovaného plechu, horní část akusticky pohltivý materiál</t>
  </si>
  <si>
    <t>1   TAB_06, T.04, VÝKRES TV.01, BĚŽECKÝ TUNEL</t>
  </si>
  <si>
    <t>247</t>
  </si>
  <si>
    <t>7666610T.08IK</t>
  </si>
  <si>
    <t>Obklad interiérového stupně; dřevotříska 17 mm s nosem 40 mm dýhovaná, dýha dub, na šířku obou oken míst. 1.15, hl. 330 mm, délka 5 610 mm</t>
  </si>
  <si>
    <t>1   TAB_06, T.08, SPOLEČENSKÁ MÍSTNOST</t>
  </si>
  <si>
    <t>248</t>
  </si>
  <si>
    <t>7666610T.11IK</t>
  </si>
  <si>
    <t>Policová stěna zázemí recepce 1120/470/2000</t>
  </si>
  <si>
    <t>1   TAB_06, T.11, VÝKRES TV.03 ZÁZEMÍ RECEPCE</t>
  </si>
  <si>
    <t>249</t>
  </si>
  <si>
    <t>7666610T.10IK</t>
  </si>
  <si>
    <t>Recepce; sestava nábytkového vybavení - komplet složený z A) pultu recepce (pracovní stůl zalomený), B policová stěna s integrovaným CCTV monitorem</t>
  </si>
  <si>
    <t>1   TAB_06, T.10, VÝKRES TV.02 RECEPCE</t>
  </si>
  <si>
    <t>250</t>
  </si>
  <si>
    <t>7666610T.12IK</t>
  </si>
  <si>
    <t>Sestava kancelářského nábytku; A) kancelářský stůl se zásuvkami, B) police na konzolách, C) uzamykatelná skříňka</t>
  </si>
  <si>
    <t>1   TAB_06, T.12, VÝKRES TV.03 ZÁZEMÍ RECEPCE</t>
  </si>
  <si>
    <t>251</t>
  </si>
  <si>
    <t>7666610T.14IK</t>
  </si>
  <si>
    <t>WC kabina; LTD / hliník; laminotřísková deska tl. 28 mm s melaminovou fólií, eloxované hliníkové profily “U”, barva desek RAL 5009 modrá</t>
  </si>
  <si>
    <t>2   TAB_06, T.14 VÝKRES TV.04 WC</t>
  </si>
  <si>
    <t>252</t>
  </si>
  <si>
    <t>7666610T.13IK</t>
  </si>
  <si>
    <t>Sestava šatních skříní (dvě skříně 800/600/2000)</t>
  </si>
  <si>
    <t>1   TAB_06, T.13, VÝKRES TV.03 ZÁZEMÍ RECEPCE</t>
  </si>
  <si>
    <t>253</t>
  </si>
  <si>
    <t>7666610T.15IK</t>
  </si>
  <si>
    <t>WC kabina; desky z vysokotlakého laminátu HPL tl. 12 mm, doplňkové konstrukce nerezové, barva desek RAL 1021 žlutá, podpěrné nohy výšky 175 mm</t>
  </si>
  <si>
    <t>6   TAB_06, T.15 VÝKRES TV.04 ŠATNY</t>
  </si>
  <si>
    <t>254</t>
  </si>
  <si>
    <t>7666610T.16IK</t>
  </si>
  <si>
    <t>Sestava sprchové zástěny s odkládací policí; provedení dtto T.15</t>
  </si>
  <si>
    <t>6   TAB_06, T.16 VÝKRES TV.04 UMÝVÁRNA ŠATNY</t>
  </si>
  <si>
    <t>255</t>
  </si>
  <si>
    <t>766660T.17AIK</t>
  </si>
  <si>
    <t>šatní skříňka; tři skříňky v sestavě šířky 900 mm, předsazená lavice hl. 400 mm ze zdvojené desky (t. 36 mm), materiál LTD 18 mm s melaminovou fólií</t>
  </si>
  <si>
    <t>7+7+8+7+7+7   TAB_06, T.17-A VÝKRES TV.04 ŠATNY</t>
  </si>
  <si>
    <t>256</t>
  </si>
  <si>
    <t>766660T.17BIK</t>
  </si>
  <si>
    <t>Šatní skříňka v provedení dtto T.17-A; tři skříňky v sestavě šířky 1 200 mm, deskový materiál RAL 7030 teplá šedá</t>
  </si>
  <si>
    <t>2+2+1+2+2+2   TAB_06, T.17-B VÝKRES TV.04 ŠATNY</t>
  </si>
  <si>
    <t>257</t>
  </si>
  <si>
    <t>7666610T.18IK</t>
  </si>
  <si>
    <t>Nábytková policová stěna složená ze dvou symetrických, zrcadlově otočených dílů, celkový rozměr 3 750/350, v. 1 890 mm</t>
  </si>
  <si>
    <t>1   TAB_06, T.18, VÝKRES TV.05 SPOLEČENSKÁ MÍSTNOST</t>
  </si>
  <si>
    <t>258</t>
  </si>
  <si>
    <t>7666610T.19IK</t>
  </si>
  <si>
    <t>zástěna z ocelových rámů a nástěnkových ploch; ocelová konstrukce z jeklů 40/40/2, spojovací a kotevní desky PLO 90/40/8 barva RAL 7021</t>
  </si>
  <si>
    <t>1   TAB_06, T.19 VÝKRES TV.05 SPOLEČENSKÁ MÍSTNOST</t>
  </si>
  <si>
    <t>259</t>
  </si>
  <si>
    <t>7666610T.20IK</t>
  </si>
  <si>
    <t>Kuchyňka v nice uzavíratelná včetně samostatně stojící lednice (185/60/64) a dřezu včetně sifonu - komplet (viz výkres)</t>
  </si>
  <si>
    <t>1   TAB_06, T.20 VÝKRES TV.06 SPOLEČENSKÁ MÍSTNOST</t>
  </si>
  <si>
    <t>260</t>
  </si>
  <si>
    <t>7666610T.21IK</t>
  </si>
  <si>
    <t>Lavice dřevěná - masiv 300/460/1600 mm</t>
  </si>
  <si>
    <t>1+2   TAB_06, T.21, SPOL.MÍSTNOST, HLASATELNA</t>
  </si>
  <si>
    <t>261</t>
  </si>
  <si>
    <t>7666610T.22IK</t>
  </si>
  <si>
    <t>Kancelářský stůl s kontejnerem 1600/750, výška 750 mm, stolová deska 25 mm šedá světlá RAL 7030, ABS hrana 2 mm, podnož kovová černá RAL 7021</t>
  </si>
  <si>
    <t>2+2   TAB_06, T.22 VÝKRES TV.07 ROZHODČÍ, HLASATELNA</t>
  </si>
  <si>
    <t>262</t>
  </si>
  <si>
    <t>7666610T.23IK</t>
  </si>
  <si>
    <t>Šatní skříň 800/420 mm, výška 2 020 mm, dveře dvoukřídlé, LTD RAL 7030, dvě police a výsuvný věšák</t>
  </si>
  <si>
    <t>3   TAB_06, T.23, VÝKRES TV.07 ROZHODČÍ</t>
  </si>
  <si>
    <t>263</t>
  </si>
  <si>
    <t>7666610T.24IK</t>
  </si>
  <si>
    <t>Šatní dělená s dvířky 800/420 mm, výška 2 020 mm, dveře 2x dvoukřídlé, LTD RAL 7030, 1 + 3 police přestavitelné</t>
  </si>
  <si>
    <t>3   TAB_06, T.24, VÝKRES TV.07 ROZHODČÍ</t>
  </si>
  <si>
    <t>264</t>
  </si>
  <si>
    <t>7666610T.25IK</t>
  </si>
  <si>
    <t>Odkládací stolek se skříňkou 1000/500, výška 750 mm, přestavitelná police, uzamykatelná dvířka</t>
  </si>
  <si>
    <t>1   TAB_06, T.25, VÝKRES TV.07 ROZHODČÍ</t>
  </si>
  <si>
    <t>265</t>
  </si>
  <si>
    <t>7666610T.26IK</t>
  </si>
  <si>
    <t>Police zavěšená složená ze dvou stejných dílů 1650/350, v. 440 mm, LTD tl. 18 mm a zdvojené tl. 36 mm RAL 7030</t>
  </si>
  <si>
    <t>1   TAB_06, T.26, VÝKRES TV.07 HLASATELNA</t>
  </si>
  <si>
    <t>266</t>
  </si>
  <si>
    <t>7666610T.27IK</t>
  </si>
  <si>
    <t>Dělící pult s otevřenými policemi 2100/550, výška 1100 mm (umístění tiskárny - v boční desce otvor pro přisazení k zásuvkové sestavě)</t>
  </si>
  <si>
    <t>1   TAB_06, T.27, VÝKRES TV.07 HLASATELNA</t>
  </si>
  <si>
    <t>267</t>
  </si>
  <si>
    <t>7666610T.28IK</t>
  </si>
  <si>
    <t>Lavice dřevěná - sedák tribuny; masivní dřevo - terasová prkna tlakově impregnovaná 28/145 mm, kvalita AB, bez dodatečné povrchové úpravy,</t>
  </si>
  <si>
    <t>175   TAB_06, T.28, VÝKRES TV.08 TRIBUNA</t>
  </si>
  <si>
    <t>268</t>
  </si>
  <si>
    <t>7666610T.29IK</t>
  </si>
  <si>
    <t>Lavice dřevěná - sedák na parapetu okna na tribuně; masiv - terasová prkna tlakově impregnovaná 28/145 mm, kvalita AB dtto T.28, délka 3200 mm.</t>
  </si>
  <si>
    <t>6   TAB_06, T.29, VÝKRES TV.08 TRIBUNA</t>
  </si>
  <si>
    <t>269</t>
  </si>
  <si>
    <t>7666610T.30IK</t>
  </si>
  <si>
    <t>Opláštění dělící stěny; spodní část překližka, horní část akusticky pohltivý materiál, provedení dtto T.04 - viz výkr. INT.09</t>
  </si>
  <si>
    <t>1   TAB_06, T.30, VÝKRES TV.09, BĚŽECKÝ TUNEL</t>
  </si>
  <si>
    <t>270</t>
  </si>
  <si>
    <t>7688990De.1IK</t>
  </si>
  <si>
    <t>Výplně otvorů, vstupní stěna plastová 900/2000 mm, otevíravé dveře</t>
  </si>
  <si>
    <t>1   D.1.1.16, PROSKLENÁ STĚNA De.1</t>
  </si>
  <si>
    <t>271</t>
  </si>
  <si>
    <t>7688990De.2IK</t>
  </si>
  <si>
    <t>Výplně otvorů, vstupní stěna plastová 900/2080 mm, otevíravé dveře, paniková klika</t>
  </si>
  <si>
    <t>1   D.1.1.16, PROSKLENÁ STĚNA De.2</t>
  </si>
  <si>
    <t>272</t>
  </si>
  <si>
    <t>7688990De.3IK</t>
  </si>
  <si>
    <t>Výplně otvorů, prosklená vstupní stěna plastová 800/2100 mm, otevíravé dveře, paniková klika</t>
  </si>
  <si>
    <t>1   D.1.1.16, PROSKLENÁ STĚNA De.3</t>
  </si>
  <si>
    <t>273</t>
  </si>
  <si>
    <t>7688990De.4IK</t>
  </si>
  <si>
    <t>Výplně otvorů, prosklená vstupní stěna plastová 3300/2790 mm, otevíravé dveře 900/2100 mm, paniková klika</t>
  </si>
  <si>
    <t>1+3   D.1.1.16, PROSKLENÁ STĚNA De.4</t>
  </si>
  <si>
    <t>274</t>
  </si>
  <si>
    <t>7688990De.5IK</t>
  </si>
  <si>
    <t>Výplně otvorů, prosklená vstupní stěna plastová 3000/2660 mm, otevíravé dveře 700+900/2100 mm, paniková klika, elektrozámek</t>
  </si>
  <si>
    <t>1+3   D.1.1.16, PROSKLENÁ STĚNA De.5</t>
  </si>
  <si>
    <t>275</t>
  </si>
  <si>
    <t>7688990De.6IK</t>
  </si>
  <si>
    <t>Výplně otvorů, prosklená vstupní stěna plastová 2500/2490 mm, otevíravé dveře 900/2400 mm</t>
  </si>
  <si>
    <t>1+1   D.1.1.16, PROSKLENÁ STĚNA De.6</t>
  </si>
  <si>
    <t>276</t>
  </si>
  <si>
    <t>76668990O.1IK</t>
  </si>
  <si>
    <t>Okno plastové,  1800/1000 mm, dvoukřídlové, sklopné křídlo 1800/500 mm</t>
  </si>
  <si>
    <t>9   D.1.1.16, OKNO PLASTOVÉ O.1</t>
  </si>
  <si>
    <t>277</t>
  </si>
  <si>
    <t>76668990O.2IK</t>
  </si>
  <si>
    <t>Okno plastové,  1800/1000 mm, dvoukřídlové, pevné zasklení</t>
  </si>
  <si>
    <t>6   D.1.1.16, OKNO PLASTOVÉ O.2</t>
  </si>
  <si>
    <t>278</t>
  </si>
  <si>
    <t>7666990O.3aIK</t>
  </si>
  <si>
    <t>Okno plastové,  2800/1810 mm, dvoukřídlové, pevné zasklení</t>
  </si>
  <si>
    <t>1   D.1.1.16, OKNO PLASTOVÉ O.3a</t>
  </si>
  <si>
    <t>279</t>
  </si>
  <si>
    <t>7666990O.3bIK</t>
  </si>
  <si>
    <t>Okno plastové,  3320/1810 mm, dvoukřídlové, pevné zasklení</t>
  </si>
  <si>
    <t>2   D.1.1.16, OKNO PLASTOVÉ O.3b</t>
  </si>
  <si>
    <t>280</t>
  </si>
  <si>
    <t>76668990O.4IK</t>
  </si>
  <si>
    <t>Okno plastové,  3300/2290 mm, čtyřkřídlové, pevné zasklení</t>
  </si>
  <si>
    <t>6   D.1.1.16, OKNO PLASTOVÉ O.4</t>
  </si>
  <si>
    <t>281</t>
  </si>
  <si>
    <t>76668990O.5IK</t>
  </si>
  <si>
    <t>Okno plastové,  1600/1760 mm, jednokřídlové, pevné zasklení</t>
  </si>
  <si>
    <t>2   D.1.1.16, OKNO PLASTOVÉ O.5</t>
  </si>
  <si>
    <t>282</t>
  </si>
  <si>
    <t>76668990O.6IK</t>
  </si>
  <si>
    <t>Okno plastové,  1240/1000 mm, dvoukřídlové, otevíravé a sklopné křídlo</t>
  </si>
  <si>
    <t>1+2   D.1.1.16, OKNO PLASTOVÉ O.6</t>
  </si>
  <si>
    <t>283</t>
  </si>
  <si>
    <t>76668990O.7IK</t>
  </si>
  <si>
    <t>Okno plastové,  2200/1000 mm, tříkřídlové, dvě otevíravá a sklopná křídlo</t>
  </si>
  <si>
    <t>7   D.1.1.16, OKNO PLASTOVÉ O.7</t>
  </si>
  <si>
    <t>284</t>
  </si>
  <si>
    <t>76668990O.8IK</t>
  </si>
  <si>
    <t>Okno plastové,  600/1000 mm, jednokřídlové, otevíravé a sklopné křídlo</t>
  </si>
  <si>
    <t>1+5   D.1.1.16, OKNO PLASTOVÉ O.8</t>
  </si>
  <si>
    <t>285</t>
  </si>
  <si>
    <t>7666899099IK</t>
  </si>
  <si>
    <t>Purenitové podkladní profily pro okna</t>
  </si>
  <si>
    <t>286</t>
  </si>
  <si>
    <t>998766101R00</t>
  </si>
  <si>
    <t>Přesun hmot pro truhlářské konstr., výšky do 6 m</t>
  </si>
  <si>
    <t>18,57   </t>
  </si>
  <si>
    <t>767</t>
  </si>
  <si>
    <t>Konstrukce doplňkové stavební (zámečnické)</t>
  </si>
  <si>
    <t>287</t>
  </si>
  <si>
    <t>767427111R00</t>
  </si>
  <si>
    <t>Provětr.fasáda, nýty, desky cementovláknité, včetně systémových prvků</t>
  </si>
  <si>
    <t>767_</t>
  </si>
  <si>
    <t>255,01   S.03, S.06, obvodová stěna 1.NP</t>
  </si>
  <si>
    <t>7,700    V.11, podhled lodžie</t>
  </si>
  <si>
    <t>288</t>
  </si>
  <si>
    <t>767427112R00</t>
  </si>
  <si>
    <t>Ostění a nadpraží,fasáda z cementovláknité. des.,nýty,do hl.250mm</t>
  </si>
  <si>
    <t>17,6+47,6+19,2+20,6   </t>
  </si>
  <si>
    <t>289</t>
  </si>
  <si>
    <t>767137189IK</t>
  </si>
  <si>
    <t>Záklop z DHF desky, včetně prolepení spoje P+D</t>
  </si>
  <si>
    <t>429,00   S.02, S.03, S.03, S.06</t>
  </si>
  <si>
    <t>290</t>
  </si>
  <si>
    <t>767427199IK</t>
  </si>
  <si>
    <t>Provětr.fasáda, nerez vruty, latě modřínové fasádní, včetně systémových prvků</t>
  </si>
  <si>
    <t>120,00   S.02, S.06 stěna 1.NP a hlasatelna</t>
  </si>
  <si>
    <t>291</t>
  </si>
  <si>
    <t>Ostění a nadpraží,fasáda z modřínových fasádních latí, nerez vruty,do hl.250mm</t>
  </si>
  <si>
    <t>RTS II / 2018</t>
  </si>
  <si>
    <t>11,5+5,0+10,1+13,6+66,0+35,7+15,08   </t>
  </si>
  <si>
    <t>292</t>
  </si>
  <si>
    <t>767427289IK</t>
  </si>
  <si>
    <t>524,00   V.8, podbití střechy tribuny</t>
  </si>
  <si>
    <t>293</t>
  </si>
  <si>
    <t>767111111IK</t>
  </si>
  <si>
    <t>Dodávka a montáž OK, ocelový skelet se systémem příhradových nosníků zastřešení tribuny</t>
  </si>
  <si>
    <t>26,121   OK tribuny</t>
  </si>
  <si>
    <t>11,466   sekundární prvky</t>
  </si>
  <si>
    <t>294</t>
  </si>
  <si>
    <t>767393109IK</t>
  </si>
  <si>
    <t>Dodávka a montáž střešních vaznic Z 120/1,5 mm, do os.vzdálenosti 1,20 m</t>
  </si>
  <si>
    <t>(63+4,925*2)*11   </t>
  </si>
  <si>
    <t>295</t>
  </si>
  <si>
    <t>767392112R00</t>
  </si>
  <si>
    <t>Montáž krytiny střech, tvar. plechem, šroubováním</t>
  </si>
  <si>
    <t>72,85*12,5   V.9, V.10 střecha tribuny</t>
  </si>
  <si>
    <t>296</t>
  </si>
  <si>
    <t>15484516</t>
  </si>
  <si>
    <t>Profil trapézový TR 35/207 x 0,63 mm, lakovaný pozink., RAL7005</t>
  </si>
  <si>
    <t>72,85*12,5*1,15   V.9, V.10, střecha tribuny</t>
  </si>
  <si>
    <t>297</t>
  </si>
  <si>
    <t>767584641R00</t>
  </si>
  <si>
    <t>Montáž podhledů ostatních  -  rošty</t>
  </si>
  <si>
    <t>524,00   V.8, střecha šikmá</t>
  </si>
  <si>
    <t>298</t>
  </si>
  <si>
    <t>7676465Dp.1IK</t>
  </si>
  <si>
    <t>Montáž dveří protipožár. 2 křídlových, H do 220 cm, včetně dodávky dveří 1300/2100 mm, EW60DP1</t>
  </si>
  <si>
    <t>1   D.1.1.16, Dp.1 DVEŘE DVOUKŘÍDLOVÉ</t>
  </si>
  <si>
    <t>299</t>
  </si>
  <si>
    <t>767169ZV.01IK</t>
  </si>
  <si>
    <t>Ocelové zábradlí tyčové, povrchová úprava pozink, dl.6,14 m, včetně kotevních prvků</t>
  </si>
  <si>
    <t>1,00   VÝKRES ZV.01, Z.05 ZÁBRADLÍ LODŽIE</t>
  </si>
  <si>
    <t>300</t>
  </si>
  <si>
    <t>767169ZV.02IK</t>
  </si>
  <si>
    <t>Ocelové zábradlí tyčové, povrchová úprava pozink, dl.2,595 m, včetně kotevních prvků</t>
  </si>
  <si>
    <t>18   VÝKRES ZV.02, Z.01a ZÁBRADLÍ OVÁL TRIBUNA</t>
  </si>
  <si>
    <t>301</t>
  </si>
  <si>
    <t>Ocelové zábradlí dvoutrubkové, povrchová úprava pozink, dl.2,295 m, včetně kotevních prvků</t>
  </si>
  <si>
    <t>6   VÝKRES ZV.02, Z.01b ZÁBRADLÍ OVÁL TRIBUNA</t>
  </si>
  <si>
    <t>302</t>
  </si>
  <si>
    <t>Ocelové zábradlí tyčové, podložka Z.01c-48 ks, kotení platforma Z.01d-22 ks, zdvojená kotev.platforma Z.01e-13 ks</t>
  </si>
  <si>
    <t>1,0   VÝKRES ZV.02, Z.01c+Z.01d+Z.01e</t>
  </si>
  <si>
    <t>303</t>
  </si>
  <si>
    <t>767169ZV.03IK</t>
  </si>
  <si>
    <t>Ocelové zábradlí třítrubkové, povrchová úprava pozink, dl.14,40 m, včetně kotevních prvků</t>
  </si>
  <si>
    <t>2   VÝKRES ZV.03, Z.02a ZÁBRADLÍ OCHOZ TRIBUNA</t>
  </si>
  <si>
    <t>304</t>
  </si>
  <si>
    <t>Ocelové zábradlí třítrubkové, povrchová úprava pozink, dl.12,46 m, včetně kotevních prvků</t>
  </si>
  <si>
    <t>2   VÝKRES ZV.03, Z.02b ZÁBRADLÍ OCHOZ TRIBUNA</t>
  </si>
  <si>
    <t>305</t>
  </si>
  <si>
    <t>Ocelové zábradlí třítrubkové, povrchová úprava pozink, dl.7,41 m, včetně kotevních prvků</t>
  </si>
  <si>
    <t>1   VÝKRES ZV.03, Z.02c ZÁBRADLÍ OCHOZ TRIBUNA</t>
  </si>
  <si>
    <t>306</t>
  </si>
  <si>
    <t>Ocelové zábradlí třítrubkové, povrchová úprava pozink, dl.5,64 m, včetně kotevních prvků</t>
  </si>
  <si>
    <t>1   VÝKRES ZV.03, Z.02d ZÁBRADLÍ OCHOZ TRIBUNA</t>
  </si>
  <si>
    <t>307</t>
  </si>
  <si>
    <t>Ocelové zábradlí třítrubkové, povrchová úprava pozink, dl.3,94 m, včetně kotevních prvků</t>
  </si>
  <si>
    <t>1   VÝKRES ZV.03, Z.02e ZÁBRADLÍ OCHOZ TRIBUNA</t>
  </si>
  <si>
    <t>308</t>
  </si>
  <si>
    <t>767169ZV.04IK</t>
  </si>
  <si>
    <t>Ocelové zábradlí dvoutrubkové, povrchová úprava pozink, dl.1,59 m, včetně kotevních prvků</t>
  </si>
  <si>
    <t>1   VÝKRES ZV.04, Z.03 ZÁBRADLÍ KONEC OCHOZU</t>
  </si>
  <si>
    <t>309</t>
  </si>
  <si>
    <t>Ocelové zábradlí třítrubkové, povrchová úprava pozink, půdorysná dl.12,66 m, včetně kotevních prvků</t>
  </si>
  <si>
    <t>1   VÝKRES ZV.04, Z.04 ZÁBRADLÍ BEZBARIÉR.RAMPY</t>
  </si>
  <si>
    <t>310</t>
  </si>
  <si>
    <t>767169ZV.05IK</t>
  </si>
  <si>
    <t>Ocelové svařované oplocení, povrchová úprava pozink, půdorysná dl.23,82 m, 2x posuvná brána, včetně kotevních prvků</t>
  </si>
  <si>
    <t>1   VÝKRES ZV.05, Z.04a OPLOCENÍ VSTUPNÍ ČÁSTI</t>
  </si>
  <si>
    <t>311</t>
  </si>
  <si>
    <t>767169ZV.07IK</t>
  </si>
  <si>
    <t>Ocelové zábradlí trubkové schodiště a atiky, povrchová úprava pozink, otevír.branka, včetně kotevních prvků</t>
  </si>
  <si>
    <t>1   VÝKRES ZV.07, Z.06 ZÁBRADLÍ SCHODIŠTĚ +ATIKA</t>
  </si>
  <si>
    <t>312</t>
  </si>
  <si>
    <t>767169ZV.08IK</t>
  </si>
  <si>
    <t>Rámeček pro obklad schod.stupňů, 300+1500+300 mm</t>
  </si>
  <si>
    <t>11   VÝKRES ZV.08, Z.07a RÁMEČEK STUPŇŮ INT.</t>
  </si>
  <si>
    <t>11   VÝKRES ZV.08, Z.07b RÁMEČEK STUPŇŮ INT.</t>
  </si>
  <si>
    <t>313</t>
  </si>
  <si>
    <t>Madlo z kruhové trubky, včetně kotev do zdiva, 150+3435+150 mm, pozink</t>
  </si>
  <si>
    <t>1   VÝKRES ZV.08, Z.08 KRUHOVÉ MADLO</t>
  </si>
  <si>
    <t>314</t>
  </si>
  <si>
    <t>767169ZV.09IK</t>
  </si>
  <si>
    <t>Pororošt, svařovaný nosný rám, pororošt výplň, 1310x1560 mm, pozink</t>
  </si>
  <si>
    <t>1   VÝKRES ZV.09, Z.09 ROŠT</t>
  </si>
  <si>
    <t>315</t>
  </si>
  <si>
    <t>Opěrka pro žebřík, 900x310 mm, pozink</t>
  </si>
  <si>
    <t>1   VÝKRES ZV.09, Z.10 OPĚRKA PRO ŽEBŘÍK</t>
  </si>
  <si>
    <t>316</t>
  </si>
  <si>
    <t>767169ZV.10IK</t>
  </si>
  <si>
    <t>Ocelové madlo a deskové zábradlí schodiště z 2x12 mm HPL, povrchová úprava pozink, včetně kotevních prvků</t>
  </si>
  <si>
    <t>1   VÝKRES ZV.10, Z.11 DESKOVÉ ZÁBRADLÍ SCHODIŠTĚ + MADLO</t>
  </si>
  <si>
    <t>317</t>
  </si>
  <si>
    <t>767169ZV.11IK</t>
  </si>
  <si>
    <t>Madlo z kruhové trubky, včetně kotev do zdiva, 225+3778 mm, pozink</t>
  </si>
  <si>
    <t>1   VÝKRES ZV.11, Z.12 KRUHOVÉ MADLO</t>
  </si>
  <si>
    <t>318</t>
  </si>
  <si>
    <t>Ocelová nosná rámová konstrukce dělící stěny tunelu, povrchová úprava pozink, včetně kotevních prvků</t>
  </si>
  <si>
    <t>1   VÝKRES ZV.11, Z.14 RÁMOVÁ KCE STĚNY</t>
  </si>
  <si>
    <t>319</t>
  </si>
  <si>
    <t>767169ZV.12IK</t>
  </si>
  <si>
    <t>Kryt doskočiště, ocelový svařovaný rám 2590x5660 mm, povrchová úprava pozink, včetně kotevních prvků</t>
  </si>
  <si>
    <t>1   VÝKRES ZV.12, Z.13a RÁM KRYTU DOSKOČIŠTĚ</t>
  </si>
  <si>
    <t>320</t>
  </si>
  <si>
    <t>Kryt doskočiště, segmentový poklop krytu 680x2370 mm, včetně povrchové úpravy a kotevních prvků</t>
  </si>
  <si>
    <t>8   VÝKRES ZV.12, Z.13b SEGMENTOVÝ POKLOP</t>
  </si>
  <si>
    <t>321</t>
  </si>
  <si>
    <t>767169ZV.13IK</t>
  </si>
  <si>
    <t>Rám čistící zóny 1700x1880 mm, pozink</t>
  </si>
  <si>
    <t>1   VÝKRES ZV.13, Z.15 RÁM ČISTÍCÍ ZÓNY</t>
  </si>
  <si>
    <t>322</t>
  </si>
  <si>
    <t>767169ZV.14IK</t>
  </si>
  <si>
    <t>Kryt topení, nosný rám s dvoukřídlovou výplní z děr.plechu, 1240x1290 mm, pozink</t>
  </si>
  <si>
    <t>12   VÝKRES ZV.14, Z.16 KRYT TOPENÍ V PŘEDSTĚNĚ 1.PP</t>
  </si>
  <si>
    <t>323</t>
  </si>
  <si>
    <t>998767102R00</t>
  </si>
  <si>
    <t>Přesun hmot pro zámečnické konstr., výšky do 12 m</t>
  </si>
  <si>
    <t>85,33</t>
  </si>
  <si>
    <t>771</t>
  </si>
  <si>
    <t>Podlahy z dlaždic</t>
  </si>
  <si>
    <t>324</t>
  </si>
  <si>
    <t>771101115R00</t>
  </si>
  <si>
    <t>Vyrovnání podkladů samonivel. hmotou tl. do 5 mm</t>
  </si>
  <si>
    <t>771_</t>
  </si>
  <si>
    <t>77_</t>
  </si>
  <si>
    <t>28,65   </t>
  </si>
  <si>
    <t>94,62   </t>
  </si>
  <si>
    <t>325</t>
  </si>
  <si>
    <t>771101210R00</t>
  </si>
  <si>
    <t>Penetrace podkladu pod dlažby</t>
  </si>
  <si>
    <t>31,44   </t>
  </si>
  <si>
    <t>326</t>
  </si>
  <si>
    <t>771575118R00</t>
  </si>
  <si>
    <t>Montáž podlah keram.,hladké, tmel</t>
  </si>
  <si>
    <t>28,65   1.PP</t>
  </si>
  <si>
    <t>94,62   1.NP</t>
  </si>
  <si>
    <t>327</t>
  </si>
  <si>
    <t>771578011R00</t>
  </si>
  <si>
    <t>Spára podlaha - stěna, silikonem</t>
  </si>
  <si>
    <t>7,996+6,870   1.PP</t>
  </si>
  <si>
    <t>120,84   1.NP</t>
  </si>
  <si>
    <t>328</t>
  </si>
  <si>
    <t>771579793R00</t>
  </si>
  <si>
    <t>Příplatek za spárovací hmotu - plošně,keram.dlažba</t>
  </si>
  <si>
    <t>28,65+27,90*0,1   </t>
  </si>
  <si>
    <t>329</t>
  </si>
  <si>
    <t>59764209IK</t>
  </si>
  <si>
    <t>Dlažba slinutá, neglazovaná, rozměr 400/800/10 mm, barva černá matná jemně zrnitá, rektifikovatelná, protiskluzová R10/B, probarvený střep</t>
  </si>
  <si>
    <t>28,65*1,15+27,90*0,1*1,15   </t>
  </si>
  <si>
    <t>94,62*1,15   </t>
  </si>
  <si>
    <t>330</t>
  </si>
  <si>
    <t>771475014R00</t>
  </si>
  <si>
    <t>Obklad soklíků keram.rovných, tmel,výška 10 cm</t>
  </si>
  <si>
    <t>27,90   </t>
  </si>
  <si>
    <t>331</t>
  </si>
  <si>
    <t>771445034R00</t>
  </si>
  <si>
    <t>Obklad soklíků hutných,schod.stupň.,tmel, v.100 mm</t>
  </si>
  <si>
    <t>(0,167+0,300)*11+0,5+0,9   11x167/300 mm</t>
  </si>
  <si>
    <t>(0,168+0,300)*20+1,2*4   20x168/300 mm</t>
  </si>
  <si>
    <t>332</t>
  </si>
  <si>
    <t>59247433</t>
  </si>
  <si>
    <t>Sokl pásek S-A 200/400 mm - teraco bílý</t>
  </si>
  <si>
    <t>11*2+7   11x167/300 mm</t>
  </si>
  <si>
    <t>20*2+19   20x168/300 mm</t>
  </si>
  <si>
    <t>333</t>
  </si>
  <si>
    <t>998771101R00</t>
  </si>
  <si>
    <t>Přesun hmot pro podlahy z dlaždic, výšky do 6 m</t>
  </si>
  <si>
    <t>3,90</t>
  </si>
  <si>
    <t>772</t>
  </si>
  <si>
    <t>Podlahy z přírodního a konglomerovaného kamene</t>
  </si>
  <si>
    <t>334</t>
  </si>
  <si>
    <t>772211303R00</t>
  </si>
  <si>
    <t>Obklad stupňů,kamen měkký,stup.deskami tl.4 a 5 cm</t>
  </si>
  <si>
    <t>772_</t>
  </si>
  <si>
    <t>1,2*20   20x168/300 mm</t>
  </si>
  <si>
    <t>335</t>
  </si>
  <si>
    <t>772211413R00</t>
  </si>
  <si>
    <t>Obklad stupňů,kamen měkký,podstup.deskami tl.3 cm</t>
  </si>
  <si>
    <t>1,20*20   20x168/300 mm</t>
  </si>
  <si>
    <t>336</t>
  </si>
  <si>
    <t>58382180</t>
  </si>
  <si>
    <t>Deska obkladová teracová  1500/167 mm tl. 3, schodišťový podstupeň</t>
  </si>
  <si>
    <t>337</t>
  </si>
  <si>
    <t>58382185</t>
  </si>
  <si>
    <t>Deska obkladová teracová 1500/300 mm  tl. 4, schodišťový stupeň</t>
  </si>
  <si>
    <t>338</t>
  </si>
  <si>
    <t>998772101R00</t>
  </si>
  <si>
    <t>Přesun hmot pro dlažby z kamene, výšky do 6 m</t>
  </si>
  <si>
    <t>2,44</t>
  </si>
  <si>
    <t>776</t>
  </si>
  <si>
    <t>Podlahy povlakové</t>
  </si>
  <si>
    <t>339</t>
  </si>
  <si>
    <t>776101115R00</t>
  </si>
  <si>
    <t>Vyrovnání podkladů samonivelační hmotou, do tl.5 mm</t>
  </si>
  <si>
    <t>776_</t>
  </si>
  <si>
    <t>35,72   1.PP</t>
  </si>
  <si>
    <t>309,46   1.NP</t>
  </si>
  <si>
    <t>340</t>
  </si>
  <si>
    <t>776101121R00</t>
  </si>
  <si>
    <t>Provedení penetrace podkladu pod.povlak.podlahy</t>
  </si>
  <si>
    <t>341</t>
  </si>
  <si>
    <t>776521200R00</t>
  </si>
  <si>
    <t>Lepení povlakových podlah z dílců PVC a CV (vinyl)</t>
  </si>
  <si>
    <t>177,50   TAB_01, PODLAHA C</t>
  </si>
  <si>
    <t>39,64   TAB_01, PODLAHA D</t>
  </si>
  <si>
    <t>103,50   TAB_01, PODLAHA E</t>
  </si>
  <si>
    <t>342</t>
  </si>
  <si>
    <t>776211309IK</t>
  </si>
  <si>
    <t>Obklad stupňů, dlaždice z pryžového granulátu, stupnice</t>
  </si>
  <si>
    <t>1,5*29   29x167/300 mm</t>
  </si>
  <si>
    <t>343</t>
  </si>
  <si>
    <t>58382199IK</t>
  </si>
  <si>
    <t>Dlažba z pryžového granulátu, schodišťový stupeň 2,5 cm</t>
  </si>
  <si>
    <t>1,50*29   29x167/300 mm</t>
  </si>
  <si>
    <t>344</t>
  </si>
  <si>
    <t>28410399IK</t>
  </si>
  <si>
    <t>Podlaha vinylová lepená bez ftalátů a formaldehydů; zátěžová třída 33/42, lamely min. 450/900 mm, tl. 2,50 mm, povrch Polyuretan. nášlapná vrstva min.</t>
  </si>
  <si>
    <t>103,50*1,10   TAB_01, PODLAHA E</t>
  </si>
  <si>
    <t>345</t>
  </si>
  <si>
    <t>28410199IK</t>
  </si>
  <si>
    <t>Podlaha povlaková - přírodní linoleum pro oblast použití 23/34/43, povrchová úprava Topshield, celková tl. 2,50 mm, protiskluz DS, R9, barevnost šedož</t>
  </si>
  <si>
    <t>39,64*1,10   TAB_01, PODLAHA D</t>
  </si>
  <si>
    <t>346</t>
  </si>
  <si>
    <t>27252199IK</t>
  </si>
  <si>
    <t>Podlaha chodby a společenská místnost 1.15; kaučuková (pryžová) podlaha, role 1,9x10,0 m, alt. čtverce 610/610 mm</t>
  </si>
  <si>
    <t>177,50*1,10   TAB_01, PODLAHA C</t>
  </si>
  <si>
    <t>347</t>
  </si>
  <si>
    <t>776421100RU1</t>
  </si>
  <si>
    <t>Lepení podlahových soklíků z PVC a vinylu, včetně dodávky soklíku PVC</t>
  </si>
  <si>
    <t>103,61   TAB_01, PODLAHA C</t>
  </si>
  <si>
    <t>34,45   TAB_01, PODLAHA D</t>
  </si>
  <si>
    <t>96,60   TAB_01, PODLAHA E</t>
  </si>
  <si>
    <t>348</t>
  </si>
  <si>
    <t>7764211777IK</t>
  </si>
  <si>
    <t>Čistící zóna; hliníková rohož s gumovými vroubky, výška 17 mm, dodávka a montáž</t>
  </si>
  <si>
    <t>3,02   TAB_01, A   ZÁDVEŘÍ</t>
  </si>
  <si>
    <t>349</t>
  </si>
  <si>
    <t>7764211778IK</t>
  </si>
  <si>
    <t>Čistící koberec 100% polypropylen, gelový podklad, váha vlasu 1150 g/m2, celková váha 2090 g/m2, výška vlasu 3,60 mm</t>
  </si>
  <si>
    <t>3,38+19,26+8,61   TAB_01, B   ZÁDVEŘÍ</t>
  </si>
  <si>
    <t>350</t>
  </si>
  <si>
    <t>998776101R00</t>
  </si>
  <si>
    <t>Přesun hmot pro podlahy povlakové, výšky do 6 m</t>
  </si>
  <si>
    <t>781</t>
  </si>
  <si>
    <t>Obklady (keramické)</t>
  </si>
  <si>
    <t>351</t>
  </si>
  <si>
    <t>781101210R00</t>
  </si>
  <si>
    <t>Penetrace podkladu pod obklady</t>
  </si>
  <si>
    <t>781_</t>
  </si>
  <si>
    <t>78_</t>
  </si>
  <si>
    <t>(2,785+1,0)*2*2,1-1,47   1.PP</t>
  </si>
  <si>
    <t>22,4+10,9+14,0*2+22,4+25,3*2+31,6+25,3*2   1.NP</t>
  </si>
  <si>
    <t>11,45+13,72   1.NP</t>
  </si>
  <si>
    <t>352</t>
  </si>
  <si>
    <t>781475120R00</t>
  </si>
  <si>
    <t>Obklad vnitřní stěn keramický, do tmele, 30x60 cm</t>
  </si>
  <si>
    <t>353</t>
  </si>
  <si>
    <t>597813746</t>
  </si>
  <si>
    <t>Obkládačka 30x60 šedá mat</t>
  </si>
  <si>
    <t>((2,785+1,0)*2*2,1-1,47)*1,15   1.PP</t>
  </si>
  <si>
    <t>(216,50+25,17)*1,15   1.NP</t>
  </si>
  <si>
    <t>354</t>
  </si>
  <si>
    <t>781479705R00</t>
  </si>
  <si>
    <t>Přípl.za spárovací hmotu-plošně,keram.vnitř.obklad</t>
  </si>
  <si>
    <t>355</t>
  </si>
  <si>
    <t>998781101R00</t>
  </si>
  <si>
    <t>Přesun hmot pro obklady keramické, výšky do 6 m</t>
  </si>
  <si>
    <t>7,39   </t>
  </si>
  <si>
    <t>783</t>
  </si>
  <si>
    <t>Nátěry</t>
  </si>
  <si>
    <t>356</t>
  </si>
  <si>
    <t>783222100R00</t>
  </si>
  <si>
    <t>Nátěr syntetický kovových konstrukcí dvojnásobný</t>
  </si>
  <si>
    <t>783_</t>
  </si>
  <si>
    <t>1,50*21   ocelové zárubně</t>
  </si>
  <si>
    <t>357</t>
  </si>
  <si>
    <t>783124720R00</t>
  </si>
  <si>
    <t>Nátěr syntetický OK "B" základní</t>
  </si>
  <si>
    <t>480   ocel.kce</t>
  </si>
  <si>
    <t>350   zavětrování</t>
  </si>
  <si>
    <t>358</t>
  </si>
  <si>
    <t>783124789IK</t>
  </si>
  <si>
    <t>Hydofobizační, paropropustný nátěr soklové části ETICS</t>
  </si>
  <si>
    <t>56,22   S.04, S.05, OBVODOVÁ STĚNA, ATIKA</t>
  </si>
  <si>
    <t>784</t>
  </si>
  <si>
    <t>Malby</t>
  </si>
  <si>
    <t>359</t>
  </si>
  <si>
    <t>784191201R00</t>
  </si>
  <si>
    <t>Penetrace podkladu hloubková Primalex 1x</t>
  </si>
  <si>
    <t>784_</t>
  </si>
  <si>
    <t>217,372*2+188,006*2+292,98+98,29   </t>
  </si>
  <si>
    <t>275,184+439,251+725,56-256,097   </t>
  </si>
  <si>
    <t>360</t>
  </si>
  <si>
    <t>784195222R00</t>
  </si>
  <si>
    <t>Malba Primalex Plus, barva, bez penetrace, 2 x</t>
  </si>
  <si>
    <t>M21</t>
  </si>
  <si>
    <t>Elektroinstalace</t>
  </si>
  <si>
    <t>361</t>
  </si>
  <si>
    <t>210010001IK</t>
  </si>
  <si>
    <t>EI, EIektroinstalace silnoproud, včetně hromosvodu a zemnící soustavy</t>
  </si>
  <si>
    <t>M21_</t>
  </si>
  <si>
    <t>362</t>
  </si>
  <si>
    <t>210010002IK</t>
  </si>
  <si>
    <t>EI, EIektroinstalace slaboproud A - CCTV</t>
  </si>
  <si>
    <t>363</t>
  </si>
  <si>
    <t>210010003IK</t>
  </si>
  <si>
    <t>EI, EIektroinstalace slaboproud B - ACS</t>
  </si>
  <si>
    <t>364</t>
  </si>
  <si>
    <t>EI, EIektroinstalace slaboproud C - OZVUČENÍ</t>
  </si>
  <si>
    <t>365</t>
  </si>
  <si>
    <t>EI, EIektroinstalace slaboproud D - IT a OSTATNÍ</t>
  </si>
  <si>
    <t>366</t>
  </si>
  <si>
    <t>2100109S.02IK</t>
  </si>
  <si>
    <t>Ostatní vybavení SLB, LED monitor 24” pro zobrazení obrazu z kamer CCTV včetně konzoly pro nástěnnou montáž</t>
  </si>
  <si>
    <t>1   TAB_06, S.02 LED MONITOR</t>
  </si>
  <si>
    <t>367</t>
  </si>
  <si>
    <t>210010001RU2</t>
  </si>
  <si>
    <t>Stavební přípomoce EI</t>
  </si>
  <si>
    <t>M22</t>
  </si>
  <si>
    <t>Vzduchotechnika</t>
  </si>
  <si>
    <t>368</t>
  </si>
  <si>
    <t>220010001IK</t>
  </si>
  <si>
    <t>VZT, Vzduchotechnika a klimatizace</t>
  </si>
  <si>
    <t>369</t>
  </si>
  <si>
    <t>220010003IK</t>
  </si>
  <si>
    <t>VZT, stavební přípomoce</t>
  </si>
  <si>
    <t>M22_</t>
  </si>
  <si>
    <t>370</t>
  </si>
  <si>
    <t>220010004IK</t>
  </si>
  <si>
    <t>Centrální vysavač, sací agregát včetně sady příslušenství, rozvody 180 m, 18 ks zásuvek</t>
  </si>
  <si>
    <t>1,00   CENTRÁLNÍ VYSAVAČ V M.Č.0.03</t>
  </si>
  <si>
    <t>M33</t>
  </si>
  <si>
    <t>Montáže dopravních zařízení a vah</t>
  </si>
  <si>
    <t>371</t>
  </si>
  <si>
    <t>330030059IK</t>
  </si>
  <si>
    <t>Invalidní schodišťová plošina mezi 1.PP a 1.NP, bez obsluhy</t>
  </si>
  <si>
    <t>1   KP.1, dopravní výška 1,740 m</t>
  </si>
  <si>
    <t>M33_</t>
  </si>
  <si>
    <t>Vedlejší a ostatní rozpočtové náklady</t>
  </si>
  <si>
    <t>Vedlejší rozpočtové náklady VRN</t>
  </si>
  <si>
    <t>Vedlejší rozpočtové náklady (VRN)</t>
  </si>
  <si>
    <t>Kč</t>
  </si>
  <si>
    <t>%</t>
  </si>
  <si>
    <t>Základna</t>
  </si>
  <si>
    <t>Zařízení staveniště</t>
  </si>
  <si>
    <t>Kompletařní činnost</t>
  </si>
  <si>
    <t>Geodetické práce</t>
  </si>
  <si>
    <t>Bezpečnost práce</t>
  </si>
  <si>
    <t>Dílenská, výrobní dok.</t>
  </si>
  <si>
    <t>Projekt skut.prov.</t>
  </si>
  <si>
    <t>Celkem ORN</t>
  </si>
  <si>
    <t>Stavba:   SLADOVKA BENEŠOV - BĚŽECKÝ ATLETICKÝ TUNEL</t>
  </si>
  <si>
    <t>Objekt:   ZDRAVOTECHNICKÉ INSTALACE</t>
  </si>
  <si>
    <t xml:space="preserve">Objednatel:   </t>
  </si>
  <si>
    <t xml:space="preserve">Zhotovitel:   </t>
  </si>
  <si>
    <t>Místo:   BENEŠOV</t>
  </si>
  <si>
    <t>Č.</t>
  </si>
  <si>
    <t>Kód položky</t>
  </si>
  <si>
    <t>Popis</t>
  </si>
  <si>
    <t>Množství celkem</t>
  </si>
  <si>
    <t>Cena jednotková</t>
  </si>
  <si>
    <t>Cena celkem</t>
  </si>
  <si>
    <t>Hmotnost celkem</t>
  </si>
  <si>
    <t xml:space="preserve">Práce a dodávky PSV   </t>
  </si>
  <si>
    <t>721</t>
  </si>
  <si>
    <t xml:space="preserve">Zdravotechnika - vnitřní kanalizace   </t>
  </si>
  <si>
    <t>721173401</t>
  </si>
  <si>
    <t xml:space="preserve">Potrubí kanalizační plastové svodné, systém KG DN 110   </t>
  </si>
  <si>
    <t>721173402</t>
  </si>
  <si>
    <t xml:space="preserve">Potrubí kanalizační  plastové svodné, systém KG DN 125   </t>
  </si>
  <si>
    <t>721173403</t>
  </si>
  <si>
    <t xml:space="preserve">Potrubí kanalizační plastové svodné, systém KG  DN 160   </t>
  </si>
  <si>
    <t>721173736</t>
  </si>
  <si>
    <t xml:space="preserve">Potrubí kanalizační z HT dešťové DN 100   </t>
  </si>
  <si>
    <t>721173737</t>
  </si>
  <si>
    <t xml:space="preserve">Potrubí kanalizační HT dešťové DN 125   </t>
  </si>
  <si>
    <t>721173745</t>
  </si>
  <si>
    <t xml:space="preserve">Potrubí kanalizační HT větrací DN 70   </t>
  </si>
  <si>
    <t>721174041</t>
  </si>
  <si>
    <t xml:space="preserve">Potrubí kanalizační připojovací HT 32   </t>
  </si>
  <si>
    <t>721174042</t>
  </si>
  <si>
    <t xml:space="preserve">Potrubí kanalizační připojovací  HT 40   </t>
  </si>
  <si>
    <t>721174043</t>
  </si>
  <si>
    <t xml:space="preserve">Potrubí kanalizační připojovací HT 50   </t>
  </si>
  <si>
    <t>721174044</t>
  </si>
  <si>
    <t xml:space="preserve">Potrubí kanalizační připojovací HT 75   </t>
  </si>
  <si>
    <t>721174045</t>
  </si>
  <si>
    <t xml:space="preserve">Potrubí kanalizační připojovací HT 110   </t>
  </si>
  <si>
    <t>721194104</t>
  </si>
  <si>
    <t xml:space="preserve">Vyvedení a upevnění odpadních výpustek DN 32 a 40   </t>
  </si>
  <si>
    <t>721194105</t>
  </si>
  <si>
    <t xml:space="preserve">Vyvedení a upevnění odpadních výpustek DN 50   </t>
  </si>
  <si>
    <t>721194109</t>
  </si>
  <si>
    <t xml:space="preserve">Vyvedení a upevnění odpadních výpustek DN 100   </t>
  </si>
  <si>
    <t>721211403</t>
  </si>
  <si>
    <t xml:space="preserve">Vpusť podlahová s vodorovným odtokem DN 50/75 s kulovým kloubem   </t>
  </si>
  <si>
    <t>721212129</t>
  </si>
  <si>
    <t xml:space="preserve">Odtokový sprchový žlab délky 1500 mm s krycím roštem, sifonem. DN 500 + sítko na vlasy   </t>
  </si>
  <si>
    <t>721226511</t>
  </si>
  <si>
    <t xml:space="preserve">Poodomítkový sifon HL  kondenzátu klimatizačních jednotek DN 32   </t>
  </si>
  <si>
    <t>721226512</t>
  </si>
  <si>
    <t xml:space="preserve">Sifonová nálevka pro kondenzát s držákem hadiček dn 32   </t>
  </si>
  <si>
    <t>721233112</t>
  </si>
  <si>
    <t xml:space="preserve">Střešní vtok polypropylen PP pro ploché střechy svislý odtok DN 110   </t>
  </si>
  <si>
    <t>721233121</t>
  </si>
  <si>
    <t xml:space="preserve">Střešní vtok polypropylen PP pro ploché střechy vodorovný odtok DN 75/110, s topným kabelem   </t>
  </si>
  <si>
    <t>721242106</t>
  </si>
  <si>
    <t xml:space="preserve">Lapač střešních splavenin z PP se zápachovou klapkou a lapacím košem DN 125   </t>
  </si>
  <si>
    <t>721273153</t>
  </si>
  <si>
    <t xml:space="preserve">Hlavice ventilační polypropylen PP DN 110   </t>
  </si>
  <si>
    <t>721290111</t>
  </si>
  <si>
    <t xml:space="preserve">Zkouška těsnosti potrubí kanalizace vodou do DN 125   </t>
  </si>
  <si>
    <t>721290112</t>
  </si>
  <si>
    <t xml:space="preserve">Zkouška těsnosti potrubí kanalizace vodou do DN 200   </t>
  </si>
  <si>
    <t>998721201</t>
  </si>
  <si>
    <t xml:space="preserve">Přesun hmot procentní pro vnitřní kanalizace v objektech v do 6 m   </t>
  </si>
  <si>
    <t>998721293</t>
  </si>
  <si>
    <t xml:space="preserve">Příplatek k přesunu hmot procentní 721 za zvětšený přesun do 500 m   </t>
  </si>
  <si>
    <t>722</t>
  </si>
  <si>
    <t xml:space="preserve">Zdravotechnika - vnitřní vodovod   </t>
  </si>
  <si>
    <t>722130233</t>
  </si>
  <si>
    <t xml:space="preserve">Potrubí vodovodní ocelové závitové pozinkované svařované běžné DN 25   </t>
  </si>
  <si>
    <t>722130234</t>
  </si>
  <si>
    <t xml:space="preserve">Potrubí vodovodní ocelové závitové pozinkované svařované běžné DN 32   </t>
  </si>
  <si>
    <t>722173105</t>
  </si>
  <si>
    <t xml:space="preserve">Potrubí vodovodní plastové PPR 32x4,4 mm pro odvod kondenzátu VZT a úkapů pojistn. armatur ÚT   </t>
  </si>
  <si>
    <t>722174002</t>
  </si>
  <si>
    <t xml:space="preserve">Potrubí tlakové plastové PPR D 20 x 2,8 mm čerpání kondenzátu   </t>
  </si>
  <si>
    <t>722174002a</t>
  </si>
  <si>
    <t xml:space="preserve">Potrubí vodovodní plastové PPR svar polyfuze PN 16 D 20 x 2,8 mm DN 15   </t>
  </si>
  <si>
    <t>722174003</t>
  </si>
  <si>
    <t xml:space="preserve">Potrubí vodovodní plastové PPR svar polyfuze PN 16 D 25 x 3,5 mm DN 20   </t>
  </si>
  <si>
    <t>722174004</t>
  </si>
  <si>
    <t xml:space="preserve">Potrubí PPR výtlaku od sanitárních čerpacích boxů v 1. PP,  PN 16 D 32 x 4,4 mm   </t>
  </si>
  <si>
    <t>722174004a</t>
  </si>
  <si>
    <t xml:space="preserve">Potrubí vodovodní plastové PPR svar polyfuze PN 16 D 32 x 4,4 mm DN 25   </t>
  </si>
  <si>
    <t>722174005</t>
  </si>
  <si>
    <t xml:space="preserve">Potrubí vodovodní plastové PPR svar polyfuze PN 16 D 40 x 5,5 mm DN 32   </t>
  </si>
  <si>
    <t>722174006</t>
  </si>
  <si>
    <t xml:space="preserve">Potrubí vodovodní plastové PPR svar polyfuze PN 16 D 50 x 6,9 mm DN 40   </t>
  </si>
  <si>
    <t>722174007</t>
  </si>
  <si>
    <t xml:space="preserve">Potrubí vodovodní plastové PPR svar polyfuze PN 16 D 63 x 8,6 mm   </t>
  </si>
  <si>
    <t>722181211</t>
  </si>
  <si>
    <t xml:space="preserve">Ochrana vodovodního potrubí přilepenými termoizolačními trubicemi z PE tl do 6 mm DN do 22 mm   </t>
  </si>
  <si>
    <t>722181212</t>
  </si>
  <si>
    <t xml:space="preserve">Ochrana vodovodního potrubí přilepenými termoizolačními trubicemi z PE tl do 6 mm DN do 32 mm   </t>
  </si>
  <si>
    <t>722181213</t>
  </si>
  <si>
    <t xml:space="preserve">Ochrana vodovodního potrubí přilepenými termoizolačními trubicemi z PE tl do 6 mm DN přes 32 mm   </t>
  </si>
  <si>
    <t>722181222</t>
  </si>
  <si>
    <t xml:space="preserve">Ochrana vodovodního potrubí přilepenými termoizolačními trubicemi z PE tl do 9 mm DN do 45 mm   </t>
  </si>
  <si>
    <t>722181252</t>
  </si>
  <si>
    <t xml:space="preserve">Ochrana vodovodního potrubí přilepenými termoizolačními trubicemi z PE tl do 25 mm DN do 45 mm   </t>
  </si>
  <si>
    <t>722190401</t>
  </si>
  <si>
    <t xml:space="preserve">Vyvedení a upevnění výpustku do DN 25   </t>
  </si>
  <si>
    <t>722220233</t>
  </si>
  <si>
    <t xml:space="preserve">Přechodka dGK PPR PN 20 D 32 x G 1 s kovovým vnitřním závitem, připojení Hy a boileru   </t>
  </si>
  <si>
    <t>722220235</t>
  </si>
  <si>
    <t xml:space="preserve">Přechodka dGK PPR PN 20 D 50 x G 6/4 s kovovým vnitřním závitem - připojení boileru   </t>
  </si>
  <si>
    <t>722224115</t>
  </si>
  <si>
    <t xml:space="preserve">Kohout plnicí nebo vypouštěcí G 1/2 PN 10 s jedním závitem   </t>
  </si>
  <si>
    <t>722230104</t>
  </si>
  <si>
    <t xml:space="preserve">Ventil přímý G 5/4 se dvěma závity   </t>
  </si>
  <si>
    <t>722230105</t>
  </si>
  <si>
    <t xml:space="preserve">Ventil přímý G 6/4 se dvěma závity   </t>
  </si>
  <si>
    <t>722230114</t>
  </si>
  <si>
    <t xml:space="preserve">Ventil přímý G 5/4 s odvodněním a dvěma závity   </t>
  </si>
  <si>
    <t>722231074</t>
  </si>
  <si>
    <t xml:space="preserve">Ventil zpětný mosazný G 1 PN 10 do 110°C se dvěma závity   </t>
  </si>
  <si>
    <t>722231075</t>
  </si>
  <si>
    <t xml:space="preserve">Ventil zpětný mosazný G 5/4 PN 10 do 110°C se dvěma závity   </t>
  </si>
  <si>
    <t>722231085</t>
  </si>
  <si>
    <t xml:space="preserve">Ventil Kemper BA k hydrantům proti zpětnému toku kontaminované vody   </t>
  </si>
  <si>
    <t>722231141</t>
  </si>
  <si>
    <t xml:space="preserve">PO ventil závitový G 1/2   </t>
  </si>
  <si>
    <t>722231222</t>
  </si>
  <si>
    <t xml:space="preserve">Ventil pojistný mosazný G 3/4 PN 6 do 100°C k bojleru s vnitřním x vnějším závitem   </t>
  </si>
  <si>
    <t>722232062</t>
  </si>
  <si>
    <t xml:space="preserve">Kohout kulový přímý G 3/4 PN 42 do 185°C vnitřní závit s vypouštěním   </t>
  </si>
  <si>
    <t>722232063</t>
  </si>
  <si>
    <t xml:space="preserve">Kohout kulový přímý G 1 PN 42 do 185°C vnitřní závit s vypouštěním   </t>
  </si>
  <si>
    <t>722232064</t>
  </si>
  <si>
    <t xml:space="preserve">Kohout kulový přímý G 5/4 PN 42 do 185°C vnitřní závit s vypouštěním   </t>
  </si>
  <si>
    <t>722250143</t>
  </si>
  <si>
    <t xml:space="preserve">Hydrantový systém s tvarově stálou hadicí D 25 x 30 m prosklený   </t>
  </si>
  <si>
    <t>soubor</t>
  </si>
  <si>
    <t>722262164</t>
  </si>
  <si>
    <t xml:space="preserve">Vodoměr přírubový šroubový do 40°C DN 25 x 260 mm Qn 6 m3/h horizontální   </t>
  </si>
  <si>
    <t>722290226</t>
  </si>
  <si>
    <t xml:space="preserve">Zkouška těsnosti vodovodního potrubí  do DN 50   </t>
  </si>
  <si>
    <t>722290234</t>
  </si>
  <si>
    <t xml:space="preserve">Proplach a dezinfekce vodovodního potrubí do DN 80   </t>
  </si>
  <si>
    <t>998722201</t>
  </si>
  <si>
    <t xml:space="preserve">Přesun hmot procentní pro vnitřní vodovod v objektech v do 6 m   </t>
  </si>
  <si>
    <t>998722293</t>
  </si>
  <si>
    <t xml:space="preserve">Příplatek k přesunu hmot procentní 722 za zvětšený přesun do 500 m   </t>
  </si>
  <si>
    <t>723</t>
  </si>
  <si>
    <t xml:space="preserve">Zdravotechnika - vnitřní plynovod   </t>
  </si>
  <si>
    <t>723111202</t>
  </si>
  <si>
    <t xml:space="preserve">Potrubí ocelové závitové černé bezešvé svařované běžné DN 15   </t>
  </si>
  <si>
    <t>723111203</t>
  </si>
  <si>
    <t xml:space="preserve">Potrubí ocelové závitové černé bezešvé svařované běžné DN 20  - odfukové   </t>
  </si>
  <si>
    <t>723150304</t>
  </si>
  <si>
    <t xml:space="preserve">Potrubí ocelové hladké černé bezešvé spojované svařováním tvářené za tepla D 32x2,6 mm   </t>
  </si>
  <si>
    <t>723150312</t>
  </si>
  <si>
    <t xml:space="preserve">Potrubí ocelové hladké černé bezešvé spojované svařováním tvářené za tepla D 57x3,2 mm   </t>
  </si>
  <si>
    <t>723150315</t>
  </si>
  <si>
    <t xml:space="preserve">Potrubí ocelové hladké černé bezešvé spojované svařováním tvářené za tepla D 108x4 mm   </t>
  </si>
  <si>
    <t>723190204</t>
  </si>
  <si>
    <t xml:space="preserve">Přípojka plynovodní ocelová závitová černá bezešvá spojovaná na závit běžná DN 25   </t>
  </si>
  <si>
    <t>723190253</t>
  </si>
  <si>
    <t xml:space="preserve">Výpustky plynovodní vedení a upevnění DN 25   </t>
  </si>
  <si>
    <t>723213202</t>
  </si>
  <si>
    <t xml:space="preserve">Kohout přírubový kulový uzavírací DN 50 PN 16 do 200°C těleso šedá litina   </t>
  </si>
  <si>
    <t>723231160</t>
  </si>
  <si>
    <t xml:space="preserve">Kulový kohout vzorkovací K 858 15 mm   </t>
  </si>
  <si>
    <t>723231162</t>
  </si>
  <si>
    <t xml:space="preserve">Kohout kulový přímý G 1/2 PN 42 do 185°C plnoprůtokový vnitřní závit těžká řada   </t>
  </si>
  <si>
    <t>723231164</t>
  </si>
  <si>
    <t xml:space="preserve">Kohout kulový přímý G 1 PN 42 do 185°C plnoprůtokový vnitřní závit těžká řada   </t>
  </si>
  <si>
    <t>723239106</t>
  </si>
  <si>
    <t xml:space="preserve">Montáž armatur plynovodních se dvěma závity G 2   </t>
  </si>
  <si>
    <t>42215649</t>
  </si>
  <si>
    <t xml:space="preserve">Samočinný ventil plyn. uzavírací před vstupem do tech. místnosti, D50, 0-36 kPa, závit   </t>
  </si>
  <si>
    <t>998723201</t>
  </si>
  <si>
    <t xml:space="preserve">Přesun hmot procentní pro vnitřní plynovod v objektech v do 6 m   </t>
  </si>
  <si>
    <t>998723293</t>
  </si>
  <si>
    <t xml:space="preserve">Příplatek k přesunu hmot procentní 723 za zvětšený přesun do 500 m   </t>
  </si>
  <si>
    <t>724</t>
  </si>
  <si>
    <t xml:space="preserve">Zdravotechnika - strojní vybavení   </t>
  </si>
  <si>
    <t>724139101a</t>
  </si>
  <si>
    <t xml:space="preserve">Montáž sanitární čerpací jednotky   </t>
  </si>
  <si>
    <t>42681001a</t>
  </si>
  <si>
    <t xml:space="preserve">sanitární čerpací jednotka pro WC v 1.PP, 1,1 kW, H max. 7 m, do vzál. max. 100 m, výtlak 28/32 mm, 4 vstupy, protipachový filtr z aktivního uhlí   </t>
  </si>
  <si>
    <t>724149101A</t>
  </si>
  <si>
    <t xml:space="preserve">Montáž čerpadla kondenzátu   </t>
  </si>
  <si>
    <t>42616012</t>
  </si>
  <si>
    <t xml:space="preserve">Čerpadlo kondenzátu hmax=4.5m, Qmax.=300 l/h na úroveň podlahy do suché jímky 30 x 25 cm, s přídavným hladinovým spínačem.  230V,  nádržka do 2,65 l.   </t>
  </si>
  <si>
    <t>998724201</t>
  </si>
  <si>
    <t xml:space="preserve">Přesun hmot procentní pro strojní vybavení v objektech v do 6 m   </t>
  </si>
  <si>
    <t>998724293</t>
  </si>
  <si>
    <t xml:space="preserve">Příplatek k přesunu hmot procentní 724 za zvětšený přesun do 500 m   </t>
  </si>
  <si>
    <t>725</t>
  </si>
  <si>
    <t xml:space="preserve">Zdravotechnika - zařizovací předměty   </t>
  </si>
  <si>
    <t>725111359</t>
  </si>
  <si>
    <t xml:space="preserve">Předstěnový instalační modul pro suchou instalaci (SDK), výška 1 120 mm, tlačítko ve výšce 1000 mm střed + tlačítko ovládací antivandal pro instal. systém   </t>
  </si>
  <si>
    <t>725112009</t>
  </si>
  <si>
    <t xml:space="preserve">Klozet zvýšený pro tělesně postižené (v. 48 cm), zadní odpad, vč. instal. sady + WC nádrž 3/6 litrů pro výrobek dané série, vč. připojovacích prvků a armatur + sedátko duroplastové oblé s poklopem, bílé, rychloupínací ocelové úchyty   </t>
  </si>
  <si>
    <t>725112022</t>
  </si>
  <si>
    <t xml:space="preserve">Klozet keramický závěsný na nosné stěny s hlubokým splachováním odpad vodorovný, max. 49/36 cm, bílý, vč. protihlukové sady , sedátka, roh. ventilu   </t>
  </si>
  <si>
    <t>725121009</t>
  </si>
  <si>
    <t xml:space="preserve">oddělovací stěna mezi pisoáry keramická š/hl/v: 100/410/660 mm, design oblý, materiál keramika, barva bílá   </t>
  </si>
  <si>
    <t>725121527</t>
  </si>
  <si>
    <t xml:space="preserve">Pisoár odsávací antivandal s radarovým senzorem, s vnitřním přívodem vody a síťovým napájením kompletní, vč. příslušenství, keramika, bílý, rozměry max 310/350 půdorys, vč. připojovacích armatur   </t>
  </si>
  <si>
    <t>725211602a</t>
  </si>
  <si>
    <t xml:space="preserve">umyvadlo 55 x 42, výška 19 cm, design na přední straně oblý, boky kolmé ke stěně, materiál keramika, barva bílá + umyvadlový sifon celokovový, kulatý, průtok 30 l/min, odpadní trubka průměr 32 mm, materiál povrchu chrom lesklý + umyvadlová výpust pro umyv   </t>
  </si>
  <si>
    <t>725211681</t>
  </si>
  <si>
    <t xml:space="preserve">nástěnné zdravotní umyvadlo pro tělesně postižené bez přepadu, 64 x 55 x 17 cm, materiál keramika, barva bílá + umyvadlový sifon šetřící místo, odpad průměr 32 mm, materiál mosaz, povrch chrom lesklý + umyvadlová neuzavíratelná výpust pro umyvadla bez pře   </t>
  </si>
  <si>
    <t>725244152</t>
  </si>
  <si>
    <t xml:space="preserve">sprchová vanička akrylátová, 100 x 80 cm, obdélníková, barva bílá, včetně sifonu a příslušenství + sprchové dveře 100 x 195 cm do niky, chrom lesklý, bezpečnostní sklo tvrzené 6 mm, povrch Easy clean, včetně profilu na zeď   </t>
  </si>
  <si>
    <t>725331111</t>
  </si>
  <si>
    <t xml:space="preserve">úklidová výlevka samostatně stojící 500/435/460 mm s plastovou mřížkou, zadní odpad D110, materiál keramika, barva bílá   </t>
  </si>
  <si>
    <t>725331111a</t>
  </si>
  <si>
    <t xml:space="preserve">úklidová výlevka nástěnná plast.  včetně roštu se zadní stěnou a přepadem 610 x 455 mm, bílá + sifon plastový k výlevce R 1 1/2   </t>
  </si>
  <si>
    <t>725821311a</t>
  </si>
  <si>
    <t xml:space="preserve">nástěnná dřezová baterie k úklidové výlevce, rozteč 150 mm, design kulatý, materiál povrchu chrom lesklý, otočné ramínko 300 mm   </t>
  </si>
  <si>
    <t>725821326a</t>
  </si>
  <si>
    <t xml:space="preserve">baterie dřezová páková, chrom, ramínko otočné 170 mm, včetně propojovacích hadiček, design oblý + sifon dřezový plastový   </t>
  </si>
  <si>
    <t>725822611</t>
  </si>
  <si>
    <t xml:space="preserve">Baterie umyvadlová stojánková páková bez výpusti mosaz, povrch chrom, oblý design, výška 150 mm vč. připojovacího materiálu   </t>
  </si>
  <si>
    <t>725841352a</t>
  </si>
  <si>
    <t xml:space="preserve">sprchová baterie páková včetně podmínkového tělesa - chrom s jedním výstupem na horní sprchu, dvoupolohová kartuš s nastavitelnou maximální teplotou vody + hlavová sprcha nástěnná včetně sprchového ramene + pomocný a propojovací materiál a příslušenství   </t>
  </si>
  <si>
    <t>998725201</t>
  </si>
  <si>
    <t xml:space="preserve">Přesun hmot procentní pro zařizovací předměty v objektech v do 6 m   </t>
  </si>
  <si>
    <t>998725293</t>
  </si>
  <si>
    <t xml:space="preserve">Příplatek k přesunu hmot procentní 725 za zvětšený přesun do 500 m   </t>
  </si>
  <si>
    <t>732</t>
  </si>
  <si>
    <t xml:space="preserve">Ústřední vytápění - strojovny   </t>
  </si>
  <si>
    <t>732421213</t>
  </si>
  <si>
    <t xml:space="preserve">Čerpadlo cirkulační TUV, H = 6 m, 230 V, 4 m3/hod   </t>
  </si>
  <si>
    <t>734</t>
  </si>
  <si>
    <t xml:space="preserve">Ústřední vytápění - armatury   </t>
  </si>
  <si>
    <t>734411104</t>
  </si>
  <si>
    <t xml:space="preserve">Teploměr technický s pevným stonkem průměr 63 mm délky 150 mm   </t>
  </si>
  <si>
    <t>734421101</t>
  </si>
  <si>
    <t xml:space="preserve">Tlakoměr s pevným stonkem a zpětnou klapkou tlak 0-16 bar průměr 50 mm   </t>
  </si>
  <si>
    <t>734421101a</t>
  </si>
  <si>
    <t xml:space="preserve">Tlakoměr plynárenský 50 mm s uzávěrem   </t>
  </si>
  <si>
    <t xml:space="preserve">Dokončovací práce - nátěry   </t>
  </si>
  <si>
    <t>783601711</t>
  </si>
  <si>
    <t xml:space="preserve">Bezoplachové odrezivění potrubí DN do 50 mm   </t>
  </si>
  <si>
    <t>783601729</t>
  </si>
  <si>
    <t xml:space="preserve">Bezoplachové odrezivění potrubí DN do 100 mm   </t>
  </si>
  <si>
    <t>783614551</t>
  </si>
  <si>
    <t xml:space="preserve">Základní jednonásobný syntetický nátěr potrubí DN do 50 mm   </t>
  </si>
  <si>
    <t>783614561</t>
  </si>
  <si>
    <t xml:space="preserve">Základní jednonásobný syntetický nátěr potrubí DN do 100 mm   </t>
  </si>
  <si>
    <t>783617611</t>
  </si>
  <si>
    <t xml:space="preserve">Krycí dvojnásobný syntetický nátěr potrubí DN do 50 mm   </t>
  </si>
  <si>
    <t>783617621</t>
  </si>
  <si>
    <t xml:space="preserve">Krycí jednonásobný syntetický nátěr potrubí DN do 100 mm   </t>
  </si>
  <si>
    <t xml:space="preserve">Celkem   </t>
  </si>
  <si>
    <t>Objekt:   AREÁLOVÉ ROZVODY KANALIZACE, VODY, PLYNU PRO SO 02</t>
  </si>
  <si>
    <t xml:space="preserve">Práce a dodávky HSV   </t>
  </si>
  <si>
    <t xml:space="preserve">Zemní práce   </t>
  </si>
  <si>
    <t>115101201</t>
  </si>
  <si>
    <t xml:space="preserve">Čerpání vody 10m 500l   </t>
  </si>
  <si>
    <t>hr</t>
  </si>
  <si>
    <t>115101301</t>
  </si>
  <si>
    <t xml:space="preserve">Pohotovost čerp do 10m do 500l   </t>
  </si>
  <si>
    <t>d</t>
  </si>
  <si>
    <t>119001411</t>
  </si>
  <si>
    <t xml:space="preserve">Dočasné zajištění potrubí B, lPE, OC   </t>
  </si>
  <si>
    <t>119001421</t>
  </si>
  <si>
    <t xml:space="preserve">Dočasné zajištění kabelů do 3 ks   </t>
  </si>
  <si>
    <t>123202101</t>
  </si>
  <si>
    <t xml:space="preserve">Vykopávky zářezů na suchu objemu do 1000 m3 v hornině tř. 3   </t>
  </si>
  <si>
    <t>123202109</t>
  </si>
  <si>
    <t xml:space="preserve">Příplatek k vykopávkám zářezů na suchu v hornině tř. 3 za na lepivost   </t>
  </si>
  <si>
    <t>130001101</t>
  </si>
  <si>
    <t xml:space="preserve">Příplatek za ztížení vykopávky v blízkosti pozemního vedení   </t>
  </si>
  <si>
    <t>132201401</t>
  </si>
  <si>
    <t xml:space="preserve">Hloubená vykopávka pod základy v hornině tř. 3   </t>
  </si>
  <si>
    <t>161101101</t>
  </si>
  <si>
    <t xml:space="preserve">Svislé přemístění výkopku z horniny tř. 1 až 4 hl výkopu do 2,5 m   </t>
  </si>
  <si>
    <t>162401101</t>
  </si>
  <si>
    <t xml:space="preserve">Vodorovné přemístění výkopku do 1500m 1-4   </t>
  </si>
  <si>
    <t>167101101</t>
  </si>
  <si>
    <t xml:space="preserve">Nakládání výkopku do 100m3 tř. 4   </t>
  </si>
  <si>
    <t>171201201</t>
  </si>
  <si>
    <t xml:space="preserve">Uložení sypaniny na skládky   </t>
  </si>
  <si>
    <t>172102100</t>
  </si>
  <si>
    <t xml:space="preserve">Hutnění obsypů potrubí   </t>
  </si>
  <si>
    <t>174101103</t>
  </si>
  <si>
    <t xml:space="preserve">Zásyp zářezů pro podzemní vedení sypaninou se zhutněním   </t>
  </si>
  <si>
    <t>175101101</t>
  </si>
  <si>
    <t xml:space="preserve">Obsyp potrubí bez prohoz sypaniny   </t>
  </si>
  <si>
    <t>175101109</t>
  </si>
  <si>
    <t xml:space="preserve">Obsyp potrubí přípl prohození   </t>
  </si>
  <si>
    <t xml:space="preserve">Svislé a kompletní konstrukce   </t>
  </si>
  <si>
    <t>356934039</t>
  </si>
  <si>
    <t xml:space="preserve">Spadištní úprava ve stávají šachtě Š2   </t>
  </si>
  <si>
    <t>kpl</t>
  </si>
  <si>
    <t>382413130</t>
  </si>
  <si>
    <t xml:space="preserve">Osazení kompaktní čerpací stanice samonosné z PP   </t>
  </si>
  <si>
    <t>42660060</t>
  </si>
  <si>
    <t xml:space="preserve">Kompaktní čerpací jímka pro jedno čerpadlo s integrovaným plovákovým spínačem, H=2000 mm, D = 600/800 mm, čerpadlo h = 6,5 m, Q = 7,2 m3/hod, 0,5 kW, 230 V   </t>
  </si>
  <si>
    <t xml:space="preserve">Vodorovné konstrukce   </t>
  </si>
  <si>
    <t>451573111</t>
  </si>
  <si>
    <t xml:space="preserve">Lože výkopu ze štěrkopísku   </t>
  </si>
  <si>
    <t>452112111</t>
  </si>
  <si>
    <t xml:space="preserve">Osazení beton. prstenců výšky do 100mm   </t>
  </si>
  <si>
    <t>BTL.0006187.URS</t>
  </si>
  <si>
    <t xml:space="preserve">prstenec betonový vyrovnávací TBS 11-60, 100 mm   </t>
  </si>
  <si>
    <t xml:space="preserve">Komunikace pozemní   </t>
  </si>
  <si>
    <t>564251114</t>
  </si>
  <si>
    <t xml:space="preserve">Podklad nebo podsyp ze štěrkopísku ŠP tl 180 mm   </t>
  </si>
  <si>
    <t>564651111</t>
  </si>
  <si>
    <t xml:space="preserve">Podklad z kameniva hrubého drceného vel. 63-125 mm tl 150 mm   </t>
  </si>
  <si>
    <t>575151111</t>
  </si>
  <si>
    <t xml:space="preserve">Vsypný makadam VM tl 60 mm   </t>
  </si>
  <si>
    <t>577154211</t>
  </si>
  <si>
    <t xml:space="preserve">Asfaltový beton vrstva obrusná ACO 11 (ABS) tř. II tl 60 mm š do 3 m z nemodifikovaného asfaltu   </t>
  </si>
  <si>
    <t xml:space="preserve">Trubní vedení   </t>
  </si>
  <si>
    <t>286139240</t>
  </si>
  <si>
    <t xml:space="preserve">potrubí plynovodní PE 63/5,8 mm 0,4 MPa   </t>
  </si>
  <si>
    <t>28613655</t>
  </si>
  <si>
    <t xml:space="preserve">potrubí vodovodní LDPE (rPE) D 63x5,8mm   </t>
  </si>
  <si>
    <t>28613752</t>
  </si>
  <si>
    <t xml:space="preserve">potrubí výtlaku čerpací jímky LDPE (rPE) D 32x4,4mm   </t>
  </si>
  <si>
    <t>28615973</t>
  </si>
  <si>
    <t xml:space="preserve">přechod spoj SDR 11 PE 100 PN 16  stávaj. plynovod D 75mm   </t>
  </si>
  <si>
    <t>28614977</t>
  </si>
  <si>
    <t xml:space="preserve">elektroredukce PE 100 PN 16 D 75-63mm   </t>
  </si>
  <si>
    <t>28653055</t>
  </si>
  <si>
    <t xml:space="preserve">elektrokoleno 90° PE 100 D 63mm   </t>
  </si>
  <si>
    <t>857241131</t>
  </si>
  <si>
    <t>HWL.504508009016</t>
  </si>
  <si>
    <t xml:space="preserve">KOLENO Hawle 90 8535 D63   </t>
  </si>
  <si>
    <t>871161141</t>
  </si>
  <si>
    <t xml:space="preserve">Montáž potrubí z PE100 SDR 11 otevřený výkop svařovaných na tupo D 32 x 3,0 mm, výtlak čerpací jímky pod schodištěm   </t>
  </si>
  <si>
    <t>871211141</t>
  </si>
  <si>
    <t xml:space="preserve">Montáž potrubí vodovodu z PE100 SDR 11 otevřený výkop svařovaných na tupo D 63 x 5,8 mm   </t>
  </si>
  <si>
    <t>286539004</t>
  </si>
  <si>
    <t xml:space="preserve">Záslepka Frialen D90 a 63   </t>
  </si>
  <si>
    <t>ks</t>
  </si>
  <si>
    <t>28614958</t>
  </si>
  <si>
    <t xml:space="preserve">elektrotvarovka T-kus rovnoramenný PE 100 PN 16 D 63mm   </t>
  </si>
  <si>
    <t>871211211</t>
  </si>
  <si>
    <t xml:space="preserve">Montáž potrubí plynovodu z PE100 SDR 11 otevřený výkop svařovaných elektrotvarovkou D 63 x 5,8 mm   </t>
  </si>
  <si>
    <t>871350430</t>
  </si>
  <si>
    <t xml:space="preserve">Montáž kanalizačního potrubí korugovaného SN 16 z polypropylenu DN 200   </t>
  </si>
  <si>
    <t>ELM.05531</t>
  </si>
  <si>
    <t xml:space="preserve">Trubka kanalizační ULTRA-RIB 2 SN 16  200x3000 mm PP   </t>
  </si>
  <si>
    <t>892241111</t>
  </si>
  <si>
    <t xml:space="preserve">Tlaková zkouška vodou potrubí do 80   </t>
  </si>
  <si>
    <t>892273111</t>
  </si>
  <si>
    <t xml:space="preserve">Dezinfekce vodovod. potrubí DN do 125   </t>
  </si>
  <si>
    <t>892381119</t>
  </si>
  <si>
    <t xml:space="preserve">Zkouška těsnosti kanalizace   </t>
  </si>
  <si>
    <t>59224312</t>
  </si>
  <si>
    <t xml:space="preserve">kónus šachetní betonový kapsové plastové stupadlo 100x62,5x58 cm   </t>
  </si>
  <si>
    <t>893115121</t>
  </si>
  <si>
    <t xml:space="preserve">Šachtice domovní vodovodní obestavěný prostor do 0,75 m3 zdi z pálených cihel s poklopem   </t>
  </si>
  <si>
    <t>894411131</t>
  </si>
  <si>
    <t xml:space="preserve">Zřízení šachet kanalizačních z betonových dílců na potrubí do 500 dno beton tř. C 25/30   </t>
  </si>
  <si>
    <t>894812339</t>
  </si>
  <si>
    <t xml:space="preserve">Příplatek k rourám revizní a čistící šachty z PP DN 600 za uříznutí šachtové roury   </t>
  </si>
  <si>
    <t>894812352</t>
  </si>
  <si>
    <t xml:space="preserve">Revizní a čistící šachta z PP DN 600 poklop litinový pro třídu zatížení A15 s teleskopickým adaptérem   </t>
  </si>
  <si>
    <t>894812357</t>
  </si>
  <si>
    <t xml:space="preserve">Revizní a čistící šachta z PP DN 600 poklop litinový pro třídu zatížení B125 s teleskopickým adaptérem   </t>
  </si>
  <si>
    <t>894812529</t>
  </si>
  <si>
    <t xml:space="preserve">Příplatek k rourám revizní a čistící šachty z PP DN 1000 za uříznutí šachtové skruže   </t>
  </si>
  <si>
    <t>894812537</t>
  </si>
  <si>
    <t xml:space="preserve">Revizní a čistící šachta z PP DN 1000 poklop litinový pro třídu zatížení A15 na teleskopickém adaptéru   </t>
  </si>
  <si>
    <t>899103111</t>
  </si>
  <si>
    <t xml:space="preserve">Osazení poklopů s rámem do 150kg   </t>
  </si>
  <si>
    <t>28661935</t>
  </si>
  <si>
    <t xml:space="preserve">poklop šachtový litinový dno DN 600 pro třídu zatížení D400   </t>
  </si>
  <si>
    <t>899620121</t>
  </si>
  <si>
    <t xml:space="preserve">Obetonování potrubí  stoky D1 v průchodu objektem SO3   </t>
  </si>
  <si>
    <t>28661939</t>
  </si>
  <si>
    <t xml:space="preserve">prstenec šachtový betonový dno DN 600/1000 - konus 2-60   </t>
  </si>
  <si>
    <t>28661871</t>
  </si>
  <si>
    <t xml:space="preserve">dno šachtové z PP DN 600 pro trubní vedení z PP DN 200 pravý a levý přítok X   </t>
  </si>
  <si>
    <t>WVN.RP030000W</t>
  </si>
  <si>
    <t xml:space="preserve">ŠACHT. KORUG. ROURA 600/3000   </t>
  </si>
  <si>
    <t>WVN.MF720040W</t>
  </si>
  <si>
    <t xml:space="preserve">1000 NG - PŘECHODOVÝ KONUS 1000/600   </t>
  </si>
  <si>
    <t>28661943</t>
  </si>
  <si>
    <t xml:space="preserve">těsnění šachtové pro dno a spojku roury dno DN 600   </t>
  </si>
  <si>
    <t>28661491</t>
  </si>
  <si>
    <t xml:space="preserve">těsnění k šachtové rouře korugované DN 1000   </t>
  </si>
  <si>
    <t>WVN.MF720055W</t>
  </si>
  <si>
    <t xml:space="preserve">1000 NG - ŽEBŘÍK L=1,63 vč.příslušenství   </t>
  </si>
  <si>
    <t>WVN.MF720060W</t>
  </si>
  <si>
    <t xml:space="preserve">1000 NG - ŽEBŘÍK L=2,83 vč.příslušenství   </t>
  </si>
  <si>
    <t>WVN.MP000024W</t>
  </si>
  <si>
    <t xml:space="preserve">ŠACHT. KORUG. ROURA 1000/2400   </t>
  </si>
  <si>
    <t>28661868</t>
  </si>
  <si>
    <t xml:space="preserve">dno šachtové z PP DN 600 pro trubní vedení z PP DN 200 sběrné Y   </t>
  </si>
  <si>
    <t>28661444</t>
  </si>
  <si>
    <t xml:space="preserve">dno šachtové tvarované 1000 PP KG 200 úhel 30°/150   </t>
  </si>
  <si>
    <t>28661443</t>
  </si>
  <si>
    <t xml:space="preserve">dno šachtové tvarované 1000 PP KG 200 přímé   </t>
  </si>
  <si>
    <t>899721112</t>
  </si>
  <si>
    <t xml:space="preserve">Signalizační vodič na potrubí   </t>
  </si>
  <si>
    <t>899722111</t>
  </si>
  <si>
    <t xml:space="preserve">Krytí potrubí z plastů výstražnou fólií z PVC 20 cm   </t>
  </si>
  <si>
    <t xml:space="preserve">Ostatní konstrukce a práce, bourání   </t>
  </si>
  <si>
    <t>965081519</t>
  </si>
  <si>
    <t xml:space="preserve">Bourání podlah betonových   </t>
  </si>
  <si>
    <t xml:space="preserve">Přesun hmot   </t>
  </si>
  <si>
    <t>998276101</t>
  </si>
  <si>
    <t xml:space="preserve">Přesun hmot pro trubní vedení z trub z plastických hmot otevřený výkop   </t>
  </si>
  <si>
    <t>998276124</t>
  </si>
  <si>
    <t xml:space="preserve">Příplatek k přesunu hmot pro trubní vedení z trub z plastických hmot za zvětšený přesun do 500 m   </t>
  </si>
  <si>
    <t>722130236</t>
  </si>
  <si>
    <t xml:space="preserve">Potrubí vodovodní ocelové závitové pozinkované svařované běžné DN 50   </t>
  </si>
  <si>
    <t>722130916</t>
  </si>
  <si>
    <t xml:space="preserve">Potrubí pozinkované závitové přeřezání ocelové trubky do DN 50   </t>
  </si>
  <si>
    <t>722131916</t>
  </si>
  <si>
    <t xml:space="preserve">vsazení odbočky do potrubí DN 50 (šatna ZS)   </t>
  </si>
  <si>
    <t>722220236</t>
  </si>
  <si>
    <t xml:space="preserve">Přechodka dGK PPR PN 20 D 63 x G 2 s kovovým vnitřním závitem   </t>
  </si>
  <si>
    <t>722230116</t>
  </si>
  <si>
    <t xml:space="preserve">Ventil přímý G 2 s odvodněním a dvěma závity   </t>
  </si>
  <si>
    <t>M</t>
  </si>
  <si>
    <t xml:space="preserve">M   </t>
  </si>
  <si>
    <t>23-M</t>
  </si>
  <si>
    <t xml:space="preserve">Montáže potrubí   </t>
  </si>
  <si>
    <t>230230001</t>
  </si>
  <si>
    <t xml:space="preserve">Předběžná tlaková zkouška plynovodu vodou   </t>
  </si>
  <si>
    <t>230230014</t>
  </si>
  <si>
    <t xml:space="preserve">Mont. elektrotvarovek plyn   </t>
  </si>
  <si>
    <t>230230048</t>
  </si>
  <si>
    <t xml:space="preserve">Hlavní tlaková zkouška vzduchem 4,0 MPa   </t>
  </si>
  <si>
    <t>poz.</t>
  </si>
  <si>
    <t>standart</t>
  </si>
  <si>
    <t>Název (popis)</t>
  </si>
  <si>
    <t>Poznámka</t>
  </si>
  <si>
    <r>
      <t xml:space="preserve">Dodávka  </t>
    </r>
    <r>
      <rPr>
        <sz val="10"/>
        <rFont val="Arial"/>
        <family val="2"/>
      </rPr>
      <t>jedn.cena</t>
    </r>
  </si>
  <si>
    <r>
      <t xml:space="preserve">Montáž </t>
    </r>
    <r>
      <rPr>
        <sz val="10"/>
        <rFont val="Arial"/>
        <family val="2"/>
      </rPr>
      <t>jedn.cena</t>
    </r>
  </si>
  <si>
    <t>Dodávka</t>
  </si>
  <si>
    <t xml:space="preserve">Montáž </t>
  </si>
  <si>
    <t>1) Větrání šaten a společenské místnosti</t>
  </si>
  <si>
    <t>1.1</t>
  </si>
  <si>
    <t>Kompaktní rekuperační jednotka, vnitřní provedení, Q=+/-2.380m3/h, pex=200Pa, tloušťka panelu 50mm (výplň minerální vata), externí plech tloušťky 2mm. Složení: EC ventilátory, rotační regenerační rekuperátor 80,5%(EN 308), filtry (přívod ePM1 60%, odtah ePM10 60%), vodní ohřívač, externí přímý chladič s eliminátorem kapek, uzavírací klapky. Jednotka je vybavena směšovacím uzlem, autonomní regulací (regulace průtoku CAV) s dotykovým dálkovým ovladačem vč. prodlužovacích kabelů. Návrh splňuje Erp2018 a Eurovent</t>
  </si>
  <si>
    <t>Hladiny akust. výkonů:                Výtlak přívodu:77dB(A)      Sání přívodu:61dB(A)       Sání odvodu:60dB(A)         Výtlak odvodu:74dB(A)             Okolí jednotky:56dB(A)</t>
  </si>
  <si>
    <t>1.2</t>
  </si>
  <si>
    <t>Kondenzační jednotka, Pchl=3,2/8,0/9,2kW, chladivo R32, Pel=3,25kW/11,6A/230V</t>
  </si>
  <si>
    <t>Řídící modul 0-10V, omezovač výkonu</t>
  </si>
  <si>
    <t>Předizolované Cu potrubí vč. komunikačního kabelu</t>
  </si>
  <si>
    <t>bm</t>
  </si>
  <si>
    <t>Oplechování Cu potrubí - UV odolné</t>
  </si>
  <si>
    <t>Venkovní prostředí</t>
  </si>
  <si>
    <t>Konzole, žárově pozinkovaný povrch</t>
  </si>
  <si>
    <t>1.3</t>
  </si>
  <si>
    <t>Buňkový tlumič hluku 350x200-1500</t>
  </si>
  <si>
    <t>1.4</t>
  </si>
  <si>
    <t>Buňkový tlumič hluku 400x200-1500</t>
  </si>
  <si>
    <t>1.5</t>
  </si>
  <si>
    <t>Výfukový kus 500x500, šikmý/135° vč. pletiva</t>
  </si>
  <si>
    <t>1.6</t>
  </si>
  <si>
    <t>Čtyřhranný anemostat 400x400, 16 lamel, černé nastavitelné proudění, bílá čelní deska</t>
  </si>
  <si>
    <t>Plenum box 400, hrdlo pr.200, přívodní</t>
  </si>
  <si>
    <t>1.7</t>
  </si>
  <si>
    <t>Plenum box 400, hrdlo pr.200, odvodní</t>
  </si>
  <si>
    <t>1.8</t>
  </si>
  <si>
    <t>Talířový ventil pr.100 vč. montážního rámečku</t>
  </si>
  <si>
    <t>1.9</t>
  </si>
  <si>
    <t>Stěnová mřížka 600x150, pevné lamely, rozteč 12,5mm, bez regulace</t>
  </si>
  <si>
    <t>1.10</t>
  </si>
  <si>
    <t>Regulační klapka pr.200, ruční ovládání</t>
  </si>
  <si>
    <t>1.11</t>
  </si>
  <si>
    <t>Regulační klapka pr.160, ruční ovládání</t>
  </si>
  <si>
    <t>Ohebná zvukově izolovaná hadice pr.102</t>
  </si>
  <si>
    <t>Ohebná zvukově izolovaná hadice pr.162</t>
  </si>
  <si>
    <t>Ohebná zvukově izolovaná hadice pr.202</t>
  </si>
  <si>
    <t>Čtyřhranné potrubí sk.I z pozinkového plechu vč.přírubových spojů</t>
  </si>
  <si>
    <t>Rovné potrubí/30% tvarovek</t>
  </si>
  <si>
    <t>Kruhové potrubí sk.I SPIRO z pozink.plechu</t>
  </si>
  <si>
    <r>
      <t>Ø</t>
    </r>
    <r>
      <rPr>
        <sz val="10"/>
        <rFont val="Arial"/>
        <family val="2"/>
      </rPr>
      <t>160/30% tvarovek</t>
    </r>
  </si>
  <si>
    <r>
      <t>Ø</t>
    </r>
    <r>
      <rPr>
        <sz val="10"/>
        <rFont val="Arial"/>
        <family val="2"/>
      </rPr>
      <t>200/30% tvarovek</t>
    </r>
  </si>
  <si>
    <r>
      <t>Ø</t>
    </r>
    <r>
      <rPr>
        <sz val="10"/>
        <rFont val="Arial"/>
        <family val="2"/>
      </rPr>
      <t>250/30% tvarovek</t>
    </r>
  </si>
  <si>
    <r>
      <t>Ø</t>
    </r>
    <r>
      <rPr>
        <sz val="10"/>
        <rFont val="Arial"/>
        <family val="2"/>
      </rPr>
      <t>315/30% tvarovek</t>
    </r>
  </si>
  <si>
    <r>
      <t>Ø</t>
    </r>
    <r>
      <rPr>
        <sz val="10"/>
        <rFont val="Arial"/>
        <family val="2"/>
      </rPr>
      <t>355/30% tvarovek</t>
    </r>
  </si>
  <si>
    <r>
      <t>Ø</t>
    </r>
    <r>
      <rPr>
        <sz val="10"/>
        <rFont val="Arial"/>
        <family val="2"/>
      </rPr>
      <t>400/30% tvarovek</t>
    </r>
  </si>
  <si>
    <t xml:space="preserve">Tepelná izolace 40mm, minerál. vata s AL folií </t>
  </si>
  <si>
    <t>Potrubí nad podhledem</t>
  </si>
  <si>
    <t xml:space="preserve">Tepelná izolace 60mm minerál. vata s AL folií </t>
  </si>
  <si>
    <t>sání venkovního vzd. výtlak znehodn. vzd.</t>
  </si>
  <si>
    <t>Tepelná izolace 60mm minerál. vata s AL folií vč. oplechování</t>
  </si>
  <si>
    <t>2) Chlazení společenské místnosti</t>
  </si>
  <si>
    <t>2.1</t>
  </si>
  <si>
    <t>2.2</t>
  </si>
  <si>
    <t>Kazetová jednotka 840x840mm,  Pchl=3,2/8,0/9,2kW, chladivo R32</t>
  </si>
  <si>
    <t xml:space="preserve">Čelní panel 950x35x950mm </t>
  </si>
  <si>
    <t xml:space="preserve">Kabelový ovladač </t>
  </si>
  <si>
    <t>3) Větrání šaten a recepce</t>
  </si>
  <si>
    <t>3.1</t>
  </si>
  <si>
    <t>Kompaktní rekuperační jednotka, vnitřní provedení, Q=+/-1.100m3/h, pex=200Pa, tloušťka panelu 50mm (výplň minerální vata), externí plech tloušťky 2mm. Složení: EC ventilátory, rotační regenerační rekuperátor 81,2%(EN 308), filtry (přívod ePM1 60%, odtah ePM10 60%), vodní ohřívač, uzavírací klapky. Jednotka je vybavena směšovacím uzlem, autonomní regulací (regulace průtoku CAV) s dotykovým dálkovým ovladačem vč. prodlužovacích kabelů. Návrh splňuje Erp2018 a Eurovent</t>
  </si>
  <si>
    <t>Hladiny akust. výkonů:                Výtlak přívodu:73dB(A)      Sání přívodu:63dB(A)       Sání odvodu:67dB(A)         Výtlak odvodu:78dB(A)             Okolí jednotky:59dB(A)</t>
  </si>
  <si>
    <t>3.2</t>
  </si>
  <si>
    <t>Ohebný tlumič hluku pr.250-1000</t>
  </si>
  <si>
    <t>3.3</t>
  </si>
  <si>
    <t>3.4</t>
  </si>
  <si>
    <t>3.5</t>
  </si>
  <si>
    <t>3.6</t>
  </si>
  <si>
    <t>3.7</t>
  </si>
  <si>
    <t>3.8</t>
  </si>
  <si>
    <r>
      <t>Ø</t>
    </r>
    <r>
      <rPr>
        <sz val="10"/>
        <rFont val="Arial"/>
        <family val="2"/>
      </rPr>
      <t>125/30% tvarovek</t>
    </r>
  </si>
  <si>
    <t>4) Větrání hyg. zázemí u recepce</t>
  </si>
  <si>
    <t>4.1</t>
  </si>
  <si>
    <t xml:space="preserve">Potrubní diagonální ventilátor pr.160, tiché provedení, Q=285m3/h, pex=160Pa, </t>
  </si>
  <si>
    <t>4.2</t>
  </si>
  <si>
    <t>Stropní radiální ventilátor pr.80mm, montáž do podhledu, vč. zpětné klapky, Q=80m3/h, pex=150Pa</t>
  </si>
  <si>
    <t>4.3</t>
  </si>
  <si>
    <t>Zpětná klapka těsná pr.160, plast. provedení</t>
  </si>
  <si>
    <t>4.4</t>
  </si>
  <si>
    <t>Výfuková hlavice pr.160/135° vč. pletiva</t>
  </si>
  <si>
    <t>4.5</t>
  </si>
  <si>
    <r>
      <t>Ø</t>
    </r>
    <r>
      <rPr>
        <sz val="10"/>
        <rFont val="Arial"/>
        <family val="2"/>
      </rPr>
      <t>100/30% tvarovek</t>
    </r>
  </si>
  <si>
    <t>Tepelná izolace 40mm minerál. vata s AL folií vč. oplechování</t>
  </si>
  <si>
    <t>5) Větrání tělocvičny a hyg. zázemí</t>
  </si>
  <si>
    <t>5.1</t>
  </si>
  <si>
    <t>Kompaktní rekuperační jednotka, vnitřní provedení, Q=+/-2.250m3/h, pex=300Pa, tloušťka panelu 50mm (výplň minerální vata), externí plech tloušťky 2mm. Složení: EC ventilátory, rotační regenerační rekuperátor 80,5%(EN 308), filtry (přívod ePM1 60%, odtah ePM10 60%), vodní ohřívač, externí přímý chladič, uzavírací klapky. Jednotka je vybavena směšovacím uzlem, autonomní regulací (regulace průtoku CAV) s dotykovým dálkovým ovladačem vč. prodlužovacích kabelů. Návrh splňuje Erp2018 a Eurovent</t>
  </si>
  <si>
    <t>Hladiny akust. výkonů:                Výtlak přívodu:76dB(A)      Sání přívodu:61dB(A)       Sání odvodu:61dB(A)         Výtlak odvodu:76dB(A)             Okolí jednotky:55dB(A)</t>
  </si>
  <si>
    <t>5.2</t>
  </si>
  <si>
    <t>Buňkový tlumič hluku 400x250-1500</t>
  </si>
  <si>
    <t>5.3</t>
  </si>
  <si>
    <t>5.4</t>
  </si>
  <si>
    <t>5.5</t>
  </si>
  <si>
    <t xml:space="preserve">Textilní vyústka pr.500, půlkruhový tvar, délka 85.360mm, 2x oblouk R125/90°, zavěšeno do AL profilů, antibakteriální a antistatické provedení, barva světle šedá </t>
  </si>
  <si>
    <t>5.6</t>
  </si>
  <si>
    <t>Talířový ventil pr.125, kovový, plochá čelní deska, vč. montážního rámečku</t>
  </si>
  <si>
    <t>5.7</t>
  </si>
  <si>
    <t>Talířový ventil pr.200, kovový, plochá čelní deska, vč. montážního rámečku</t>
  </si>
  <si>
    <t>5.8</t>
  </si>
  <si>
    <t xml:space="preserve">Vyústka na kruh. potrubí  325x75, regulace, jednořadá </t>
  </si>
  <si>
    <t>5.9</t>
  </si>
  <si>
    <t>5.10</t>
  </si>
  <si>
    <t>Regulační klapka pr.125, ruční ovládání</t>
  </si>
  <si>
    <t xml:space="preserve">6) Větrání hyg. zázemí rozhodčí a hlasatelny </t>
  </si>
  <si>
    <t>6.1</t>
  </si>
  <si>
    <t>6.2</t>
  </si>
  <si>
    <t>Výfuková hlavice pr.125/135° vč. pletiva</t>
  </si>
  <si>
    <t>Ohebná zvukově izolovaná hadice pr.82</t>
  </si>
  <si>
    <t>Ostatní položky</t>
  </si>
  <si>
    <t>Montážní materiál</t>
  </si>
  <si>
    <t>kg</t>
  </si>
  <si>
    <t>Spojovací a těsnící materiál</t>
  </si>
  <si>
    <t>Projekt DSPS, předávací dokumentace</t>
  </si>
  <si>
    <t>Zaregulování VZT vč. protokolu</t>
  </si>
  <si>
    <t>Měření hluku vč. protokolu</t>
  </si>
  <si>
    <t>Doprava a manipulace</t>
  </si>
  <si>
    <t>DODÁVKA CELKEM:</t>
  </si>
  <si>
    <t>MONTÁŽ CELKEM:</t>
  </si>
  <si>
    <t>CENA CELKEM BEZ DPH:</t>
  </si>
  <si>
    <t xml:space="preserve">soubor: </t>
  </si>
  <si>
    <t>D1.4.c VYTÁPĚNÍ</t>
  </si>
  <si>
    <t xml:space="preserve">akce: </t>
  </si>
  <si>
    <t>Běžecký atletický tunel se zázemím
Sportovní areál Sladovka
Stavební objekt SO.02</t>
  </si>
  <si>
    <t>položka , popis</t>
  </si>
  <si>
    <t>měrná jednotka</t>
  </si>
  <si>
    <t>množství</t>
  </si>
  <si>
    <t>jednotková cena [Kč]</t>
  </si>
  <si>
    <t>celková cena [Kč]</t>
  </si>
  <si>
    <t>poznámka</t>
  </si>
  <si>
    <t>CELKEM</t>
  </si>
  <si>
    <t>bez DPH</t>
  </si>
  <si>
    <t>(součet přímých "A" a ostatních nákladů "B")</t>
  </si>
  <si>
    <t>A) PŘÍMÉ NÁKLADY (Rekapitulace)</t>
  </si>
  <si>
    <t>STROJOVNA</t>
  </si>
  <si>
    <r>
      <rPr>
        <b/>
        <u val="single"/>
        <sz val="9"/>
        <rFont val="Arial"/>
        <family val="2"/>
      </rPr>
      <t>Poznámka:</t>
    </r>
    <r>
      <rPr>
        <sz val="9"/>
        <rFont val="Arial"/>
        <family val="2"/>
      </rPr>
      <t xml:space="preserve"> položky jsou uvedeny obecně, tj. bez názvů výrobků a výrobců</t>
    </r>
  </si>
  <si>
    <t>Pozice</t>
  </si>
  <si>
    <t>Závěsný plynový kondenzační kotel pro nízkoteplotní vytápěcí systémy a ohřev pitné vody, s teplotou přívodu do 80°C a povoleným provozním tlakem 0,3 MPa. Modulovaný hořák s extrémně nízkými hodnotami škodlivin a nízkou hlučností.
Vysokovýkonný nerezový výměník tepla 
Výkonový rozsah 9,7 – 32,7 kW
Hodnota Nox ve spalinách prům 36 mg/m3
Modulace výkonu 20 – 100%
Max. šířka 765 mm
LPB rozhraní pro připojení regulační techniky
Tlakový senzor pro kontrolu tlaku vody v topném okruhu
Možnost instalace jako uzavřený spotřebič (C)</t>
  </si>
  <si>
    <t>Vyrovnávací expanzní nádoba
Objem 80 l, tlaková odolnost 0,6 MPa
nastavení tlaku 0,8 baru</t>
  </si>
  <si>
    <t>Hydraulický vyrovnávač diferenčního tlaku (HVDT) DN150, hrdla 4× DN50, závitová
dodávka vč. tepelné izolace</t>
  </si>
  <si>
    <t>Rozdělovač DN100,  6 hrdel (DN15 – DN40)
délka: rozdělovač 1340 mm
Včetně tepelné izolace
podrobněji viz výkresová dokumentace č. 8</t>
  </si>
  <si>
    <t>4a</t>
  </si>
  <si>
    <t>Sběrač DN100,  6 hrdel (DN15 – DN40)
délka: rozdělovač 1720 mm
Včetně tepelné izolace
podrobněji viz výkresová dokumentace č. 8</t>
  </si>
  <si>
    <t>4b</t>
  </si>
  <si>
    <t>Nepřímoohřívaný zásobník TV
Objem : 300 l
smaltovaný
Přestupní plocha výměníku 3,5 m2</t>
  </si>
  <si>
    <r>
      <rPr>
        <sz val="9"/>
        <rFont val="Arial CE"/>
        <family val="2"/>
      </rPr>
      <t xml:space="preserve">Zařízení pro úpravu doplňkové vody slučitelné s použitou technologií teplosměnných ploch plynových kotlů:
- </t>
    </r>
    <r>
      <rPr>
        <b/>
        <sz val="9"/>
        <rFont val="Arial CE"/>
        <family val="2"/>
      </rPr>
      <t>Zdvojené pouzdro pro změkčovací nebo                    demineralizační patrony</t>
    </r>
    <r>
      <rPr>
        <sz val="9"/>
        <rFont val="Arial CE"/>
        <family val="2"/>
      </rPr>
      <t xml:space="preserve">. 
  Šířka (mm): 260; Výška (mm): 600; Hmotnost (kg):       3,6; DN připojení: Rp 1/2 / Rp 1/2;
- </t>
    </r>
    <r>
      <rPr>
        <b/>
        <sz val="9"/>
        <rFont val="Arial CE"/>
        <family val="2"/>
      </rPr>
      <t>Patrona demineralizační</t>
    </r>
    <r>
      <rPr>
        <sz val="9"/>
        <rFont val="Arial CE"/>
        <family val="2"/>
      </rPr>
      <t>, vhodná pro kotle s nerez      výměníky. Kapacita cca 1800 - 3000 l/°dH, tedy cca     180 - 300 l při 10°dH, dle požadavku na max.                  zbytkovou vodivost vody. Šířka (mm): 76; Výška          (mm): 514; Hmotnost (kg): 1,5; Barva: šedá
- M</t>
    </r>
    <r>
      <rPr>
        <b/>
        <sz val="9"/>
        <rFont val="Arial CE"/>
        <family val="2"/>
      </rPr>
      <t>ěření vodivosti</t>
    </r>
    <r>
      <rPr>
        <sz val="9"/>
        <rFont val="Arial CE"/>
        <family val="2"/>
      </rPr>
      <t>, speciální měřící jednotka na             měření vodivosti demineralizované vody pro                  kontrolu kapacity demineralizační patrony
  Hmotnost (kg): 0,2;
Automatické doplňovací zařízení s kontrolou 
a regulací tlaku, vč. potrubního oddělovače BA 
pro bezpečné oddělení řádu pitné vody od 
kapaliny rizikové tř. 4, bez čerpadla pro topné  
soustavy vybavené tlakovou expanzní nádobou. 
Zařízení průběžně kontroluje tlak v systému a při 
jeho poklesu kontrolovaně doplní vodu, zpravidla 
ze soustavy pitné vody. (Tlak na nátoku musí být 
minimálně o 1,3 bar vyšší než tlak v systému)
Součást zařízení:
- tlakového čidlo,
- solenoidový ventil
- uzavírací armatury
- ovládací jednotka
- síťového zdroje
- tepelná izolace
Funkce zařízení:
- automatické, elektronicky kontrolované doplň.
- jednoduché ovládání pomocí tří tlačítek
- přehledný displej
-  elektronický tlakový senzor
- monitorování a registrace množství plnicí vody
- vypnutí doplňování v případě netěsnosti systému
- poruchová signalizace systému  systému 
  (optické a akustické hlášení)
Technická data:
Výkon doplňování:  0,8 m3/h 
Provozní tlak-vstupní strana 0,1 – 6,0 bar
Provozní tlak-tlak soustavy 1,0 – 4,0 bar 
Elektrické napětí 230 V, 50 Hz / 20 W
Elektrické krytí:IP54 
Připojení vstup a výstup DN 15</t>
    </r>
  </si>
  <si>
    <t>Dávkovací nádoba na chemikálie DN 100</t>
  </si>
  <si>
    <t>Zdvihový (táhlový) závitový ventil
DN 20, Kvs = 6.3 m3/h, 
pohon AC 230 V, 3-bodový, 120 s</t>
  </si>
  <si>
    <t>8a</t>
  </si>
  <si>
    <t>Zdvihový (táhlový) závitový ventil
DN 25, Kvs = 10 m3/h, 
pohon AC 230 V, 3-bodový, 120 s</t>
  </si>
  <si>
    <t>8b</t>
  </si>
  <si>
    <t>Oběhové čerpadlo
Q = 1,5 m3/h, Y = 40 J/kg
230 V, max 200 W</t>
  </si>
  <si>
    <t>9a</t>
  </si>
  <si>
    <t>Oběhové čerpadlo
Q = 0,8 m3/h, Y = 45 J/kg
230 V, max 200 W</t>
  </si>
  <si>
    <t>9b</t>
  </si>
  <si>
    <t>Oběhové čerpadlo
Q = 1,5 m3/h, Y = 50 J/kg
230 V, max 200 W</t>
  </si>
  <si>
    <t>9c</t>
  </si>
  <si>
    <t>Oběhové čerpadlo
Q = 1,5 m3/h, Y = 60 J/kg
230 V, max 120 W</t>
  </si>
  <si>
    <t>9d</t>
  </si>
  <si>
    <r>
      <rPr>
        <sz val="9"/>
        <rFont val="Arial CE"/>
        <family val="2"/>
      </rPr>
      <t xml:space="preserve">Cirkulační čerpadlo TV  1 ks
</t>
    </r>
    <r>
      <rPr>
        <b/>
        <sz val="9"/>
        <rFont val="Arial CE"/>
        <family val="2"/>
      </rPr>
      <t>dodávka profese ZTI</t>
    </r>
  </si>
  <si>
    <t>Neutralizační box pro úpravu kondenzátu včetně
chemické náplně + výchozí náplň</t>
  </si>
  <si>
    <r>
      <rPr>
        <sz val="9"/>
        <rFont val="Arial CE"/>
        <family val="2"/>
      </rPr>
      <t>Vodoměr na studenou vodu DN 15, Qp = 1,5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>/h</t>
    </r>
  </si>
  <si>
    <r>
      <rPr>
        <sz val="9"/>
        <rFont val="Arial CE"/>
        <family val="2"/>
      </rPr>
      <t>Prefabrikovaný 3-cestný směšovací uzel pro ohřívací díl VZT - SU1, SU3 (7,2 kW, Kv = 2,5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 xml:space="preserve">/h) – kompletní
</t>
    </r>
    <r>
      <rPr>
        <b/>
        <sz val="9"/>
        <rFont val="Arial CE"/>
        <family val="2"/>
      </rPr>
      <t xml:space="preserve">dodávka profese VZT
</t>
    </r>
    <r>
      <rPr>
        <sz val="9"/>
        <rFont val="Arial CE"/>
        <family val="2"/>
      </rPr>
      <t>(montáž profese vytápění)</t>
    </r>
  </si>
  <si>
    <t>SU1,3</t>
  </si>
  <si>
    <r>
      <rPr>
        <sz val="9"/>
        <rFont val="Arial CE"/>
        <family val="2"/>
      </rPr>
      <t>Prefabrikovaný 3-cestný směšovací uzel pro ohřívací díl VZT - SU2 (3,4 kW, Kv = 1,6 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2"/>
      </rPr>
      <t xml:space="preserve">/h) – kompletní
</t>
    </r>
    <r>
      <rPr>
        <b/>
        <sz val="9"/>
        <color indexed="8"/>
        <rFont val="Arial CE"/>
        <family val="2"/>
      </rPr>
      <t xml:space="preserve">dodávka profese VZT
</t>
    </r>
    <r>
      <rPr>
        <sz val="9"/>
        <color indexed="8"/>
        <rFont val="Arial CE"/>
        <family val="2"/>
      </rPr>
      <t>(montáž profese vytápění)</t>
    </r>
  </si>
  <si>
    <t>SU2</t>
  </si>
  <si>
    <t>Montáž směšovacích uzlů</t>
  </si>
  <si>
    <t>ODVOD SPALIN / PŘÍVOD VZDUCHU</t>
  </si>
  <si>
    <t>Přivod spalovacího vzduchu / odvod spalin
systémovým řešení dle výrobce zdroje tepla
pomocí koaxiálního potrubí DN 125/80 (6m – 20% tvarovek)
Včetně kotvicích prvků, prostupových prvků, střešní
univerzalní tašky červené
viz výkresová část</t>
  </si>
  <si>
    <t>Montáž zařízení přívodu vzduchu / odvodu spalin</t>
  </si>
  <si>
    <t>Revize zařízení přívodu vzduchu / odvodu spalin</t>
  </si>
  <si>
    <r>
      <rPr>
        <b/>
        <i/>
        <sz val="9"/>
        <rFont val="Arial CE"/>
        <family val="2"/>
      </rPr>
      <t xml:space="preserve">Poznámky:
</t>
    </r>
    <r>
      <rPr>
        <i/>
        <sz val="9"/>
        <rFont val="Arial CE"/>
        <family val="2"/>
      </rPr>
      <t>Objednání zařízení a jednotlivých prvků odvodu spalin / přívodu vzduchu bude provedeno až na stavbě po ověření všech souvislostí</t>
    </r>
  </si>
  <si>
    <t>OTOPNÁ TĚLESA</t>
  </si>
  <si>
    <t>Ocelová desková otopná tělesa (standard)
s přípojením ventil kompakt</t>
  </si>
  <si>
    <t xml:space="preserve">10/500/400-VK   </t>
  </si>
  <si>
    <t xml:space="preserve">21/300/1200-VK   </t>
  </si>
  <si>
    <t xml:space="preserve">21/400/600-VK   </t>
  </si>
  <si>
    <t xml:space="preserve">21/600/600-VK   </t>
  </si>
  <si>
    <t xml:space="preserve">21/600/800-VK   </t>
  </si>
  <si>
    <t xml:space="preserve">21/600/900-VK   </t>
  </si>
  <si>
    <t xml:space="preserve">21/600/1100-VK   </t>
  </si>
  <si>
    <t xml:space="preserve">21/600/1200-VK   </t>
  </si>
  <si>
    <t xml:space="preserve">21/600/1400-VK   </t>
  </si>
  <si>
    <t xml:space="preserve">21/900/800-VK   </t>
  </si>
  <si>
    <t xml:space="preserve">22/600/800-VK   </t>
  </si>
  <si>
    <t xml:space="preserve">22/900/700-VK   </t>
  </si>
  <si>
    <t xml:space="preserve">22/900/1000-VK   </t>
  </si>
  <si>
    <t>Ocelová trubková koupelnová tělesa
se spodním středovým připojením</t>
  </si>
  <si>
    <t>KLCM1220×450</t>
  </si>
  <si>
    <t>ARMATURY</t>
  </si>
  <si>
    <t>Dvojité rohové regulační šroubení pro otopná tělesa se spodním připojením ventil kompakt, DN15</t>
  </si>
  <si>
    <t>Svěrné šroubení pro měděné potrubí
vnitřní závit, ventil DN15, trubka 15×1
pro výše uvedenou armaturu</t>
  </si>
  <si>
    <t>Rohový dvoubodový radiátorový ventil pro otopná tělesa se spodním středovým připojením</t>
  </si>
  <si>
    <t xml:space="preserve">Koleno press 90° s připojovací trubkou </t>
  </si>
  <si>
    <t>Opěrné pouzdro
průměr 15 mm</t>
  </si>
  <si>
    <t>Termostatická hlavice k ventilu s vestavěným čidlem
veze pro veřejné prostory</t>
  </si>
  <si>
    <t>Růžice bílá pro potrubí dvojitá
15×1</t>
  </si>
  <si>
    <t xml:space="preserve">Vypouštěcí kulový kohout  (VK××) </t>
  </si>
  <si>
    <t>DN 15</t>
  </si>
  <si>
    <t>Automatický odvzdušňovací ventil (AO××)</t>
  </si>
  <si>
    <t>DN 10</t>
  </si>
  <si>
    <t>Uzavírací kulový kohout  (UK××)</t>
  </si>
  <si>
    <t>DN 20</t>
  </si>
  <si>
    <t>DN 25</t>
  </si>
  <si>
    <t>DN 32</t>
  </si>
  <si>
    <t>DN 40</t>
  </si>
  <si>
    <t>Uzavírací kulový kohout s filtrem (FB××)</t>
  </si>
  <si>
    <t>Filtr závitový (F××)</t>
  </si>
  <si>
    <t>Zpětný ventil typ ….. (ZV××)</t>
  </si>
  <si>
    <t>Šroubení (ŠR××)</t>
  </si>
  <si>
    <t>Teploměr typ  BiTh bimetalový ručkový
D 80 mm, 0 - 120 °C, délka čidla 45 mm
+ pouzdro do T kusu</t>
  </si>
  <si>
    <t>Tlakoměr deformační č. 313, D 100 mm
+ návarek M 20 × 1,  ventil 3 cestný č. 137513.5
rozsah 0 – 0,60MPa</t>
  </si>
  <si>
    <t>Kalich a odvodnění přepadu PV
DN 32</t>
  </si>
  <si>
    <t>Kalich a odvodnění odvodu kondenzátu
(komín, spalinovod, 2× kotel)
DN 32</t>
  </si>
  <si>
    <t>Potrubí PPr DN 20 (včetně tvarovek)
připojení doplňkové vody 6 m</t>
  </si>
  <si>
    <t>Potrubí PPr DN 50  (včetně tvarovek)
odvod kondenzátu a přepadů PV 10 m
montováno na stěně pod kotli ve spádu
(teplotní odolnost 100 °C)</t>
  </si>
  <si>
    <t xml:space="preserve">Zaústění odvodu kondenzátu do  systému kanalizace
</t>
  </si>
  <si>
    <t>Hadice (pro doplňování)
DN 15</t>
  </si>
  <si>
    <t>ROZVOD POTRUBÍ</t>
  </si>
  <si>
    <r>
      <rPr>
        <b/>
        <sz val="9"/>
        <rFont val="Arial CE"/>
        <family val="2"/>
      </rPr>
      <t xml:space="preserve">Měděné polotvrdé potrubí
</t>
    </r>
    <r>
      <rPr>
        <sz val="9"/>
        <rFont val="Arial CE"/>
        <family val="2"/>
      </rPr>
      <t>včetně tvarovek, přechodek, montáže
a tlakových zkoušek</t>
    </r>
  </si>
  <si>
    <t>Cu15×1</t>
  </si>
  <si>
    <t>Cu18×1</t>
  </si>
  <si>
    <t>Cu22×1</t>
  </si>
  <si>
    <t>Cu28×1</t>
  </si>
  <si>
    <t>Cu35×1,5</t>
  </si>
  <si>
    <t>Cu42×1,5</t>
  </si>
  <si>
    <t>Vícevrstvé potrubí</t>
  </si>
  <si>
    <t>Vícevrstvá trubka</t>
  </si>
  <si>
    <t>16 × 2,0 mm</t>
  </si>
  <si>
    <t>20 × 2,0 mm</t>
  </si>
  <si>
    <t>26 × 3,0 mm</t>
  </si>
  <si>
    <t>32 × 3,0 mm</t>
  </si>
  <si>
    <t>Ochranná hadice IVAR.HK 1620</t>
  </si>
  <si>
    <r>
      <rPr>
        <sz val="9"/>
        <rFont val="Arial CE"/>
        <family val="2"/>
      </rPr>
      <t xml:space="preserve">T-kus Press
počet dle potřeby
</t>
    </r>
    <r>
      <rPr>
        <i/>
        <sz val="9"/>
        <color indexed="60"/>
        <rFont val="Arial CE"/>
        <family val="2"/>
      </rPr>
      <t>součást potrubí výše</t>
    </r>
  </si>
  <si>
    <t>kpt</t>
  </si>
  <si>
    <r>
      <rPr>
        <sz val="9"/>
        <rFont val="Arial CE"/>
        <family val="2"/>
      </rPr>
      <t xml:space="preserve">Vsuvka Press
počet dle potřeby
</t>
    </r>
    <r>
      <rPr>
        <i/>
        <sz val="9"/>
        <color indexed="60"/>
        <rFont val="Arial CE"/>
        <family val="2"/>
      </rPr>
      <t>součást potrubí výše</t>
    </r>
  </si>
  <si>
    <r>
      <rPr>
        <sz val="9"/>
        <rFont val="Arial CE"/>
        <family val="2"/>
      </rPr>
      <t xml:space="preserve">Přechod s vnějším závitem
počet dle potřeby
</t>
    </r>
    <r>
      <rPr>
        <i/>
        <sz val="9"/>
        <color indexed="60"/>
        <rFont val="Arial CE"/>
        <family val="2"/>
      </rPr>
      <t>součást potrubí výše</t>
    </r>
  </si>
  <si>
    <t>IZOLACE TEPELNÉ</t>
  </si>
  <si>
    <t>Izolace tepelná návlečnou pěnovou izolací:</t>
  </si>
  <si>
    <t>tloušťka izolace: 13 mm</t>
  </si>
  <si>
    <t>pro potrubí Cu15×1</t>
  </si>
  <si>
    <t>pro potrubí Cu18×1</t>
  </si>
  <si>
    <t>pro potrubí 16× 2,0</t>
  </si>
  <si>
    <t>pro potrubí 20× 2,0</t>
  </si>
  <si>
    <t>tloušťka izolace: 20 mm</t>
  </si>
  <si>
    <t>pro potrubí Cu22×1</t>
  </si>
  <si>
    <t>pro potrubí Cu28×1</t>
  </si>
  <si>
    <t>pro potrubí 26×3,0</t>
  </si>
  <si>
    <t>pro potrubí 32×3,0</t>
  </si>
  <si>
    <t>izolace tepelná minerální izolací s povrchovou úpravou:</t>
  </si>
  <si>
    <t>pro potrubí Cu35×1,5 – tl. 25 mm</t>
  </si>
  <si>
    <t>pro potrubí Cu42×1,5 – tl. 30 mm</t>
  </si>
  <si>
    <r>
      <rPr>
        <sz val="9"/>
        <rFont val="Arial CE"/>
        <family val="2"/>
      </rPr>
      <t xml:space="preserve">Izolace tepelná pro svařence
(rozdělovač / sběrač)
</t>
    </r>
    <r>
      <rPr>
        <i/>
        <sz val="9"/>
        <color indexed="60"/>
        <rFont val="Arial CE"/>
        <family val="2"/>
      </rPr>
      <t>viz výše</t>
    </r>
  </si>
  <si>
    <r>
      <rPr>
        <sz val="9"/>
        <rFont val="Arial CE"/>
        <family val="2"/>
      </rPr>
      <t xml:space="preserve">Izolace tepelná pro svařence
(HVDT – anuloid)
</t>
    </r>
    <r>
      <rPr>
        <i/>
        <sz val="9"/>
        <color indexed="60"/>
        <rFont val="Arial CE"/>
        <family val="2"/>
      </rPr>
      <t>viz výše</t>
    </r>
  </si>
  <si>
    <t>DOPLŇKOVÉ KONSTRUKCE A NÁTĚRY</t>
  </si>
  <si>
    <t xml:space="preserve">L 35 × 35 × 4   2,4 kg/m      </t>
  </si>
  <si>
    <t>Kotvicí zařízení pro výše uvedené
ocelové a měděné potrubí</t>
  </si>
  <si>
    <t>Nátěry doplňkových konstrukcí dvojnásobné + základní</t>
  </si>
  <si>
    <t>ZPROVOZNĚNÍ A MONTÁŽ</t>
  </si>
  <si>
    <t>Proplach potrubí</t>
  </si>
  <si>
    <t>Napouštění otopné soustavy objektu</t>
  </si>
  <si>
    <t>Zkoušky dle ČSN 06 0310 včetně předání protokolů</t>
  </si>
  <si>
    <t xml:space="preserve">Topná zkouška </t>
  </si>
  <si>
    <t>hod</t>
  </si>
  <si>
    <t>Hydronické vyregulování</t>
  </si>
  <si>
    <t>Dokumentace skutečného provedení stavby</t>
  </si>
  <si>
    <t>STAVEBNÍ ÚPRAVY</t>
  </si>
  <si>
    <t>Zhotovení prostupů zdivem
(dle dispozice – viz výkresová část)</t>
  </si>
  <si>
    <t>Zhotovení prostupů zdivem
(dle dispozice – viz výkresová část)
pro kabely MaR</t>
  </si>
  <si>
    <t>Kapsy do stěn pro připojení otopných těles</t>
  </si>
  <si>
    <t>Koordinace při kladení nových podlah</t>
  </si>
  <si>
    <t>Prostupy stropem a střechou pro koaxiální potrubí přívodu spalovacího vzduchu a odvodu spalin DN 125/80</t>
  </si>
  <si>
    <t>Základ pod strojní zařízení</t>
  </si>
  <si>
    <t>ELEKTRO; MĚŘENÍ A REGULACE</t>
  </si>
  <si>
    <t>Regulátor vytápění předprogramovaný:</t>
  </si>
  <si>
    <t>Ekvitermní předprogramovaný regulátor, který umožní ovládání sestavy dvou kotlů a jednoho směšovaného topného okruhu (okruh 2) a ohřev TV (okruh 1) (doplňkový modul bude sloužit pro řízení  větve VZT (okruh 3) a směšovaného topného okruhu (okruh 4)
Předpoklad umístění zařízení na DIN lištu
(Regulátory budou akceptovat požadavek na teplo od systému VZT)</t>
  </si>
  <si>
    <t>sest</t>
  </si>
  <si>
    <t>Poznámka: směšovaná větev VZT bude řízena systémem regulace VZT</t>
  </si>
  <si>
    <t>Ovládací panel k předprogramovanému regulátoru a
přídavnému modulu</t>
  </si>
  <si>
    <t>Sada svorek k předprogramovanému regulátoru
a přídavnému modulu - propojení sběrnice LPB</t>
  </si>
  <si>
    <t>Komunikační rozhraní LPB v kotli pro ovládání výše uvedenými regulátory</t>
  </si>
  <si>
    <t>Včetně příslušenství:</t>
  </si>
  <si>
    <t xml:space="preserve">Venkovní čidlo </t>
  </si>
  <si>
    <t xml:space="preserve">Příložné teplotní čidlo </t>
  </si>
  <si>
    <t>Ponorné teplotní čidlo  - ohřev TV</t>
  </si>
  <si>
    <t>Prvky poruchové signalizace:</t>
  </si>
  <si>
    <t>Předprogramovaný programovatelný přístroj poruchové signalizace včetně napájecího zdroje,
tlakového čidla, čidla zaplavení, čidla teploty prostoru,
čidla teploty topné vody</t>
  </si>
  <si>
    <t>Dvoustupňový detektor úniku zemního plynu</t>
  </si>
  <si>
    <t>Detektor CO</t>
  </si>
  <si>
    <t>Jednotlačítkový ovladač v plastové skříni s hřib. knoflíkem</t>
  </si>
  <si>
    <t>Houkačka signalizační</t>
  </si>
  <si>
    <t>Žárovkové svítidlo nástěnné s červeným pruhem
220 V, 50 Hz, pro venkovní prostor</t>
  </si>
  <si>
    <t>Kvitovací tlačítko 230 V do panelu</t>
  </si>
  <si>
    <t>Nástěnná rozvaděčová skříň plastová
o rozměrech V×Š×Hl =450×350×200 mm,
s otevíratelnou čelní deskou, barva šeď sivá,
vstupy a výstupy horem, krytí IP 43/20,
ochrana odpojením vadné části od zdroje,
napěťová soustava 3N+PE, 400 /230 V, 50 Hz, stř, TN – S
včetně svorek a kabelových průchodek</t>
  </si>
  <si>
    <t>Ostatní montážní a pomocný materiál:</t>
  </si>
  <si>
    <t>kabelové lišty, rošty</t>
  </si>
  <si>
    <t>kabelové příchytky</t>
  </si>
  <si>
    <t>šroubky, hmoždinky</t>
  </si>
  <si>
    <t>zemnící drát 8 mm</t>
  </si>
  <si>
    <t xml:space="preserve">Spojovací kabely </t>
  </si>
  <si>
    <t>CYKY 3C×1,5 mm</t>
  </si>
  <si>
    <t>CYKY 3C×2,5 mm</t>
  </si>
  <si>
    <t>CYSY 3C×0,75 mm</t>
  </si>
  <si>
    <t>CYSY 4D×0,75 mm</t>
  </si>
  <si>
    <t>JYTY 2A×1,0 mm</t>
  </si>
  <si>
    <t>Montážní a pomocné práce, předání:</t>
  </si>
  <si>
    <t>seznámení se se situací</t>
  </si>
  <si>
    <t>zhotovení výrobní dokumentace</t>
  </si>
  <si>
    <t>montáž, zapojení regulace, seřízení, zprovoznění</t>
  </si>
  <si>
    <t>nastavení programu, odzkoušení</t>
  </si>
  <si>
    <t xml:space="preserve">vypracování revizní zprávy </t>
  </si>
  <si>
    <t>zaškolení obsluhy</t>
  </si>
  <si>
    <t>Kap.</t>
  </si>
  <si>
    <t>Popis položky</t>
  </si>
  <si>
    <t>Základ DPH</t>
  </si>
  <si>
    <t>A.</t>
  </si>
  <si>
    <t>1.</t>
  </si>
  <si>
    <t>C21M - Elektromontáže  -  MONTÁŽ</t>
  </si>
  <si>
    <t>C21M - Hromosvod, uzemnění  -  MONTÁŽ</t>
  </si>
  <si>
    <t>C22M - Sdělovací, signal. a zabezpečovací zařízení  -  MONTÁŽ</t>
  </si>
  <si>
    <t>Výchozí revize elektro  -  MONTÁŽ</t>
  </si>
  <si>
    <t>MATERIÁL</t>
  </si>
  <si>
    <t xml:space="preserve"> </t>
  </si>
  <si>
    <t>CELKEM URN</t>
  </si>
  <si>
    <t>B.</t>
  </si>
  <si>
    <t>DODÁVKY ZAŘÍZENÍ</t>
  </si>
  <si>
    <t>6.</t>
  </si>
  <si>
    <t>Dodávka zařízení (specifikace)</t>
  </si>
  <si>
    <t>CELKEM DODÁVKY</t>
  </si>
  <si>
    <t>Σ</t>
  </si>
  <si>
    <t>1.                                                                C21M - Elektromontáže</t>
  </si>
  <si>
    <t>POZNÁMKA:</t>
  </si>
  <si>
    <t>Pokud se v dokumentaci vyskytují obchodní názvy některých výrobků nebo dodávek, případně jiná označení mající vztah ke konkrétnímu dodavateli, jedná se o doporučené řešení (vymezení stávajícího standardu) a uchazeč je oprávněn navrhnout jiné, technicky a kvalitativně, srovnatelné řešení.</t>
  </si>
  <si>
    <t>Poř.č.</t>
  </si>
  <si>
    <t>Číslo pol.</t>
  </si>
  <si>
    <t>Cena/jedn. [Kč]</t>
  </si>
  <si>
    <t>Jedn.</t>
  </si>
  <si>
    <t>Celkem [Kč]</t>
  </si>
  <si>
    <t>210010301</t>
  </si>
  <si>
    <t>krab.přístrojová (1901; KP 68; KZ 3) bez zapojení</t>
  </si>
  <si>
    <t>35,00</t>
  </si>
  <si>
    <t>210010302</t>
  </si>
  <si>
    <t>krabice přístrojová zapuštěná kruhová 1904 do sádrokartonu</t>
  </si>
  <si>
    <t>177,00</t>
  </si>
  <si>
    <t>210010315</t>
  </si>
  <si>
    <t>krab. podlahová KOPOBOX 57 pro přístroje 45x45 mm</t>
  </si>
  <si>
    <t>2,00</t>
  </si>
  <si>
    <t>210010321</t>
  </si>
  <si>
    <t>krabice odbočná s víčkem a svork. (1903, KR 68)</t>
  </si>
  <si>
    <t>80,00</t>
  </si>
  <si>
    <t>210010353</t>
  </si>
  <si>
    <t>krabice do vlhka t.č. 8101 (8102, 8111) IP54</t>
  </si>
  <si>
    <t>40,00</t>
  </si>
  <si>
    <t>210020312</t>
  </si>
  <si>
    <t>montáž instalační lišty pro osazení svítidel v tunelu</t>
  </si>
  <si>
    <t>315,00</t>
  </si>
  <si>
    <t>210020523</t>
  </si>
  <si>
    <t>žlab kabelový drátěný DZ 60x60</t>
  </si>
  <si>
    <t>300,00</t>
  </si>
  <si>
    <t>210020524</t>
  </si>
  <si>
    <t>Žlab DZ 110X200 drátěný</t>
  </si>
  <si>
    <t>100,00</t>
  </si>
  <si>
    <t>210110041</t>
  </si>
  <si>
    <t>spín.zápust.vč.zap.1-pólový - řazení 1</t>
  </si>
  <si>
    <t>20,00</t>
  </si>
  <si>
    <t>spín.zápust.vč.zap.1-pólový - řazení 1 - IP44</t>
  </si>
  <si>
    <t>7,00</t>
  </si>
  <si>
    <t>210110045</t>
  </si>
  <si>
    <t>střídavý přepínač - řazení 6 zápust.vč.zap.</t>
  </si>
  <si>
    <t>22,00</t>
  </si>
  <si>
    <t>210110046</t>
  </si>
  <si>
    <t>křížový přepínač - řazení 7 zápust.vč.zap.</t>
  </si>
  <si>
    <t>5,00</t>
  </si>
  <si>
    <t>210110071</t>
  </si>
  <si>
    <t>časový spínač pod vypínač do krabice SMR-T</t>
  </si>
  <si>
    <t>6,00</t>
  </si>
  <si>
    <t>210111002</t>
  </si>
  <si>
    <t>zás.vestav.10/16A 230V 45x45 mm</t>
  </si>
  <si>
    <t>8,00</t>
  </si>
  <si>
    <t>2101110110</t>
  </si>
  <si>
    <t>zás. zapuštěné 10/16A 250V 2P+Z jednonás.</t>
  </si>
  <si>
    <t>27,00</t>
  </si>
  <si>
    <t>2101110112</t>
  </si>
  <si>
    <t>2x zás. zapuštěné 10/16A 250V 2P+Z ve spol. rámečku</t>
  </si>
  <si>
    <t>2101110114</t>
  </si>
  <si>
    <t>3x zás. zapuštěné 10/16A 250V 2P+Z ve spol. rámečku</t>
  </si>
  <si>
    <t>2101110115</t>
  </si>
  <si>
    <t>4x zás. zapuštěné 10/16A 250V 2P+Z ve spol. rámečku</t>
  </si>
  <si>
    <t>210111012</t>
  </si>
  <si>
    <t>zás.zapuštěné 10/16A 250V 2P+Z IP 44 průb.mont.</t>
  </si>
  <si>
    <t>12,00</t>
  </si>
  <si>
    <t>210111062</t>
  </si>
  <si>
    <t>zás.nástěnná vč.zap.16A 380V 3P+N+Z</t>
  </si>
  <si>
    <t>210111063</t>
  </si>
  <si>
    <t>zás.nástěnná vč.zap.32A 380V 3P+N+Z</t>
  </si>
  <si>
    <t>210190003</t>
  </si>
  <si>
    <t>mont.oceloplech.rozvodnic do 100kg - R.01</t>
  </si>
  <si>
    <t>1,00</t>
  </si>
  <si>
    <t>210191543</t>
  </si>
  <si>
    <t>osazení pojistkové skříně do fasády - SS100</t>
  </si>
  <si>
    <t>210201001.01</t>
  </si>
  <si>
    <t>montáž svítidel 1: VYRTYCH a.s.  DIOS-1-S1-ST,1h (0 lm; 0.0 W) - NOUZOVÉ</t>
  </si>
  <si>
    <t>14,00</t>
  </si>
  <si>
    <t>210201001.02</t>
  </si>
  <si>
    <t>montáž svítidel 2: VYRTYCH a.s. CORGI-LED-3860-4K Interior LED luminaire (2810 lm; 24.0 W)</t>
  </si>
  <si>
    <t>210201001.03</t>
  </si>
  <si>
    <t>montáž svítidel 3: VYRTYCH a.s. CORGI-LED-5280-4K Interior LED luminaire (3840 lm; 32.0 W)</t>
  </si>
  <si>
    <t>18,00</t>
  </si>
  <si>
    <t>210201001.04</t>
  </si>
  <si>
    <t>montáž svítidel 4: VYRTYCH a.s. CORGI-LED-7280-4K Interior LED luminaire (5290 lm; 62.0 W)</t>
  </si>
  <si>
    <t>210201001.05</t>
  </si>
  <si>
    <t>montáž svítidel 5: 5. VYRTYCH a.s. CORSO-LED-13-840-350, 13W Interior LED luminaire (1130 lm; 13.0 W)</t>
  </si>
  <si>
    <t>3,00</t>
  </si>
  <si>
    <t>210201001.06</t>
  </si>
  <si>
    <t>montáž svítidel 6: VYRTYCH a.s. EUROPA-LED-7500-258-4K Industrial LED luminaire (6679 lm; 50.0 W)</t>
  </si>
  <si>
    <t>210201001.07</t>
  </si>
  <si>
    <t>montáž svítidel 7: VYRTYCH a.s. LARO43-LED-ES-7000-4K Industrial lighting (7336 lm; 53.0 W), včetně nosné napájecí lišty</t>
  </si>
  <si>
    <t>71,00</t>
  </si>
  <si>
    <t>210201001.08</t>
  </si>
  <si>
    <t>montáž svítidel 8: VYRTYCH a.s. MAWERICK-LED-3900-3K Interior LED luminaire reccessed (2202 lm; 31.0 W)</t>
  </si>
  <si>
    <t>210201001.09</t>
  </si>
  <si>
    <t>montáž svítidel 9: VYRTYCH a.s. MAWERICK-LED-5200-3K Interior LED luminaire reccessed (2936 lm; 41.0 W)</t>
  </si>
  <si>
    <t>210201001.10</t>
  </si>
  <si>
    <t>montáž svítidel 10: VYRTYCH a.s. MAWERICK-LED-6500-3K Interior LED luminaire reccessed (3670 lm; 52.0 W)</t>
  </si>
  <si>
    <t>210201001.11</t>
  </si>
  <si>
    <t>montáž svítidel 11: VYRTYCH a.s. MAWERICK-LED-7800-3K Interior LED luminaire reccessed (4404 lm; 62.0 W)</t>
  </si>
  <si>
    <t>17,00</t>
  </si>
  <si>
    <t>210201001.12</t>
  </si>
  <si>
    <t>montáž svítidel 12: LEDVANCE, HIGH BAY VALUE 100 W 6500 K 100 DEG IP65 BK</t>
  </si>
  <si>
    <t>210201001.13</t>
  </si>
  <si>
    <t>montáž svítidel 13: 13. LEDVANCE, FLOODLIGHT 180 W 4000 K IP65 BK</t>
  </si>
  <si>
    <t>210201001.14</t>
  </si>
  <si>
    <t>montáž svítidel  14: Nouzové svítidlo Nouzové svítidlo VYRTYCH a.s. PALAS-LED-3-M1-ST, 3h, IP65</t>
  </si>
  <si>
    <t>42,00</t>
  </si>
  <si>
    <t>210220451</t>
  </si>
  <si>
    <t>ochran.pospoj. v koupelně, prádelně apod. - Cu 2,5 mm2 (vu+po)</t>
  </si>
  <si>
    <t>150,00</t>
  </si>
  <si>
    <t>ochran.pospoj. v prádel.apod. Cu 4-16 mm2 (vu+po)</t>
  </si>
  <si>
    <t>50,00</t>
  </si>
  <si>
    <t>210810045</t>
  </si>
  <si>
    <t>CYKY-CYKYm 3Ax1.5mm2 (CYKY 3O1.5) 750V (PU)</t>
  </si>
  <si>
    <t>500,00</t>
  </si>
  <si>
    <t>CYKY-CYKYm 3Cx1.5mm2 (CYKY 3J1.5) 750V (PU)</t>
  </si>
  <si>
    <t>210810046</t>
  </si>
  <si>
    <t>CYKY-CYKYm 3Cx2.5mm2 (CYKY 3J2.5) 750V (PU)</t>
  </si>
  <si>
    <t>210810047</t>
  </si>
  <si>
    <t>CYKY-CYKYm 3Cx4mm2 (CYKY 3J4) 750V (PU)</t>
  </si>
  <si>
    <t>200,00</t>
  </si>
  <si>
    <t>210810053</t>
  </si>
  <si>
    <t>CYKY-CYKYm 4Bx10mm2 (CYKY 4J10) 750V (PU)</t>
  </si>
  <si>
    <t>210810055</t>
  </si>
  <si>
    <t>CYKY-CYKYm 5Cx1.5mm2 (CYKY 5J1.5) 750V (PU)</t>
  </si>
  <si>
    <t>600,00</t>
  </si>
  <si>
    <t>210810056</t>
  </si>
  <si>
    <t>CYKY-CYKYm 5Cx2.5mm2 (CYKY 5J2.5) 750V (PU)</t>
  </si>
  <si>
    <t>210810057</t>
  </si>
  <si>
    <t>CYKY-CYKYm 5Cx6 mm2 750V (PU)</t>
  </si>
  <si>
    <t>21391010</t>
  </si>
  <si>
    <t>připojení ventilátorů a dalších přístrojů</t>
  </si>
  <si>
    <t>34,00</t>
  </si>
  <si>
    <t>215112221</t>
  </si>
  <si>
    <t>ovladač tlač. 1/0 zapínací 1-pólový</t>
  </si>
  <si>
    <t>215112223</t>
  </si>
  <si>
    <t>ovladač tlač. zapín. 1/0So s orient.doutnavkou TANGO</t>
  </si>
  <si>
    <t>9,00</t>
  </si>
  <si>
    <t>215141522</t>
  </si>
  <si>
    <t>montáž a zapojení signalizačního zažízení na WC TĚLESNĚ POSTIŽENÍ</t>
  </si>
  <si>
    <t>2.                                                                             C21M - Hromosvod, uzemnění</t>
  </si>
  <si>
    <t>210220001</t>
  </si>
  <si>
    <t>uzemnění na povrchu AIMgSI průměr 8mm bez nátěru</t>
  </si>
  <si>
    <t>350,00</t>
  </si>
  <si>
    <t>uzemnění v zemi pásek FeZn 30x4</t>
  </si>
  <si>
    <t>250,00</t>
  </si>
  <si>
    <t>210220022</t>
  </si>
  <si>
    <t>uzem. v zemi FeZn R=8-10 mm vč.svorek;propoj.aj.</t>
  </si>
  <si>
    <t>210220201</t>
  </si>
  <si>
    <t>jímací tyč do 3m délky vč.upevnění</t>
  </si>
  <si>
    <t>10,00</t>
  </si>
  <si>
    <t>210220301</t>
  </si>
  <si>
    <t>svorky hromosvodové do 2 šroubu (SS, SR 03)</t>
  </si>
  <si>
    <t>30,00</t>
  </si>
  <si>
    <t>210220401</t>
  </si>
  <si>
    <t>označení svodu štítky smalt.;umělá hmota</t>
  </si>
  <si>
    <t>216220105</t>
  </si>
  <si>
    <t>montáž držáku OU do zdi - DUZ</t>
  </si>
  <si>
    <t>216220106</t>
  </si>
  <si>
    <t>montáž podstavce k jímací tyči</t>
  </si>
  <si>
    <t>216220108</t>
  </si>
  <si>
    <t>montáž podpěry PV 01</t>
  </si>
  <si>
    <t>216220122</t>
  </si>
  <si>
    <t>montáž podpěry PV 21</t>
  </si>
  <si>
    <t>216220135</t>
  </si>
  <si>
    <t>montáž svorky SJ01</t>
  </si>
  <si>
    <t>216220137</t>
  </si>
  <si>
    <t>montáž svorky SK</t>
  </si>
  <si>
    <t>216220141</t>
  </si>
  <si>
    <t>montáž svorky SR02</t>
  </si>
  <si>
    <t>216220142</t>
  </si>
  <si>
    <t>montáž svorky SR03</t>
  </si>
  <si>
    <t>216220143</t>
  </si>
  <si>
    <t>montáž svorky SS</t>
  </si>
  <si>
    <t>216220156</t>
  </si>
  <si>
    <t>montáž svorky SZ</t>
  </si>
  <si>
    <t>216220239</t>
  </si>
  <si>
    <t>montáž svorky SP1</t>
  </si>
  <si>
    <t>216220368</t>
  </si>
  <si>
    <t>montáž ochranného úhelníku OU L - 200</t>
  </si>
  <si>
    <t>3.                                              C22M - Sdělovací, signal. a zabezpečovací zařízení</t>
  </si>
  <si>
    <t>25,00</t>
  </si>
  <si>
    <t>220260552</t>
  </si>
  <si>
    <t>trubka PVC R=23mm pod omítku</t>
  </si>
  <si>
    <t>550,00</t>
  </si>
  <si>
    <t>220270201</t>
  </si>
  <si>
    <t>kabel UTP 4x2x0,5 cat.62500 drát</t>
  </si>
  <si>
    <t>220301201</t>
  </si>
  <si>
    <t>zásuvka datová pod omítku - TANGO, ELEMENT 2xRJ45</t>
  </si>
  <si>
    <t>4.                                                Výchozí revize elektro</t>
  </si>
  <si>
    <t>320410003</t>
  </si>
  <si>
    <t>Celk.prohl.el.zar.a vyhot.rev.zpr.do 500.tis.mont.</t>
  </si>
  <si>
    <t>objem</t>
  </si>
  <si>
    <t>320410004</t>
  </si>
  <si>
    <t>Celk.prohl.za kazdych 250.tis.mont.nad 500.tis.</t>
  </si>
  <si>
    <t>5.                                               Materiály</t>
  </si>
  <si>
    <t>10.024.732</t>
  </si>
  <si>
    <t>Doutnavka 3916-12221 orient.</t>
  </si>
  <si>
    <t>KS</t>
  </si>
  <si>
    <t>10.028.405</t>
  </si>
  <si>
    <t>Zásuvka BALS 1155 32A 5P/400V IP67</t>
  </si>
  <si>
    <t>10.034.413</t>
  </si>
  <si>
    <t>Rámeček TANGO 3901A-B50R2</t>
  </si>
  <si>
    <t>10.048.186</t>
  </si>
  <si>
    <t>CYKY 3O1,5 (3Ax1,5)</t>
  </si>
  <si>
    <t>10.048.218</t>
  </si>
  <si>
    <t>CYKY 4J10 (4Bx10)</t>
  </si>
  <si>
    <t>10.048.243</t>
  </si>
  <si>
    <t>CYKY 5J1,5 (5Cx1,5)</t>
  </si>
  <si>
    <t>10.048.403</t>
  </si>
  <si>
    <t>CYKY 5J2,5 (5Cx2,5)</t>
  </si>
  <si>
    <t>10.048.422</t>
  </si>
  <si>
    <t>H07V-U 4 zž (CY)</t>
  </si>
  <si>
    <t>10.048.482</t>
  </si>
  <si>
    <t>CYKY 3J2,5 (3Cx 2,5)</t>
  </si>
  <si>
    <t>10.049.596</t>
  </si>
  <si>
    <t>H07V-K 2,5 zž (CYA)</t>
  </si>
  <si>
    <t>10.049.643</t>
  </si>
  <si>
    <t>CYKY 5J6 (5Cx6)</t>
  </si>
  <si>
    <t>10.051.375</t>
  </si>
  <si>
    <t>CYKY 3J4 (3Cx 4)</t>
  </si>
  <si>
    <t>10.051.448</t>
  </si>
  <si>
    <t>CYKY 3J1,5 (3Cx 1,5)</t>
  </si>
  <si>
    <t>10.062.252</t>
  </si>
  <si>
    <t>Rámeček TIME 3901F-A00110 32</t>
  </si>
  <si>
    <t>10.062.501</t>
  </si>
  <si>
    <t>Rámeček TIME 3901F-A00941 B</t>
  </si>
  <si>
    <t>10.062.503</t>
  </si>
  <si>
    <t>Spínač ELEMENT,TIME 3558E-A06940 01</t>
  </si>
  <si>
    <t>10.062.504</t>
  </si>
  <si>
    <t>Zásuvka ELEMENT,TIME 5519E-A02357 01</t>
  </si>
  <si>
    <t>10.069.937</t>
  </si>
  <si>
    <t>Relé SMR-T supermultifunkční</t>
  </si>
  <si>
    <t>10.069.998</t>
  </si>
  <si>
    <t>Ovladač ELEMENT,TIME 3558E-A00651 01</t>
  </si>
  <si>
    <t>10.070.005</t>
  </si>
  <si>
    <t>Rámeček TIME 3901F-A00120 01</t>
  </si>
  <si>
    <t>10.070.008</t>
  </si>
  <si>
    <t>Rámeček TIME 3901F-A00130 01</t>
  </si>
  <si>
    <t>10.070.014</t>
  </si>
  <si>
    <t>Rámeček TIME 3901F-A00150 01</t>
  </si>
  <si>
    <t>10.070.043</t>
  </si>
  <si>
    <t>Ovladač ELEMENT,TIME 3558E-A00653 01</t>
  </si>
  <si>
    <t>10.070.066</t>
  </si>
  <si>
    <t>Rámeček ELEMENT 3901E-A00110 04</t>
  </si>
  <si>
    <t>10.070.410</t>
  </si>
  <si>
    <t>Tělo ABB 3559-A01345 spínače č.1</t>
  </si>
  <si>
    <t>10.070.413</t>
  </si>
  <si>
    <t>Tělo ABB 3559-A06345 spínače č.6</t>
  </si>
  <si>
    <t>10.070.414</t>
  </si>
  <si>
    <t>Tělo ABB 3559-A07345 spínače č.7</t>
  </si>
  <si>
    <t>10.072.639</t>
  </si>
  <si>
    <t>Tělo ABB 3558-A91342 spínače č.1/0</t>
  </si>
  <si>
    <t>10.075.195</t>
  </si>
  <si>
    <t>Krabice 8110 PC z PH</t>
  </si>
  <si>
    <t>10.076.527</t>
  </si>
  <si>
    <t>Krabice KP 68/2 kruhová</t>
  </si>
  <si>
    <t>10.079.669</t>
  </si>
  <si>
    <t>Zásuvka TIME 5518E-A02999 03 IP44</t>
  </si>
  <si>
    <t>10.079.754</t>
  </si>
  <si>
    <t>Zásuvka PROFIL 45 5595N-C02357 B</t>
  </si>
  <si>
    <t>10.081.291</t>
  </si>
  <si>
    <t>Zásuvka D19 609 33 16A/415V 5-pól. IP44</t>
  </si>
  <si>
    <t>10.549.314</t>
  </si>
  <si>
    <t>Rám KOPOBOX 57 XX podlahový</t>
  </si>
  <si>
    <t>10.549.316</t>
  </si>
  <si>
    <t>Krabice KUP 57 XX univerzální</t>
  </si>
  <si>
    <t>10.593.917</t>
  </si>
  <si>
    <t>Sada SN XX nivelační (4ks)</t>
  </si>
  <si>
    <t>SET</t>
  </si>
  <si>
    <t>10.663.954</t>
  </si>
  <si>
    <t>Žlab DZ 60X60  drátěný žár.pozink</t>
  </si>
  <si>
    <t>11.102.401</t>
  </si>
  <si>
    <t>Sada Reflex 3280B-C10001 B pro nouz.sig.</t>
  </si>
  <si>
    <t>11.126.887</t>
  </si>
  <si>
    <t>Žlab DZI 110X200 drátěný BZNCR se spojk.</t>
  </si>
  <si>
    <t>11.225.040</t>
  </si>
  <si>
    <t>Krabice KUL 68-45/LD2 uni. s víčkem</t>
  </si>
  <si>
    <t>11.310.473</t>
  </si>
  <si>
    <t>Krabice KPL 64-45/LD samoúch.do sádr.</t>
  </si>
  <si>
    <t>32188.01</t>
  </si>
  <si>
    <t>svítidlo 1: VYRTYCH a.s.  DIOS-1-S1-ST,1h (0 lm; 0.0 W) - NOUZOVÉ</t>
  </si>
  <si>
    <t>32188.02</t>
  </si>
  <si>
    <t>svítidlo 2: VYRTYCH a.s. CORGI-LED-3860-4K Interior LED luminaire (2810 lm; 24.0 W)</t>
  </si>
  <si>
    <t>32188.03</t>
  </si>
  <si>
    <t>svítidlo 3: VYRTYCH a.s. CORGI-LED-5280-4K Interior LED luminaire (3840 lm; 32.0 W)</t>
  </si>
  <si>
    <t>32188.04</t>
  </si>
  <si>
    <t>svítidlo 4: VYRTYCH a.s. CORGI-LED-7280-4K Interior LED luminaire (5290 lm; 62.0 W)</t>
  </si>
  <si>
    <t>32188.05</t>
  </si>
  <si>
    <t>svítidlo 5: 5. VYRTYCH a.s. CORSO-LED-13-840-350, 13W Interior LED luminaire (1130 lm; 13.0 W)</t>
  </si>
  <si>
    <t>32188.06</t>
  </si>
  <si>
    <t>svítidlo 6: VYRTYCH a.s. EUROPA-LED-7500-258-4K Industrial LED luminaire (6679 lm; 50.0 W)</t>
  </si>
  <si>
    <t>32188.07</t>
  </si>
  <si>
    <t>svítidlo 7: VYRTYCH a.s. LARO43-LED-ES-7000-4K Industrial lighting (7336 lm; 53.0 W), včetně nosné napájecí lišty</t>
  </si>
  <si>
    <t>32188.08</t>
  </si>
  <si>
    <t>svítidlo 8: VYRTYCH a.s. MAWERICK-LED-3900-3K Interior LED luminaire reccessed (2202 lm; 31.0 W)</t>
  </si>
  <si>
    <t>32188.09</t>
  </si>
  <si>
    <t>svítidlo 9: VYRTYCH a.s. MAWERICK-LED-5200-3K Interior LED luminaire reccessed (2936 lm; 41.0 W)</t>
  </si>
  <si>
    <t>32188.10</t>
  </si>
  <si>
    <t>svítidlo 10: VYRTYCH a.s. MAWERICK-LED-6500-3K Interior LED luminaire reccessed (3670 lm; 52.0 W)</t>
  </si>
  <si>
    <t>32188.11</t>
  </si>
  <si>
    <t>svítidlo 11: VYRTYCH a.s. MAWERICK-LED-7800-3K Interior LED luminaire reccessed (4404 lm; 62.0 W)</t>
  </si>
  <si>
    <t>32188.12</t>
  </si>
  <si>
    <t>svítidlo 12: LEDVANCE, HIGH BAY VALUE 100 W 6500 K 100 DEG IP65 BK</t>
  </si>
  <si>
    <t>32188.13</t>
  </si>
  <si>
    <t>svítidlo 13: LEDVANCE, FLOODLIGHT 180 W 4000 K IP65 BK</t>
  </si>
  <si>
    <t>32188.14</t>
  </si>
  <si>
    <t>svítidlo 14: Nouzové svítidlo VYRTYCH a.s. PALAS-LED-3-M1-ST, 3h, IP65</t>
  </si>
  <si>
    <t>10.046.495</t>
  </si>
  <si>
    <t>Svorka SZ - litina</t>
  </si>
  <si>
    <t>10.046.498</t>
  </si>
  <si>
    <t>Svorka SR 3b - plech</t>
  </si>
  <si>
    <t>10.046.500</t>
  </si>
  <si>
    <t>Svorka SJ01</t>
  </si>
  <si>
    <t>10.046.507</t>
  </si>
  <si>
    <t>Držák OÚ DOUa-15</t>
  </si>
  <si>
    <t>10.046.510</t>
  </si>
  <si>
    <t>Podpěra PV 21c plast základna kulatá</t>
  </si>
  <si>
    <t>10.046.543</t>
  </si>
  <si>
    <t>Úhelník ochranný OU 2,0 L</t>
  </si>
  <si>
    <t>10.046.600</t>
  </si>
  <si>
    <t>Podpěra PV 01 (PV 1b-15)</t>
  </si>
  <si>
    <t>10.046.659</t>
  </si>
  <si>
    <t>Svorka SK</t>
  </si>
  <si>
    <t>10.046.740</t>
  </si>
  <si>
    <t>Svorka SR 2b</t>
  </si>
  <si>
    <t>10.046.769</t>
  </si>
  <si>
    <t>Svorka SS</t>
  </si>
  <si>
    <t>10.067.501</t>
  </si>
  <si>
    <t>Svorka SP</t>
  </si>
  <si>
    <t>10.074.580</t>
  </si>
  <si>
    <t>Pásek pozink. FeZn 30x4</t>
  </si>
  <si>
    <t>KG</t>
  </si>
  <si>
    <t>10.513.729</t>
  </si>
  <si>
    <t>Podstavec PB19 betonový</t>
  </si>
  <si>
    <t>10.576.237</t>
  </si>
  <si>
    <t>Tyč JR 2,0 ALMgSi jímací</t>
  </si>
  <si>
    <t>10.577.458</t>
  </si>
  <si>
    <t>Drát uzem. FeZn pozink. pr.10</t>
  </si>
  <si>
    <t>10.608.291</t>
  </si>
  <si>
    <t>Drát uzem. AL pr.8 AlMgSi měkký</t>
  </si>
  <si>
    <t>10.075.424</t>
  </si>
  <si>
    <t>Trubka oheb.FMP20 pr.20 750N č.</t>
  </si>
  <si>
    <t>10.079.578</t>
  </si>
  <si>
    <t>Zásuvka RJ45-8 Cat.5e/u R302518</t>
  </si>
  <si>
    <t>10.079.664</t>
  </si>
  <si>
    <t>Maska ELEMENT,TIME 5014E-B01018</t>
  </si>
  <si>
    <t>10.902.556</t>
  </si>
  <si>
    <t>UTP 4x2x0,5 cat.6 drát bal.305m EMOS</t>
  </si>
  <si>
    <t>Celkem za materiály:</t>
  </si>
  <si>
    <t>6.                                               Dodávky zařízení (specifikace)</t>
  </si>
  <si>
    <t>00965</t>
  </si>
  <si>
    <t>pojistková skříň do fasády - SS100</t>
  </si>
  <si>
    <t>002</t>
  </si>
  <si>
    <t>rozvaděč R.01 - včetně realizační dokumentace</t>
  </si>
  <si>
    <t>Celkem za dodávky:</t>
  </si>
  <si>
    <t>UPRAVENÉ ROZPOČTOVÉ NÁKLADY  bez DPH</t>
  </si>
  <si>
    <t>REKAPITULACE CELKEM  bez DPH</t>
  </si>
  <si>
    <t>Název:</t>
  </si>
  <si>
    <t>ELEKTROINSTALACE - SILNOPROUD</t>
  </si>
  <si>
    <t>ROZPOČET</t>
  </si>
  <si>
    <t xml:space="preserve">Stavba: </t>
  </si>
  <si>
    <t>Běžecký atletický tunel se zázemím</t>
  </si>
  <si>
    <t xml:space="preserve">Objekt: </t>
  </si>
  <si>
    <t xml:space="preserve">Část: </t>
  </si>
  <si>
    <t>D1.4. E - Elektroinstalace - slaboproudá zařízení</t>
  </si>
  <si>
    <t>Ing. Miroslav Brázdil</t>
  </si>
  <si>
    <t xml:space="preserve">Zhotovitel: </t>
  </si>
  <si>
    <t>Typ</t>
  </si>
  <si>
    <t>Popis zařízení</t>
  </si>
  <si>
    <t>výrobce / dodavatel</t>
  </si>
  <si>
    <t xml:space="preserve">Počet </t>
  </si>
  <si>
    <t>M a t e r i á l</t>
  </si>
  <si>
    <t>P r á c e</t>
  </si>
  <si>
    <t>Cena</t>
  </si>
  <si>
    <t>Kč/ks</t>
  </si>
  <si>
    <t xml:space="preserve">Pokud se v dokumentaci vyskytují obchodní názvy některých výrobků nebo dodávek, </t>
  </si>
  <si>
    <t xml:space="preserve">případně jiná označení mající vztah ke konkrétnímu dodavateli, jedná se o doporučené </t>
  </si>
  <si>
    <t>řešení (vymezení stávajícího standardu) a uchazeč je oprávněn navrhnout jiné,</t>
  </si>
  <si>
    <t>technicky a kvalitativně, srovnatelné řešení.</t>
  </si>
  <si>
    <t>Materiál CCTV</t>
  </si>
  <si>
    <t>RBA-09-AS4-AAX-A1</t>
  </si>
  <si>
    <t>Rozvaděč nástěn. 9U/600x400, šedý, dveře sklo, DELTA/4S</t>
  </si>
  <si>
    <t>Triton</t>
  </si>
  <si>
    <t>I80593005</t>
  </si>
  <si>
    <t>Rozvodný panel ACAR 5x 230V včetně vany 2U v černé barvě; spojovací materiál</t>
  </si>
  <si>
    <t>Acar</t>
  </si>
  <si>
    <t>I24000141</t>
  </si>
  <si>
    <t>Patch panel černý osazený 24 pozic 1U CAT5E s vyvazovací lištou, spojovací materiál</t>
  </si>
  <si>
    <t>Solarix</t>
  </si>
  <si>
    <t>RAB-ZP-X03-A1</t>
  </si>
  <si>
    <t>Průchozí panel velikost 1U černý, spojovací materiál</t>
  </si>
  <si>
    <t>DS-3E0109P-E</t>
  </si>
  <si>
    <t>Switch 8 portů 10/100Mbps, (8x PoE, 1x bez PoE), kapacita 1.8Gbps, 123W, kov</t>
  </si>
  <si>
    <t>Hikvision</t>
  </si>
  <si>
    <t>I28310109</t>
  </si>
  <si>
    <t>Patch kabel 1m UTP SOLARIX, CAT5E, šedý</t>
  </si>
  <si>
    <t>QNV-6032R</t>
  </si>
  <si>
    <t>Dome kamera střední řady. Rozlišení 2Mpx, 1920x1080, objektiv fixní 6mm, max. spotřeba 10W, pracovní teplota -20 až 50°C.
Základní video analýza (detekce pohybu, směru, vstupu/výstupu do oblasti, překročení čáry, detekce rozostření a zakrytí). Další vlastností a funkce: objektiv min 50°, WDR reálných 120dB, H.264/265, otočení o 90/270°) a IR přísvit do 30m. Provedení kamery venkovní zodolněné, IP66, IK10.</t>
  </si>
  <si>
    <t>WiseNet</t>
  </si>
  <si>
    <t>Kabely, instalační materiál</t>
  </si>
  <si>
    <t>I27655191</t>
  </si>
  <si>
    <t>Instalační kabel Solarix CAT5E UTP PE Fca venkovní 305m/box SXKD-5E-UTP-PE
průřez vodičů min. 0,22mm2</t>
  </si>
  <si>
    <t>elektroinstalační ohebná trubka 25mm, samozhášivá, střední mechanická odolnost vč. příchytek, šroubů a spojovacího materiálu</t>
  </si>
  <si>
    <t>vrtání prostupu do průměru 30 mm, tloušťky do 300 mm</t>
  </si>
  <si>
    <t>Služby</t>
  </si>
  <si>
    <t>Kvalifikační měřicí protokol strukturované kabeláže</t>
  </si>
  <si>
    <t>Výchozí revize</t>
  </si>
  <si>
    <t>Zaškolení personálu obsluhy a údržby</t>
  </si>
  <si>
    <t>Vyhotovení dokumentace skutečného stavu, návodu pro obsluhu</t>
  </si>
  <si>
    <t>Celkové režijní náklady</t>
  </si>
  <si>
    <t>Kontrola vstupu</t>
  </si>
  <si>
    <t>Hlavní vchod</t>
  </si>
  <si>
    <t>BEFO1211</t>
  </si>
  <si>
    <t>Elektrický otvírač 12V, standard stavitelná střelka</t>
  </si>
  <si>
    <t>9155101</t>
  </si>
  <si>
    <t>2N IP Verso základní audio jednotka s 1 tlačítkem</t>
  </si>
  <si>
    <t>9155040</t>
  </si>
  <si>
    <t>2N IP Verso modul čtečky RFID karet 13,56 MHz, NFC ready</t>
  </si>
  <si>
    <t>9155015</t>
  </si>
  <si>
    <t>2N IP Verso krabice pro instalaci do zdi, 2 moduly</t>
  </si>
  <si>
    <t>9155012B</t>
  </si>
  <si>
    <t>2N IP Verso rám pro instalaci do zdi, 2 moduly, černé provedení</t>
  </si>
  <si>
    <t>DESFire Tag 2K</t>
  </si>
  <si>
    <t>Bezkontaktní přívěsek DESFire EV1 (2 KB)</t>
  </si>
  <si>
    <t>SIP-T19P E2</t>
  </si>
  <si>
    <t xml:space="preserve">IP telefon s podporou SIP protokolu, napájení PoE, 
displej 2,3" 132x64 nepodsv.
</t>
  </si>
  <si>
    <t>Kontrola vstupu - kanceláře</t>
  </si>
  <si>
    <t>EL460</t>
  </si>
  <si>
    <t>Elektromechanický úzký samozamykací panikový zámek backset 35mm
napájecí napětí 12-24VDC</t>
  </si>
  <si>
    <t>IKON SX43F1</t>
  </si>
  <si>
    <t>Bezpečnostní kování klika x klika pro EL460, 9mm dělený čtyřhran
na straně zázemí pevná klika, na straně chodby volná klika aktivovaná elektricky</t>
  </si>
  <si>
    <t>916010</t>
  </si>
  <si>
    <t>Přístupová jednotka s vestavěnou čtečkou,
signalizační LED (červená, zelená)
napájení PoE, vestavěné relé spínací a rozpínací kontakt  12VDC, 400 mA
čtečka RFID karet 13,56MHz a 125 kHz</t>
  </si>
  <si>
    <t>9155014</t>
  </si>
  <si>
    <t>Krabice pro instalaci do zdi / SDK, 1 modul, vč. montáže pod omítku</t>
  </si>
  <si>
    <t>STX2401-T</t>
  </si>
  <si>
    <t>EN54-4 - Certifikovaný spínaný napájecí zdroj 27,6 V ss / max.1,2 A v krytu, aku max. 2 x 1,2 Ah, vč. propojení s kontaktem ACS, přepínacího tlačítka a požárního tlačítka</t>
  </si>
  <si>
    <t>PS1270 VdSV0</t>
  </si>
  <si>
    <t>Akumulátor 12V/7Ah ohniodolný, konektor Faston 187, životnost až 5 let, VdS</t>
  </si>
  <si>
    <t>ERM1</t>
  </si>
  <si>
    <t>Miniaturní univerzální releový modul s přepínacím kontaktem a malým příkonem</t>
  </si>
  <si>
    <t>MHA 902</t>
  </si>
  <si>
    <t>Konvenční tlačítkový hlásič červený, přep. kontakt s aretací, prolamovací sklo</t>
  </si>
  <si>
    <t>Kabeláž, instalační materiál</t>
  </si>
  <si>
    <t>I27655141</t>
  </si>
  <si>
    <t>Instalační kabel Solarix CAT5E UTP PVC Eca 305m/box SXKD-5E-UTP-PVC</t>
  </si>
  <si>
    <t>PRAFlaGuard 1x2x0.8</t>
  </si>
  <si>
    <t>Hnědý stíněný kabel 1x2x0,8  PH120-R dle ZP-27/2008, B2caS1D0 dle PrEN 50399:07</t>
  </si>
  <si>
    <t>JYTY 2x1</t>
  </si>
  <si>
    <t>Sdělovací kabel</t>
  </si>
  <si>
    <t>Realizační projektová dokumentace - svorková schémata - napájení zámku určuje jednotka ACS, požární tlačítko a tlačítko trvalého otevření dveří</t>
  </si>
  <si>
    <t>Koordinace ACS a ostatní technologie</t>
  </si>
  <si>
    <t>Výchozí revize elektrických zařízení</t>
  </si>
  <si>
    <t>Funkční zkoušky, uvedení do provozu</t>
  </si>
  <si>
    <t>Vyhotovení dokumentace skutečného stavu, návodu pro obsluhu a podkladů pro provozní řád</t>
  </si>
  <si>
    <t>Zakázka:</t>
  </si>
  <si>
    <t>Vícezónové ozvučení tribuny a atletického oválu v Benešově u Prahy.</t>
  </si>
  <si>
    <t>Stavba:</t>
  </si>
  <si>
    <t>Běžecký atletický tunel se zázemín</t>
  </si>
  <si>
    <t>Pokud se v dokumentaci vyskytují obchodní názvy některých výrobků nebo dodávek, případně jiná označení mající vztah ke konkrétnímu dodavateli, jedná se o doporučené řešení (vymezení stávajícího standardu) a uchazeč je oprávněn navrhnout jiné, technicky a kvalitativně, srovnatelné řešení.</t>
  </si>
  <si>
    <t>Kat. č.:</t>
  </si>
  <si>
    <t>Mj</t>
  </si>
  <si>
    <t>Cena bez DPH</t>
  </si>
  <si>
    <t>Částka
bez DPH</t>
  </si>
  <si>
    <t>Hlasatelna:</t>
  </si>
  <si>
    <t>27 798</t>
  </si>
  <si>
    <t>JPA 6240 rozhlasová ústředna</t>
  </si>
  <si>
    <t>27 905</t>
  </si>
  <si>
    <t>PA 120 přepážkový mikrofon s výběrem</t>
  </si>
  <si>
    <t>21 904</t>
  </si>
  <si>
    <t>MBC 840 bezdrátový mikrofon diverzitní ruční</t>
  </si>
  <si>
    <t>21 905</t>
  </si>
  <si>
    <t>MBC 940 bezdrátový mikrofon diverzitní náhlavní / klopový</t>
  </si>
  <si>
    <t>03 480</t>
  </si>
  <si>
    <t>ARS 491 reprosoustava</t>
  </si>
  <si>
    <t>-</t>
  </si>
  <si>
    <t>Tribuna:</t>
  </si>
  <si>
    <t>DPT 612 sloupová reprosoustava</t>
  </si>
  <si>
    <t>Běžecký tunel:</t>
  </si>
  <si>
    <t>RP 81x81 podhledový reproduktor</t>
  </si>
  <si>
    <t>12 094</t>
  </si>
  <si>
    <t>PT 250 převodní transformátor 25 W</t>
  </si>
  <si>
    <t>27 799</t>
  </si>
  <si>
    <t>JPA 6120C nástěnný ovládač</t>
  </si>
  <si>
    <t>Atl.ovál (z před.hrany tribuny):</t>
  </si>
  <si>
    <t>21 662</t>
  </si>
  <si>
    <t>SC 60AH reentrantní reproduktor</t>
  </si>
  <si>
    <t>Společ.místnost:</t>
  </si>
  <si>
    <t>RPT 122 podhledový reproduktor</t>
  </si>
  <si>
    <t>Recepce:</t>
  </si>
  <si>
    <t>Kabeláž, instalační materiál:</t>
  </si>
  <si>
    <r>
      <t>Reproduktorová dvoulinka 2x 1,5 mm</t>
    </r>
    <r>
      <rPr>
        <vertAlign val="superscript"/>
        <sz val="9"/>
        <rFont val="Arial CE"/>
        <family val="2"/>
      </rPr>
      <t>2</t>
    </r>
  </si>
  <si>
    <t>Služby:</t>
  </si>
  <si>
    <t>Realizační dokumentace dodavatele</t>
  </si>
  <si>
    <t>Funkční zkoušky a uvedení do provozu</t>
  </si>
  <si>
    <t>Zaškolení obsluhy a údržby, vyhotovení návodu k užívání</t>
  </si>
  <si>
    <t>Dokumentace skutečného provedení</t>
  </si>
  <si>
    <t>Celkem bez DPH:</t>
  </si>
  <si>
    <t>Slaboproud – Vybavení budovy IT a ostatní</t>
  </si>
  <si>
    <t>Datová síť</t>
  </si>
  <si>
    <t>Datová zásuvka včetně vystrojení – míst. 1.02, 1.03, 1.13, 1.15, 1.23 (2x), 1.24 (2x) RJ-45</t>
  </si>
  <si>
    <t>Datový kabel UTP 1583E</t>
  </si>
  <si>
    <t>Koncovka UTP</t>
  </si>
  <si>
    <t>Wifi; stropní instalace; anténa Anténa - přístupový bod (Access point), venkovní, WiFi 5, s WiFi 802.11a/b/g/n/ac a maximální rychlostí až 1750 Mb/s, 2× LAN, Dual-Band (2,4 + 5 GHz), Gigabit LAN, PoE (Power over Ethernet)</t>
  </si>
  <si>
    <t>Hodiny</t>
  </si>
  <si>
    <t>Hodiny nástěnné digitální s napájením ze sítě 100 - 240 V, 50 - 60 Hz, výška číslic 100 mm, formát zobrazovaného času HH:MM:SS, měření teploty, jednostranné, odolné proti nárazu míče, rozměry 728/169/39 mm</t>
  </si>
  <si>
    <t>nástěnné hodiny s funkcí jednotného času, průměr 40 cm, kovový rám bílé barvy, číselník (s čísly 1-12)</t>
  </si>
  <si>
    <t>Profese:</t>
  </si>
  <si>
    <t>Technické vybavení budovy: D.1.4.f - Centrální vysavač</t>
  </si>
  <si>
    <t>Centrání vysavač – dodávka</t>
  </si>
  <si>
    <t>AGREGÁT CV; dva třístupňové motory, suché sání, odpadní nádoba 42 l, sací výkon 1100 W, příkon 2981 W, sací podtlak 5334/52,3 m/H2O, průtok vzduchu 52,3 l/s, filtrace samočistící cyklónová SILPURE, chlazení motoru Bypass</t>
  </si>
  <si>
    <t>Vypínačová hadice s pistolovou rukojetí a pojistkou 24 V, délka 10,6 m</t>
  </si>
  <si>
    <t>Klasická sací hubice s výsuvnými kartáčky</t>
  </si>
  <si>
    <t>Štěrbinový nástavec 23 cm</t>
  </si>
  <si>
    <t>Kombinovaný nástavec na prach a sedací soupravy</t>
  </si>
  <si>
    <t>Teleskopická tyč s pojistkou</t>
  </si>
  <si>
    <t>Držák hadice</t>
  </si>
  <si>
    <t>Držák teleskopické tyče</t>
  </si>
  <si>
    <t>Taška na doplňky</t>
  </si>
  <si>
    <t>Rozvody</t>
  </si>
  <si>
    <t>Kryty zásuvek – šedá</t>
  </si>
  <si>
    <t>Rámečky zásuvek  šedá</t>
  </si>
  <si>
    <t>Potrubní díly, trubka přímá PVC</t>
  </si>
  <si>
    <t>Odbočky, propojky, kolena, oblouky aj.</t>
  </si>
  <si>
    <t>Montáž soustavy</t>
  </si>
  <si>
    <t>Celkem
Bez DPH</t>
  </si>
  <si>
    <t>J.C.</t>
  </si>
  <si>
    <t xml:space="preserve">Datum:   </t>
  </si>
  <si>
    <t xml:space="preserve">Zpracoval:   </t>
  </si>
  <si>
    <t xml:space="preserve">Datum:  </t>
  </si>
  <si>
    <t xml:space="preserve">Montáž elektro tvarovek jednoosých do DN 80   </t>
  </si>
  <si>
    <t>Objekt:   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</si>
</sst>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00"/>
    <numFmt numFmtId="165" formatCode="#,##0.000"/>
    <numFmt numFmtId="166" formatCode="#,##0.000;\-#,##0.000"/>
    <numFmt numFmtId="167" formatCode="#,##0&quot; Kč&quot;"/>
    <numFmt numFmtId="168" formatCode="#,##0.0"/>
    <numFmt numFmtId="169" formatCode="###,000;\-###,000"/>
    <numFmt numFmtId="170" formatCode="#,##0\ &quot;Kč&quot;"/>
    <numFmt numFmtId="171" formatCode="0.0"/>
    <numFmt numFmtId="172" formatCode="#,##0.00&quot; Kč&quot;"/>
  </numFmts>
  <fonts count="67">
    <font>
      <sz val="1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8"/>
      <color rgb="FF000000"/>
      <name val="Arial"/>
      <family val="2"/>
    </font>
    <font>
      <i/>
      <sz val="10"/>
      <color rgb="FF00000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0"/>
      <name val="Calibri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5"/>
      <name val="Arial CE"/>
      <family val="2"/>
    </font>
    <font>
      <b/>
      <u val="single"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color indexed="12"/>
      <name val="Arial CE"/>
      <family val="2"/>
    </font>
    <font>
      <b/>
      <u val="single"/>
      <sz val="9"/>
      <color indexed="8"/>
      <name val="Arial CE"/>
      <family val="2"/>
    </font>
    <font>
      <b/>
      <u val="single"/>
      <sz val="9"/>
      <name val="Arial CE"/>
      <family val="2"/>
    </font>
    <font>
      <b/>
      <u val="single"/>
      <sz val="9"/>
      <color indexed="12"/>
      <name val="Arial CE"/>
      <family val="2"/>
    </font>
    <font>
      <sz val="9"/>
      <color indexed="10"/>
      <name val="Arial CE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9"/>
      <color indexed="10"/>
      <name val="Arial CE"/>
      <family val="2"/>
    </font>
    <font>
      <vertAlign val="superscript"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53"/>
      <name val="Arial CE"/>
      <family val="2"/>
    </font>
    <font>
      <sz val="10"/>
      <color indexed="53"/>
      <name val="Arial CE"/>
      <family val="2"/>
    </font>
    <font>
      <i/>
      <sz val="9"/>
      <color indexed="60"/>
      <name val="Arial CE"/>
      <family val="2"/>
    </font>
    <font>
      <sz val="9"/>
      <color indexed="10"/>
      <name val="Lucida Sans Unicode"/>
      <family val="2"/>
    </font>
    <font>
      <i/>
      <sz val="9"/>
      <color indexed="10"/>
      <name val="Arial CE"/>
      <family val="2"/>
    </font>
    <font>
      <i/>
      <sz val="11"/>
      <color rgb="FF7F7F7F"/>
      <name val="Calibri"/>
      <family val="2"/>
      <scheme val="minor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1"/>
      <name val="Calibri"/>
      <family val="2"/>
    </font>
    <font>
      <b/>
      <sz val="12"/>
      <color rgb="FF0000FF"/>
      <name val="Arial"/>
      <family val="2"/>
    </font>
    <font>
      <i/>
      <sz val="11"/>
      <name val="Calibri"/>
      <family val="2"/>
    </font>
    <font>
      <b/>
      <i/>
      <sz val="1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6"/>
      <color indexed="8"/>
      <name val="Arial CE"/>
      <family val="2"/>
    </font>
    <font>
      <i/>
      <sz val="9"/>
      <color indexed="16"/>
      <name val="Arial CE"/>
      <family val="2"/>
    </font>
    <font>
      <sz val="9"/>
      <color indexed="8"/>
      <name val="Arial"/>
      <family val="2"/>
    </font>
    <font>
      <sz val="9"/>
      <color indexed="63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YR"/>
      <family val="2"/>
    </font>
    <font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2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hair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hair">
        <color rgb="FF666666"/>
      </left>
      <right/>
      <top style="hair">
        <color rgb="FF666666"/>
      </top>
      <bottom style="hair">
        <color rgb="FF666666"/>
      </bottom>
    </border>
    <border>
      <left/>
      <right style="hair">
        <color rgb="FF666666"/>
      </right>
      <top style="hair">
        <color rgb="FF666666"/>
      </top>
      <bottom style="hair">
        <color rgb="FF666666"/>
      </bottom>
    </border>
    <border>
      <left style="hair">
        <color rgb="FF666666"/>
      </left>
      <right style="hair">
        <color rgb="FF666666"/>
      </right>
      <top style="hair">
        <color rgb="FF666666"/>
      </top>
      <bottom/>
    </border>
    <border>
      <left style="hair">
        <color rgb="FF666666"/>
      </left>
      <right style="hair">
        <color rgb="FF666666"/>
      </right>
      <top/>
      <bottom style="hair">
        <color rgb="FF666666"/>
      </bottom>
    </border>
    <border>
      <left style="hair">
        <color rgb="FF666666"/>
      </left>
      <right style="hair">
        <color rgb="FF666666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hair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/>
      <bottom style="thin">
        <color rgb="FF808080"/>
      </bottom>
    </border>
    <border>
      <left/>
      <right/>
      <top style="thin">
        <color rgb="FF808080"/>
      </top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57">
    <xf numFmtId="0" fontId="0" fillId="0" borderId="0" xfId="0"/>
    <xf numFmtId="0" fontId="3" fillId="0" borderId="1" xfId="0" applyFont="1" applyBorder="1" applyAlignment="1" applyProtection="1">
      <alignment vertical="center"/>
      <protection/>
    </xf>
    <xf numFmtId="49" fontId="5" fillId="2" borderId="2" xfId="0" applyNumberFormat="1" applyFont="1" applyFill="1" applyBorder="1" applyAlignment="1" applyProtection="1">
      <alignment horizontal="center" vertical="center"/>
      <protection/>
    </xf>
    <xf numFmtId="4" fontId="8" fillId="0" borderId="2" xfId="0" applyNumberFormat="1" applyFont="1" applyBorder="1" applyAlignment="1" applyProtection="1">
      <alignment horizontal="right" vertical="center"/>
      <protection/>
    </xf>
    <xf numFmtId="49" fontId="8" fillId="0" borderId="2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4" fontId="7" fillId="2" borderId="6" xfId="0" applyNumberFormat="1" applyFont="1" applyFill="1" applyBorder="1" applyAlignment="1" applyProtection="1">
      <alignment horizontal="right"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49" fontId="9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 applyProtection="1">
      <alignment horizontal="right" vertical="center"/>
      <protection/>
    </xf>
    <xf numFmtId="49" fontId="3" fillId="2" borderId="10" xfId="0" applyNumberFormat="1" applyFont="1" applyFill="1" applyBorder="1" applyAlignment="1" applyProtection="1">
      <alignment horizontal="left" vertical="center"/>
      <protection/>
    </xf>
    <xf numFmtId="49" fontId="2" fillId="2" borderId="10" xfId="0" applyNumberFormat="1" applyFont="1" applyFill="1" applyBorder="1" applyAlignment="1" applyProtection="1">
      <alignment horizontal="left" vertical="center"/>
      <protection/>
    </xf>
    <xf numFmtId="49" fontId="2" fillId="2" borderId="10" xfId="0" applyNumberFormat="1" applyFont="1" applyFill="1" applyBorder="1" applyAlignment="1" applyProtection="1">
      <alignment horizontal="lef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/>
      <protection/>
    </xf>
    <xf numFmtId="164" fontId="2" fillId="2" borderId="10" xfId="0" applyNumberFormat="1" applyFont="1" applyFill="1" applyBorder="1" applyAlignment="1" applyProtection="1">
      <alignment horizontal="right" vertical="center"/>
      <protection/>
    </xf>
    <xf numFmtId="49" fontId="2" fillId="2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" fontId="2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16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165" fontId="10" fillId="0" borderId="10" xfId="0" applyNumberFormat="1" applyFont="1" applyBorder="1" applyAlignment="1" applyProtection="1">
      <alignment horizontal="right" vertical="center"/>
      <protection/>
    </xf>
    <xf numFmtId="164" fontId="3" fillId="0" borderId="10" xfId="0" applyNumberFormat="1" applyFont="1" applyBorder="1" applyAlignment="1">
      <alignment vertical="center"/>
    </xf>
    <xf numFmtId="49" fontId="3" fillId="3" borderId="10" xfId="0" applyNumberFormat="1" applyFont="1" applyFill="1" applyBorder="1" applyAlignment="1" applyProtection="1">
      <alignment horizontal="left" vertical="center"/>
      <protection/>
    </xf>
    <xf numFmtId="49" fontId="3" fillId="3" borderId="10" xfId="0" applyNumberFormat="1" applyFont="1" applyFill="1" applyBorder="1" applyAlignment="1" applyProtection="1">
      <alignment horizontal="left" vertical="center" wrapText="1"/>
      <protection/>
    </xf>
    <xf numFmtId="165" fontId="3" fillId="3" borderId="10" xfId="0" applyNumberFormat="1" applyFont="1" applyFill="1" applyBorder="1" applyAlignment="1" applyProtection="1">
      <alignment horizontal="right" vertical="center"/>
      <protection/>
    </xf>
    <xf numFmtId="4" fontId="3" fillId="3" borderId="10" xfId="0" applyNumberFormat="1" applyFont="1" applyFill="1" applyBorder="1" applyAlignment="1" applyProtection="1">
      <alignment horizontal="right" vertical="center"/>
      <protection/>
    </xf>
    <xf numFmtId="164" fontId="3" fillId="3" borderId="10" xfId="0" applyNumberFormat="1" applyFont="1" applyFill="1" applyBorder="1" applyAlignment="1" applyProtection="1">
      <alignment horizontal="right" vertical="center"/>
      <protection/>
    </xf>
    <xf numFmtId="49" fontId="3" fillId="3" borderId="10" xfId="0" applyNumberFormat="1" applyFont="1" applyFill="1" applyBorder="1" applyAlignment="1" applyProtection="1">
      <alignment horizontal="right" vertical="center"/>
      <protection/>
    </xf>
    <xf numFmtId="49" fontId="0" fillId="3" borderId="10" xfId="0" applyNumberFormat="1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/>
      <protection/>
    </xf>
    <xf numFmtId="49" fontId="10" fillId="3" borderId="10" xfId="0" applyNumberFormat="1" applyFont="1" applyFill="1" applyBorder="1" applyAlignment="1" applyProtection="1">
      <alignment horizontal="left" vertical="center" wrapText="1"/>
      <protection/>
    </xf>
    <xf numFmtId="165" fontId="10" fillId="3" borderId="10" xfId="0" applyNumberFormat="1" applyFont="1" applyFill="1" applyBorder="1" applyAlignment="1" applyProtection="1">
      <alignment horizontal="right" vertical="center"/>
      <protection/>
    </xf>
    <xf numFmtId="164" fontId="0" fillId="3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3" fillId="0" borderId="0" xfId="0" applyFont="1" applyAlignment="1">
      <alignment vertical="center"/>
    </xf>
    <xf numFmtId="164" fontId="0" fillId="0" borderId="10" xfId="0" applyNumberFormat="1" applyFont="1" applyBorder="1" applyAlignment="1" applyProtection="1">
      <alignment/>
      <protection/>
    </xf>
    <xf numFmtId="49" fontId="0" fillId="3" borderId="10" xfId="0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vertical="center"/>
      <protection/>
    </xf>
    <xf numFmtId="164" fontId="3" fillId="0" borderId="10" xfId="0" applyNumberFormat="1" applyFont="1" applyBorder="1" applyAlignment="1" applyProtection="1">
      <alignment vertical="center"/>
      <protection/>
    </xf>
    <xf numFmtId="49" fontId="3" fillId="0" borderId="3" xfId="0" applyNumberFormat="1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vertical="center" wrapText="1"/>
      <protection/>
    </xf>
    <xf numFmtId="4" fontId="2" fillId="0" borderId="3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horizontal="righ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9" fontId="3" fillId="0" borderId="2" xfId="0" applyNumberFormat="1" applyFont="1" applyBorder="1" applyAlignment="1" applyProtection="1">
      <alignment horizontal="left" vertical="center"/>
      <protection/>
    </xf>
    <xf numFmtId="4" fontId="3" fillId="0" borderId="2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lef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9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 vertical="center"/>
      <protection/>
    </xf>
    <xf numFmtId="37" fontId="12" fillId="0" borderId="0" xfId="0" applyNumberFormat="1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166" fontId="14" fillId="0" borderId="0" xfId="0" applyNumberFormat="1" applyFont="1" applyAlignment="1" applyProtection="1">
      <alignment horizontal="right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3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6" fontId="15" fillId="0" borderId="0" xfId="0" applyNumberFormat="1" applyFont="1" applyAlignment="1" applyProtection="1">
      <alignment horizontal="right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16" fillId="4" borderId="15" xfId="0" applyFont="1" applyFill="1" applyBorder="1" applyAlignment="1" applyProtection="1">
      <alignment horizontal="center" vertical="center" wrapText="1"/>
      <protection/>
    </xf>
    <xf numFmtId="37" fontId="14" fillId="0" borderId="15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166" fontId="14" fillId="0" borderId="15" xfId="0" applyNumberFormat="1" applyFont="1" applyBorder="1" applyAlignment="1" applyProtection="1">
      <alignment horizontal="right"/>
      <protection locked="0"/>
    </xf>
    <xf numFmtId="39" fontId="14" fillId="0" borderId="15" xfId="0" applyNumberFormat="1" applyFont="1" applyBorder="1" applyAlignment="1" applyProtection="1">
      <alignment horizontal="right"/>
      <protection locked="0"/>
    </xf>
    <xf numFmtId="37" fontId="17" fillId="0" borderId="15" xfId="0" applyNumberFormat="1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166" fontId="17" fillId="0" borderId="15" xfId="0" applyNumberFormat="1" applyFont="1" applyBorder="1" applyAlignment="1" applyProtection="1">
      <alignment horizontal="right"/>
      <protection locked="0"/>
    </xf>
    <xf numFmtId="37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wrapText="1"/>
      <protection locked="0"/>
    </xf>
    <xf numFmtId="166" fontId="18" fillId="0" borderId="0" xfId="0" applyNumberFormat="1" applyFont="1" applyAlignment="1" applyProtection="1">
      <alignment horizontal="right"/>
      <protection locked="0"/>
    </xf>
    <xf numFmtId="39" fontId="18" fillId="0" borderId="0" xfId="0" applyNumberFormat="1" applyFont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wrapText="1"/>
      <protection locked="0"/>
    </xf>
    <xf numFmtId="166" fontId="19" fillId="0" borderId="0" xfId="0" applyNumberFormat="1" applyFont="1" applyAlignment="1" applyProtection="1">
      <alignment horizontal="right"/>
      <protection locked="0"/>
    </xf>
    <xf numFmtId="39" fontId="19" fillId="0" borderId="0" xfId="0" applyNumberFormat="1" applyFont="1" applyAlignment="1" applyProtection="1">
      <alignment horizontal="right"/>
      <protection locked="0"/>
    </xf>
    <xf numFmtId="37" fontId="19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166" fontId="19" fillId="0" borderId="0" xfId="0" applyNumberFormat="1" applyFont="1" applyFill="1" applyAlignment="1" applyProtection="1">
      <alignment horizontal="right"/>
      <protection locked="0"/>
    </xf>
    <xf numFmtId="39" fontId="19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16" xfId="0" applyBorder="1"/>
    <xf numFmtId="0" fontId="15" fillId="0" borderId="16" xfId="0" applyFont="1" applyBorder="1"/>
    <xf numFmtId="49" fontId="0" fillId="0" borderId="16" xfId="0" applyNumberFormat="1" applyFont="1" applyBorder="1" applyAlignment="1">
      <alignment horizontal="right" vertical="center"/>
    </xf>
    <xf numFmtId="49" fontId="1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21" fillId="0" borderId="16" xfId="0" applyFont="1" applyBorder="1" applyAlignment="1">
      <alignment horizontal="left" vertical="top" wrapText="1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8" xfId="0" applyNumberFormat="1" applyBorder="1" applyAlignment="1" applyProtection="1">
      <alignment horizontal="right" vertical="center" wrapText="1"/>
      <protection locked="0"/>
    </xf>
    <xf numFmtId="4" fontId="0" fillId="0" borderId="18" xfId="0" applyNumberFormat="1" applyBorder="1" applyAlignment="1" applyProtection="1">
      <alignment horizontal="right" vertical="center" wrapText="1"/>
      <protection hidden="1"/>
    </xf>
    <xf numFmtId="0" fontId="21" fillId="0" borderId="16" xfId="0" applyFont="1" applyBorder="1"/>
    <xf numFmtId="0" fontId="21" fillId="0" borderId="16" xfId="0" applyFont="1" applyBorder="1" applyAlignment="1">
      <alignment vertical="top"/>
    </xf>
    <xf numFmtId="49" fontId="0" fillId="0" borderId="17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wrapText="1"/>
    </xf>
    <xf numFmtId="0" fontId="21" fillId="0" borderId="16" xfId="0" applyFont="1" applyBorder="1" applyAlignment="1">
      <alignment vertical="top" wrapText="1"/>
    </xf>
    <xf numFmtId="0" fontId="23" fillId="0" borderId="16" xfId="0" applyFont="1" applyBorder="1" applyAlignment="1">
      <alignment wrapText="1"/>
    </xf>
    <xf numFmtId="0" fontId="0" fillId="0" borderId="16" xfId="0" applyFont="1" applyBorder="1" applyAlignment="1">
      <alignment horizontal="left" vertical="top" wrapText="1"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/>
    <xf numFmtId="0" fontId="0" fillId="0" borderId="0" xfId="0" applyBorder="1" applyAlignment="1" applyProtection="1">
      <alignment horizontal="left" vertical="top" wrapText="1"/>
      <protection locked="0"/>
    </xf>
    <xf numFmtId="0" fontId="18" fillId="0" borderId="0" xfId="0" applyFont="1"/>
    <xf numFmtId="0" fontId="25" fillId="0" borderId="0" xfId="0" applyFont="1"/>
    <xf numFmtId="0" fontId="15" fillId="0" borderId="0" xfId="0" applyFont="1"/>
    <xf numFmtId="0" fontId="28" fillId="0" borderId="0" xfId="0" applyFont="1"/>
    <xf numFmtId="0" fontId="29" fillId="0" borderId="0" xfId="0" applyFont="1"/>
    <xf numFmtId="0" fontId="14" fillId="0" borderId="0" xfId="0" applyFont="1" applyAlignment="1">
      <alignment horizontal="center" wrapText="1"/>
    </xf>
    <xf numFmtId="0" fontId="15" fillId="0" borderId="18" xfId="0" applyFont="1" applyBorder="1"/>
    <xf numFmtId="0" fontId="15" fillId="0" borderId="18" xfId="0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  <xf numFmtId="0" fontId="14" fillId="0" borderId="18" xfId="0" applyFont="1" applyBorder="1"/>
    <xf numFmtId="0" fontId="28" fillId="0" borderId="16" xfId="0" applyFont="1" applyBorder="1"/>
    <xf numFmtId="0" fontId="18" fillId="0" borderId="16" xfId="0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30" fillId="0" borderId="15" xfId="0" applyNumberFormat="1" applyFont="1" applyBorder="1" applyAlignment="1">
      <alignment horizontal="right"/>
    </xf>
    <xf numFmtId="0" fontId="14" fillId="0" borderId="21" xfId="0" applyFont="1" applyBorder="1"/>
    <xf numFmtId="0" fontId="31" fillId="0" borderId="16" xfId="0" applyFont="1" applyBorder="1"/>
    <xf numFmtId="0" fontId="15" fillId="0" borderId="16" xfId="0" applyFont="1" applyBorder="1" applyAlignment="1">
      <alignment horizontal="right"/>
    </xf>
    <xf numFmtId="3" fontId="15" fillId="0" borderId="16" xfId="0" applyNumberFormat="1" applyFont="1" applyBorder="1" applyAlignment="1">
      <alignment horizontal="right"/>
    </xf>
    <xf numFmtId="0" fontId="14" fillId="0" borderId="16" xfId="0" applyFont="1" applyBorder="1"/>
    <xf numFmtId="0" fontId="32" fillId="0" borderId="16" xfId="0" applyFont="1" applyBorder="1"/>
    <xf numFmtId="3" fontId="15" fillId="0" borderId="20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 horizontal="right"/>
    </xf>
    <xf numFmtId="0" fontId="15" fillId="0" borderId="21" xfId="0" applyFont="1" applyBorder="1"/>
    <xf numFmtId="0" fontId="11" fillId="0" borderId="0" xfId="0" applyFont="1"/>
    <xf numFmtId="0" fontId="15" fillId="0" borderId="16" xfId="0" applyNumberFormat="1" applyFont="1" applyFill="1" applyBorder="1"/>
    <xf numFmtId="0" fontId="34" fillId="0" borderId="16" xfId="0" applyFont="1" applyFill="1" applyBorder="1" applyAlignment="1">
      <alignment horizontal="right"/>
    </xf>
    <xf numFmtId="3" fontId="34" fillId="0" borderId="16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0" fontId="15" fillId="0" borderId="21" xfId="0" applyFont="1" applyFill="1" applyBorder="1"/>
    <xf numFmtId="2" fontId="15" fillId="0" borderId="0" xfId="0" applyNumberFormat="1" applyFont="1"/>
    <xf numFmtId="0" fontId="34" fillId="0" borderId="16" xfId="0" applyFont="1" applyFill="1" applyBorder="1"/>
    <xf numFmtId="0" fontId="15" fillId="0" borderId="0" xfId="0" applyFont="1" applyFill="1"/>
    <xf numFmtId="0" fontId="32" fillId="0" borderId="16" xfId="0" applyFont="1" applyFill="1" applyBorder="1"/>
    <xf numFmtId="3" fontId="24" fillId="0" borderId="15" xfId="0" applyNumberFormat="1" applyFont="1" applyFill="1" applyBorder="1" applyAlignment="1">
      <alignment horizontal="right"/>
    </xf>
    <xf numFmtId="0" fontId="37" fillId="0" borderId="16" xfId="0" applyFont="1" applyFill="1" applyBorder="1"/>
    <xf numFmtId="0" fontId="15" fillId="0" borderId="21" xfId="0" applyFont="1" applyFill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center"/>
    </xf>
    <xf numFmtId="0" fontId="15" fillId="5" borderId="16" xfId="0" applyFont="1" applyFill="1" applyBorder="1" applyAlignment="1">
      <alignment wrapText="1"/>
    </xf>
    <xf numFmtId="0" fontId="15" fillId="5" borderId="16" xfId="0" applyFont="1" applyFill="1" applyBorder="1" applyAlignment="1">
      <alignment horizontal="right"/>
    </xf>
    <xf numFmtId="3" fontId="15" fillId="5" borderId="16" xfId="0" applyNumberFormat="1" applyFont="1" applyFill="1" applyBorder="1" applyAlignment="1">
      <alignment horizontal="right"/>
    </xf>
    <xf numFmtId="0" fontId="15" fillId="5" borderId="21" xfId="0" applyFont="1" applyFill="1" applyBorder="1"/>
    <xf numFmtId="3" fontId="24" fillId="0" borderId="16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5" fillId="0" borderId="16" xfId="0" applyNumberFormat="1" applyFont="1" applyFill="1" applyBorder="1" applyAlignment="1">
      <alignment wrapText="1"/>
    </xf>
    <xf numFmtId="0" fontId="15" fillId="0" borderId="16" xfId="0" applyFont="1" applyBorder="1" applyAlignment="1">
      <alignment wrapText="1"/>
    </xf>
    <xf numFmtId="0" fontId="0" fillId="0" borderId="0" xfId="0" applyFill="1"/>
    <xf numFmtId="0" fontId="36" fillId="0" borderId="16" xfId="0" applyFont="1" applyBorder="1"/>
    <xf numFmtId="0" fontId="41" fillId="0" borderId="0" xfId="0" applyFont="1" applyFill="1"/>
    <xf numFmtId="0" fontId="42" fillId="0" borderId="0" xfId="0" applyFont="1" applyFill="1"/>
    <xf numFmtId="0" fontId="40" fillId="0" borderId="16" xfId="0" applyFont="1" applyBorder="1" applyAlignment="1">
      <alignment wrapText="1"/>
    </xf>
    <xf numFmtId="0" fontId="34" fillId="0" borderId="16" xfId="0" applyFont="1" applyBorder="1"/>
    <xf numFmtId="0" fontId="40" fillId="0" borderId="16" xfId="0" applyFont="1" applyFill="1" applyBorder="1" applyAlignment="1">
      <alignment wrapText="1"/>
    </xf>
    <xf numFmtId="1" fontId="15" fillId="0" borderId="16" xfId="0" applyNumberFormat="1" applyFont="1" applyFill="1" applyBorder="1" applyAlignment="1">
      <alignment wrapText="1"/>
    </xf>
    <xf numFmtId="0" fontId="11" fillId="0" borderId="16" xfId="0" applyFont="1" applyFill="1" applyBorder="1"/>
    <xf numFmtId="0" fontId="34" fillId="0" borderId="16" xfId="0" applyFont="1" applyBorder="1" applyAlignment="1">
      <alignment horizontal="right"/>
    </xf>
    <xf numFmtId="3" fontId="34" fillId="0" borderId="16" xfId="0" applyNumberFormat="1" applyFont="1" applyBorder="1" applyAlignment="1">
      <alignment horizontal="right"/>
    </xf>
    <xf numFmtId="3" fontId="24" fillId="0" borderId="15" xfId="0" applyNumberFormat="1" applyFont="1" applyBorder="1" applyAlignment="1">
      <alignment horizontal="right"/>
    </xf>
    <xf numFmtId="0" fontId="11" fillId="0" borderId="16" xfId="0" applyFont="1" applyBorder="1"/>
    <xf numFmtId="0" fontId="32" fillId="0" borderId="16" xfId="0" applyFont="1" applyFill="1" applyBorder="1" applyAlignment="1">
      <alignment wrapText="1"/>
    </xf>
    <xf numFmtId="168" fontId="15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0" fontId="39" fillId="0" borderId="16" xfId="0" applyFont="1" applyFill="1" applyBorder="1" applyAlignment="1">
      <alignment wrapText="1"/>
    </xf>
    <xf numFmtId="0" fontId="40" fillId="0" borderId="16" xfId="0" applyFont="1" applyFill="1" applyBorder="1" applyAlignment="1">
      <alignment horizontal="right"/>
    </xf>
    <xf numFmtId="3" fontId="40" fillId="0" borderId="16" xfId="0" applyNumberFormat="1" applyFont="1" applyFill="1" applyBorder="1" applyAlignment="1">
      <alignment horizontal="right"/>
    </xf>
    <xf numFmtId="0" fontId="39" fillId="0" borderId="16" xfId="0" applyFont="1" applyBorder="1"/>
    <xf numFmtId="0" fontId="40" fillId="0" borderId="16" xfId="0" applyFont="1" applyBorder="1"/>
    <xf numFmtId="0" fontId="40" fillId="0" borderId="16" xfId="0" applyFont="1" applyBorder="1" applyAlignment="1">
      <alignment horizontal="right"/>
    </xf>
    <xf numFmtId="3" fontId="40" fillId="0" borderId="16" xfId="0" applyNumberFormat="1" applyFont="1" applyBorder="1" applyAlignment="1">
      <alignment horizontal="right"/>
    </xf>
    <xf numFmtId="0" fontId="44" fillId="0" borderId="16" xfId="0" applyFont="1" applyFill="1" applyBorder="1"/>
    <xf numFmtId="0" fontId="45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50" fillId="0" borderId="0" xfId="20" applyFont="1" applyBorder="1" applyAlignment="1">
      <alignment horizontal="center" vertical="top" wrapText="1"/>
    </xf>
    <xf numFmtId="0" fontId="51" fillId="0" borderId="0" xfId="0" applyFont="1" applyBorder="1"/>
    <xf numFmtId="0" fontId="49" fillId="0" borderId="0" xfId="0" applyFont="1" applyBorder="1"/>
    <xf numFmtId="169" fontId="53" fillId="0" borderId="0" xfId="0" applyNumberFormat="1" applyFont="1"/>
    <xf numFmtId="170" fontId="54" fillId="0" borderId="0" xfId="0" applyNumberFormat="1" applyFont="1"/>
    <xf numFmtId="49" fontId="0" fillId="0" borderId="0" xfId="21" applyNumberFormat="1" applyFont="1" applyFill="1" applyAlignment="1" applyProtection="1">
      <alignment horizontal="center" vertical="center"/>
      <protection locked="0"/>
    </xf>
    <xf numFmtId="0" fontId="54" fillId="0" borderId="0" xfId="21" applyFont="1" applyFill="1" applyAlignment="1" applyProtection="1">
      <alignment horizontal="center" vertical="center"/>
      <protection locked="0"/>
    </xf>
    <xf numFmtId="0" fontId="0" fillId="0" borderId="0" xfId="21" applyFont="1" applyFill="1" applyAlignment="1" applyProtection="1">
      <alignment wrapText="1"/>
      <protection locked="0"/>
    </xf>
    <xf numFmtId="0" fontId="0" fillId="0" borderId="0" xfId="21" applyFont="1" applyFill="1" applyAlignment="1" applyProtection="1">
      <alignment horizontal="center" vertical="center" wrapText="1"/>
      <protection locked="0"/>
    </xf>
    <xf numFmtId="49" fontId="0" fillId="0" borderId="0" xfId="21" applyNumberFormat="1" applyFont="1" applyFill="1" applyBorder="1" applyAlignment="1" applyProtection="1">
      <alignment horizontal="center" vertical="center"/>
      <protection locked="0"/>
    </xf>
    <xf numFmtId="171" fontId="0" fillId="0" borderId="0" xfId="21" applyNumberFormat="1" applyFont="1" applyFill="1" applyProtection="1">
      <alignment/>
      <protection locked="0"/>
    </xf>
    <xf numFmtId="0" fontId="0" fillId="0" borderId="0" xfId="21" applyFont="1" applyFill="1">
      <alignment/>
      <protection/>
    </xf>
    <xf numFmtId="0" fontId="55" fillId="6" borderId="3" xfId="22" applyNumberFormat="1" applyFont="1" applyFill="1" applyBorder="1" applyAlignment="1" applyProtection="1">
      <alignment/>
      <protection/>
    </xf>
    <xf numFmtId="0" fontId="56" fillId="6" borderId="3" xfId="22" applyNumberFormat="1" applyFont="1" applyFill="1" applyBorder="1" applyAlignment="1" applyProtection="1">
      <alignment/>
      <protection/>
    </xf>
    <xf numFmtId="0" fontId="56" fillId="6" borderId="3" xfId="22" applyNumberFormat="1" applyFont="1" applyFill="1" applyBorder="1" applyAlignment="1" applyProtection="1">
      <alignment horizontal="center"/>
      <protection/>
    </xf>
    <xf numFmtId="171" fontId="56" fillId="6" borderId="3" xfId="22" applyNumberFormat="1" applyFont="1" applyFill="1" applyBorder="1" applyAlignment="1" applyProtection="1">
      <alignment horizontal="center"/>
      <protection/>
    </xf>
    <xf numFmtId="0" fontId="56" fillId="0" borderId="0" xfId="21" applyFont="1" applyFill="1">
      <alignment/>
      <protection/>
    </xf>
    <xf numFmtId="0" fontId="12" fillId="6" borderId="0" xfId="22" applyNumberFormat="1" applyFont="1" applyFill="1" applyBorder="1" applyAlignment="1" applyProtection="1">
      <alignment/>
      <protection/>
    </xf>
    <xf numFmtId="0" fontId="14" fillId="6" borderId="0" xfId="22" applyNumberFormat="1" applyFont="1" applyFill="1" applyBorder="1" applyAlignment="1" applyProtection="1">
      <alignment/>
      <protection/>
    </xf>
    <xf numFmtId="0" fontId="14" fillId="6" borderId="0" xfId="22" applyNumberFormat="1" applyFont="1" applyFill="1" applyBorder="1" applyAlignment="1" applyProtection="1">
      <alignment horizontal="center"/>
      <protection/>
    </xf>
    <xf numFmtId="171" fontId="14" fillId="6" borderId="0" xfId="22" applyNumberFormat="1" applyFont="1" applyFill="1" applyBorder="1" applyAlignment="1" applyProtection="1">
      <alignment horizontal="center"/>
      <protection/>
    </xf>
    <xf numFmtId="0" fontId="14" fillId="0" borderId="0" xfId="21" applyFont="1" applyFill="1">
      <alignment/>
      <protection/>
    </xf>
    <xf numFmtId="0" fontId="14" fillId="6" borderId="0" xfId="22" applyNumberFormat="1" applyFont="1" applyFill="1" applyBorder="1" applyAlignment="1" applyProtection="1">
      <alignment horizontal="left"/>
      <protection/>
    </xf>
    <xf numFmtId="171" fontId="14" fillId="6" borderId="0" xfId="22" applyNumberFormat="1" applyFont="1" applyFill="1" applyBorder="1" applyAlignment="1" applyProtection="1">
      <alignment horizontal="left"/>
      <protection/>
    </xf>
    <xf numFmtId="14" fontId="14" fillId="6" borderId="0" xfId="22" applyNumberFormat="1" applyFont="1" applyFill="1" applyBorder="1" applyAlignment="1" applyProtection="1">
      <alignment horizontal="left"/>
      <protection/>
    </xf>
    <xf numFmtId="0" fontId="14" fillId="6" borderId="5" xfId="22" applyNumberFormat="1" applyFont="1" applyFill="1" applyBorder="1" applyAlignment="1" applyProtection="1">
      <alignment/>
      <protection/>
    </xf>
    <xf numFmtId="0" fontId="14" fillId="6" borderId="5" xfId="22" applyNumberFormat="1" applyFont="1" applyFill="1" applyBorder="1" applyAlignment="1" applyProtection="1">
      <alignment horizontal="center"/>
      <protection/>
    </xf>
    <xf numFmtId="171" fontId="14" fillId="6" borderId="5" xfId="22" applyNumberFormat="1" applyFont="1" applyFill="1" applyBorder="1" applyAlignment="1" applyProtection="1">
      <alignment horizontal="center"/>
      <protection/>
    </xf>
    <xf numFmtId="1" fontId="14" fillId="0" borderId="0" xfId="21" applyNumberFormat="1" applyFont="1" applyFill="1">
      <alignment/>
      <protection/>
    </xf>
    <xf numFmtId="0" fontId="19" fillId="0" borderId="0" xfId="21" applyFont="1" applyFill="1">
      <alignment/>
      <protection/>
    </xf>
    <xf numFmtId="171" fontId="19" fillId="7" borderId="13" xfId="21" applyNumberFormat="1" applyFont="1" applyFill="1" applyBorder="1" applyAlignment="1" applyProtection="1">
      <alignment horizontal="center" vertical="center"/>
      <protection/>
    </xf>
    <xf numFmtId="171" fontId="19" fillId="7" borderId="2" xfId="21" applyNumberFormat="1" applyFont="1" applyFill="1" applyBorder="1" applyAlignment="1" applyProtection="1">
      <alignment horizontal="center" vertical="center"/>
      <protection/>
    </xf>
    <xf numFmtId="171" fontId="19" fillId="7" borderId="22" xfId="21" applyNumberFormat="1" applyFont="1" applyFill="1" applyBorder="1" applyAlignment="1" applyProtection="1">
      <alignment horizontal="center" vertical="center"/>
      <protection/>
    </xf>
    <xf numFmtId="49" fontId="52" fillId="0" borderId="0" xfId="21" applyNumberFormat="1" applyFont="1" applyFill="1" applyBorder="1" applyAlignment="1" applyProtection="1">
      <alignment horizontal="right" vertical="center"/>
      <protection/>
    </xf>
    <xf numFmtId="49" fontId="52" fillId="0" borderId="0" xfId="21" applyNumberFormat="1" applyFont="1" applyFill="1" applyAlignment="1" applyProtection="1">
      <alignment horizontal="right" vertical="center"/>
      <protection/>
    </xf>
    <xf numFmtId="49" fontId="58" fillId="0" borderId="0" xfId="21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14" fillId="0" borderId="5" xfId="21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49" fontId="19" fillId="7" borderId="23" xfId="21" applyNumberFormat="1" applyFont="1" applyFill="1" applyBorder="1" applyAlignment="1" applyProtection="1">
      <alignment horizontal="center" vertical="center"/>
      <protection/>
    </xf>
    <xf numFmtId="49" fontId="19" fillId="7" borderId="23" xfId="21" applyNumberFormat="1" applyFont="1" applyFill="1" applyBorder="1" applyAlignment="1" applyProtection="1">
      <alignment horizontal="center" vertical="center"/>
      <protection locked="0"/>
    </xf>
    <xf numFmtId="168" fontId="19" fillId="7" borderId="23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>
      <alignment/>
      <protection/>
    </xf>
    <xf numFmtId="49" fontId="14" fillId="0" borderId="0" xfId="21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2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21" applyNumberFormat="1" applyFont="1" applyFill="1" applyBorder="1" applyAlignment="1" applyProtection="1">
      <alignment horizontal="left" vertical="top" wrapText="1"/>
      <protection locked="0"/>
    </xf>
    <xf numFmtId="0" fontId="14" fillId="0" borderId="0" xfId="21" applyNumberFormat="1" applyFont="1" applyFill="1" applyBorder="1" applyAlignment="1" applyProtection="1">
      <alignment horizontal="center" vertical="top" wrapText="1"/>
      <protection locked="0"/>
    </xf>
    <xf numFmtId="0" fontId="14" fillId="0" borderId="0" xfId="21" applyFont="1" applyFill="1" applyBorder="1" applyAlignment="1" applyProtection="1">
      <alignment horizontal="center" vertical="top" wrapText="1" shrinkToFit="1"/>
      <protection locked="0"/>
    </xf>
    <xf numFmtId="168" fontId="14" fillId="0" borderId="0" xfId="21" applyNumberFormat="1" applyFont="1" applyFill="1" applyBorder="1" applyAlignment="1" applyProtection="1">
      <alignment horizontal="right" vertical="top" shrinkToFit="1"/>
      <protection/>
    </xf>
    <xf numFmtId="168" fontId="12" fillId="0" borderId="0" xfId="21" applyNumberFormat="1" applyFont="1" applyFill="1" applyBorder="1" applyAlignment="1" applyProtection="1">
      <alignment horizontal="right" vertical="top" shrinkToFit="1"/>
      <protection/>
    </xf>
    <xf numFmtId="0" fontId="14" fillId="0" borderId="0" xfId="21" applyFont="1" applyFill="1" applyBorder="1">
      <alignment/>
      <protection/>
    </xf>
    <xf numFmtId="49" fontId="57" fillId="0" borderId="5" xfId="0" applyNumberFormat="1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54" fillId="0" borderId="0" xfId="21" applyFont="1" applyFill="1" applyAlignment="1" applyProtection="1">
      <alignment wrapText="1"/>
      <protection locked="0"/>
    </xf>
    <xf numFmtId="170" fontId="54" fillId="0" borderId="0" xfId="21" applyNumberFormat="1" applyFont="1" applyFill="1" applyProtection="1">
      <alignment/>
      <protection locked="0"/>
    </xf>
    <xf numFmtId="0" fontId="0" fillId="0" borderId="0" xfId="0" applyFont="1"/>
    <xf numFmtId="0" fontId="15" fillId="0" borderId="0" xfId="0" applyFont="1" applyProtection="1">
      <protection locked="0"/>
    </xf>
    <xf numFmtId="0" fontId="36" fillId="0" borderId="0" xfId="0" applyFont="1"/>
    <xf numFmtId="0" fontId="24" fillId="0" borderId="0" xfId="0" applyFont="1" applyAlignment="1">
      <alignment horizontal="right"/>
    </xf>
    <xf numFmtId="14" fontId="15" fillId="0" borderId="0" xfId="0" applyNumberFormat="1" applyFont="1" applyAlignment="1">
      <alignment horizontal="right"/>
    </xf>
    <xf numFmtId="0" fontId="15" fillId="0" borderId="0" xfId="0" applyFont="1" applyBorder="1"/>
    <xf numFmtId="0" fontId="2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60" fillId="0" borderId="0" xfId="0" applyFont="1"/>
    <xf numFmtId="0" fontId="20" fillId="0" borderId="0" xfId="0" applyFont="1"/>
    <xf numFmtId="3" fontId="0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0" fontId="15" fillId="0" borderId="24" xfId="0" applyFont="1" applyFill="1" applyBorder="1" applyProtection="1">
      <protection locked="0"/>
    </xf>
    <xf numFmtId="0" fontId="0" fillId="0" borderId="24" xfId="0" applyFont="1" applyFill="1" applyBorder="1"/>
    <xf numFmtId="9" fontId="15" fillId="0" borderId="24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 applyProtection="1">
      <alignment/>
      <protection/>
    </xf>
    <xf numFmtId="0" fontId="15" fillId="0" borderId="24" xfId="0" applyFont="1" applyBorder="1"/>
    <xf numFmtId="4" fontId="15" fillId="0" borderId="0" xfId="0" applyNumberFormat="1" applyFont="1" applyFill="1" applyBorder="1" applyProtection="1">
      <protection/>
    </xf>
    <xf numFmtId="4" fontId="0" fillId="0" borderId="0" xfId="0" applyNumberFormat="1"/>
    <xf numFmtId="0" fontId="15" fillId="0" borderId="24" xfId="0" applyFont="1" applyBorder="1" applyAlignment="1">
      <alignment wrapText="1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ont="1" applyFill="1" applyBorder="1"/>
    <xf numFmtId="9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Border="1" applyAlignment="1" applyProtection="1">
      <alignment horizontal="right"/>
      <protection/>
    </xf>
    <xf numFmtId="9" fontId="15" fillId="0" borderId="0" xfId="0" applyNumberFormat="1" applyFont="1" applyBorder="1"/>
    <xf numFmtId="0" fontId="24" fillId="0" borderId="0" xfId="0" applyFont="1" applyBorder="1" applyAlignment="1">
      <alignment horizontal="right"/>
    </xf>
    <xf numFmtId="0" fontId="54" fillId="0" borderId="0" xfId="0" applyFont="1" applyAlignment="1">
      <alignment horizontal="right" wrapText="1"/>
    </xf>
    <xf numFmtId="4" fontId="15" fillId="0" borderId="0" xfId="0" applyNumberFormat="1" applyFont="1"/>
    <xf numFmtId="0" fontId="59" fillId="0" borderId="0" xfId="0" applyFont="1" applyFill="1" applyAlignment="1">
      <alignment horizontal="right" vertical="top"/>
    </xf>
    <xf numFmtId="0" fontId="19" fillId="0" borderId="0" xfId="0" applyFont="1" applyFill="1"/>
    <xf numFmtId="0" fontId="11" fillId="0" borderId="25" xfId="0" applyFont="1" applyFill="1" applyBorder="1" applyAlignment="1">
      <alignment horizontal="right" vertical="center" wrapText="1"/>
    </xf>
    <xf numFmtId="172" fontId="11" fillId="0" borderId="0" xfId="0" applyNumberFormat="1" applyFont="1" applyFill="1" applyBorder="1"/>
    <xf numFmtId="0" fontId="61" fillId="0" borderId="24" xfId="0" applyFont="1" applyBorder="1" applyAlignment="1">
      <alignment wrapText="1"/>
    </xf>
    <xf numFmtId="0" fontId="61" fillId="0" borderId="2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right" vertical="center" wrapText="1"/>
    </xf>
    <xf numFmtId="0" fontId="15" fillId="0" borderId="31" xfId="0" applyFont="1" applyBorder="1" applyAlignment="1" applyProtection="1">
      <alignment horizontal="left"/>
      <protection locked="0"/>
    </xf>
    <xf numFmtId="0" fontId="15" fillId="0" borderId="32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 horizontal="center"/>
    </xf>
    <xf numFmtId="172" fontId="15" fillId="0" borderId="33" xfId="0" applyNumberFormat="1" applyFont="1" applyFill="1" applyBorder="1" applyAlignment="1" applyProtection="1">
      <alignment horizontal="right"/>
      <protection/>
    </xf>
    <xf numFmtId="172" fontId="15" fillId="0" borderId="34" xfId="0" applyNumberFormat="1" applyFont="1" applyFill="1" applyBorder="1" applyAlignment="1" applyProtection="1">
      <alignment horizontal="right"/>
      <protection/>
    </xf>
    <xf numFmtId="0" fontId="15" fillId="0" borderId="35" xfId="0" applyFont="1" applyBorder="1" applyAlignment="1" applyProtection="1">
      <alignment horizontal="left"/>
      <protection locked="0"/>
    </xf>
    <xf numFmtId="172" fontId="15" fillId="0" borderId="36" xfId="0" applyNumberFormat="1" applyFont="1" applyFill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38" xfId="0" applyFont="1" applyBorder="1"/>
    <xf numFmtId="0" fontId="15" fillId="0" borderId="38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>
      <alignment horizontal="center"/>
    </xf>
    <xf numFmtId="172" fontId="15" fillId="0" borderId="39" xfId="0" applyNumberFormat="1" applyFont="1" applyFill="1" applyBorder="1" applyAlignment="1" applyProtection="1">
      <alignment horizontal="right"/>
      <protection/>
    </xf>
    <xf numFmtId="49" fontId="3" fillId="8" borderId="10" xfId="0" applyNumberFormat="1" applyFont="1" applyFill="1" applyBorder="1" applyAlignment="1" applyProtection="1">
      <alignment horizontal="left" vertical="center"/>
      <protection/>
    </xf>
    <xf numFmtId="0" fontId="11" fillId="0" borderId="28" xfId="0" applyFont="1" applyFill="1" applyBorder="1" applyAlignment="1">
      <alignment horizontal="right" vertical="center" wrapText="1"/>
    </xf>
    <xf numFmtId="0" fontId="15" fillId="0" borderId="32" xfId="0" applyFont="1" applyFill="1" applyBorder="1" applyProtection="1">
      <protection locked="0"/>
    </xf>
    <xf numFmtId="0" fontId="0" fillId="0" borderId="32" xfId="0" applyFont="1" applyFill="1" applyBorder="1"/>
    <xf numFmtId="9" fontId="15" fillId="0" borderId="32" xfId="0" applyNumberFormat="1" applyFont="1" applyBorder="1" applyAlignment="1">
      <alignment horizontal="right"/>
    </xf>
    <xf numFmtId="172" fontId="15" fillId="0" borderId="9" xfId="0" applyNumberFormat="1" applyFont="1" applyBorder="1" applyAlignment="1">
      <alignment horizontal="right"/>
    </xf>
    <xf numFmtId="0" fontId="15" fillId="0" borderId="38" xfId="0" applyFont="1" applyFill="1" applyBorder="1" applyProtection="1">
      <protection locked="0"/>
    </xf>
    <xf numFmtId="0" fontId="0" fillId="0" borderId="38" xfId="0" applyFont="1" applyFill="1" applyBorder="1"/>
    <xf numFmtId="9" fontId="15" fillId="0" borderId="38" xfId="0" applyNumberFormat="1" applyFont="1" applyBorder="1" applyAlignment="1">
      <alignment horizontal="right"/>
    </xf>
    <xf numFmtId="170" fontId="63" fillId="0" borderId="0" xfId="21" applyNumberFormat="1" applyFont="1" applyFill="1" applyProtection="1">
      <alignment/>
      <protection locked="0"/>
    </xf>
    <xf numFmtId="0" fontId="21" fillId="0" borderId="16" xfId="0" applyFont="1" applyFill="1" applyBorder="1" applyAlignment="1">
      <alignment horizontal="left" vertical="center"/>
    </xf>
    <xf numFmtId="49" fontId="3" fillId="8" borderId="10" xfId="0" applyNumberFormat="1" applyFont="1" applyFill="1" applyBorder="1" applyAlignment="1">
      <alignment horizontal="left" vertical="center"/>
    </xf>
    <xf numFmtId="0" fontId="15" fillId="0" borderId="16" xfId="0" applyFont="1" applyFill="1" applyBorder="1"/>
    <xf numFmtId="165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9" fontId="3" fillId="2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Font="1" applyBorder="1" applyAlignment="1">
      <alignment vertical="center"/>
    </xf>
    <xf numFmtId="4" fontId="3" fillId="8" borderId="12" xfId="0" applyNumberFormat="1" applyFont="1" applyFill="1" applyBorder="1" applyAlignment="1" applyProtection="1">
      <alignment horizontal="right" vertical="center"/>
      <protection/>
    </xf>
    <xf numFmtId="0" fontId="3" fillId="0" borderId="4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1" fillId="0" borderId="29" xfId="0" applyFont="1" applyFill="1" applyBorder="1" applyAlignment="1">
      <alignment horizontal="right" vertical="center" wrapText="1"/>
    </xf>
    <xf numFmtId="39" fontId="14" fillId="9" borderId="15" xfId="0" applyNumberFormat="1" applyFont="1" applyFill="1" applyBorder="1" applyAlignment="1" applyProtection="1">
      <alignment horizontal="right"/>
      <protection locked="0"/>
    </xf>
    <xf numFmtId="39" fontId="17" fillId="9" borderId="15" xfId="0" applyNumberFormat="1" applyFont="1" applyFill="1" applyBorder="1" applyAlignment="1" applyProtection="1">
      <alignment horizontal="right"/>
      <protection locked="0"/>
    </xf>
    <xf numFmtId="4" fontId="0" fillId="9" borderId="18" xfId="0" applyNumberFormat="1" applyFill="1" applyBorder="1" applyAlignment="1" applyProtection="1">
      <alignment horizontal="right" vertical="center" wrapText="1"/>
      <protection locked="0"/>
    </xf>
    <xf numFmtId="4" fontId="0" fillId="9" borderId="18" xfId="0" applyNumberFormat="1" applyFill="1" applyBorder="1" applyAlignment="1" applyProtection="1">
      <alignment horizontal="right" vertical="center" wrapText="1"/>
      <protection hidden="1"/>
    </xf>
    <xf numFmtId="3" fontId="15" fillId="9" borderId="16" xfId="0" applyNumberFormat="1" applyFont="1" applyFill="1" applyBorder="1" applyAlignment="1">
      <alignment horizontal="right"/>
    </xf>
    <xf numFmtId="0" fontId="15" fillId="9" borderId="16" xfId="0" applyFont="1" applyFill="1" applyBorder="1"/>
    <xf numFmtId="168" fontId="14" fillId="9" borderId="0" xfId="21" applyNumberFormat="1" applyFont="1" applyFill="1" applyBorder="1" applyAlignment="1" applyProtection="1">
      <alignment horizontal="right" vertical="top" shrinkToFit="1"/>
      <protection/>
    </xf>
    <xf numFmtId="0" fontId="0" fillId="9" borderId="0" xfId="0" applyFill="1" applyAlignment="1">
      <alignment horizontal="left" vertical="center"/>
    </xf>
    <xf numFmtId="172" fontId="15" fillId="9" borderId="0" xfId="0" applyNumberFormat="1" applyFont="1" applyFill="1" applyBorder="1" applyAlignment="1">
      <alignment horizontal="right"/>
    </xf>
    <xf numFmtId="172" fontId="15" fillId="9" borderId="11" xfId="0" applyNumberFormat="1" applyFont="1" applyFill="1" applyBorder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0" fontId="62" fillId="0" borderId="26" xfId="0" applyFont="1" applyFill="1" applyBorder="1" applyAlignment="1">
      <alignment wrapText="1"/>
    </xf>
    <xf numFmtId="0" fontId="15" fillId="0" borderId="24" xfId="0" applyFont="1" applyFill="1" applyBorder="1"/>
    <xf numFmtId="0" fontId="61" fillId="0" borderId="24" xfId="0" applyFont="1" applyFill="1" applyBorder="1" applyAlignment="1">
      <alignment wrapText="1"/>
    </xf>
    <xf numFmtId="0" fontId="61" fillId="0" borderId="26" xfId="0" applyFont="1" applyFill="1" applyBorder="1" applyAlignment="1">
      <alignment wrapText="1"/>
    </xf>
    <xf numFmtId="0" fontId="11" fillId="0" borderId="32" xfId="0" applyFont="1" applyFill="1" applyBorder="1"/>
    <xf numFmtId="0" fontId="11" fillId="0" borderId="24" xfId="0" applyFont="1" applyFill="1" applyBorder="1"/>
    <xf numFmtId="171" fontId="19" fillId="0" borderId="13" xfId="21" applyNumberFormat="1" applyFont="1" applyFill="1" applyBorder="1" applyAlignment="1" applyProtection="1">
      <alignment horizontal="center" vertical="center"/>
      <protection/>
    </xf>
    <xf numFmtId="171" fontId="19" fillId="0" borderId="2" xfId="21" applyNumberFormat="1" applyFont="1" applyFill="1" applyBorder="1" applyAlignment="1" applyProtection="1">
      <alignment horizontal="center" vertical="center"/>
      <protection/>
    </xf>
    <xf numFmtId="171" fontId="19" fillId="0" borderId="22" xfId="21" applyNumberFormat="1" applyFont="1" applyFill="1" applyBorder="1" applyAlignment="1" applyProtection="1">
      <alignment horizontal="center" vertical="center"/>
      <protection/>
    </xf>
    <xf numFmtId="49" fontId="19" fillId="0" borderId="23" xfId="21" applyNumberFormat="1" applyFont="1" applyFill="1" applyBorder="1" applyAlignment="1" applyProtection="1">
      <alignment horizontal="center" vertical="center"/>
      <protection/>
    </xf>
    <xf numFmtId="49" fontId="19" fillId="0" borderId="23" xfId="21" applyNumberFormat="1" applyFont="1" applyFill="1" applyBorder="1" applyAlignment="1" applyProtection="1">
      <alignment horizontal="center" vertical="center"/>
      <protection locked="0"/>
    </xf>
    <xf numFmtId="168" fontId="19" fillId="0" borderId="23" xfId="21" applyNumberFormat="1" applyFont="1" applyFill="1" applyBorder="1" applyAlignment="1" applyProtection="1">
      <alignment horizontal="right" vertical="center"/>
      <protection/>
    </xf>
    <xf numFmtId="0" fontId="55" fillId="0" borderId="3" xfId="22" applyNumberFormat="1" applyFont="1" applyFill="1" applyBorder="1" applyAlignment="1" applyProtection="1">
      <alignment/>
      <protection/>
    </xf>
    <xf numFmtId="0" fontId="12" fillId="0" borderId="0" xfId="22" applyNumberFormat="1" applyFont="1" applyFill="1" applyBorder="1" applyAlignment="1" applyProtection="1">
      <alignment/>
      <protection/>
    </xf>
    <xf numFmtId="0" fontId="55" fillId="0" borderId="3" xfId="22" applyNumberFormat="1" applyFont="1" applyFill="1" applyBorder="1" applyAlignment="1" applyProtection="1">
      <alignment horizontal="center"/>
      <protection/>
    </xf>
    <xf numFmtId="171" fontId="55" fillId="0" borderId="3" xfId="22" applyNumberFormat="1" applyFont="1" applyFill="1" applyBorder="1" applyAlignment="1" applyProtection="1">
      <alignment horizontal="center"/>
      <protection/>
    </xf>
    <xf numFmtId="0" fontId="12" fillId="0" borderId="0" xfId="22" applyNumberFormat="1" applyFont="1" applyFill="1" applyBorder="1" applyAlignment="1" applyProtection="1">
      <alignment horizontal="center"/>
      <protection/>
    </xf>
    <xf numFmtId="171" fontId="12" fillId="0" borderId="0" xfId="22" applyNumberFormat="1" applyFont="1" applyFill="1" applyBorder="1" applyAlignment="1" applyProtection="1">
      <alignment horizontal="center"/>
      <protection/>
    </xf>
    <xf numFmtId="0" fontId="12" fillId="0" borderId="0" xfId="22" applyNumberFormat="1" applyFont="1" applyFill="1" applyBorder="1" applyAlignment="1" applyProtection="1">
      <alignment horizontal="left"/>
      <protection/>
    </xf>
    <xf numFmtId="171" fontId="12" fillId="0" borderId="0" xfId="22" applyNumberFormat="1" applyFont="1" applyFill="1" applyBorder="1" applyAlignment="1" applyProtection="1">
      <alignment horizontal="left"/>
      <protection/>
    </xf>
    <xf numFmtId="14" fontId="12" fillId="0" borderId="0" xfId="22" applyNumberFormat="1" applyFont="1" applyFill="1" applyBorder="1" applyAlignment="1" applyProtection="1">
      <alignment horizontal="left"/>
      <protection/>
    </xf>
    <xf numFmtId="0" fontId="12" fillId="0" borderId="5" xfId="22" applyNumberFormat="1" applyFont="1" applyFill="1" applyBorder="1" applyAlignment="1" applyProtection="1">
      <alignment/>
      <protection/>
    </xf>
    <xf numFmtId="0" fontId="12" fillId="0" borderId="5" xfId="22" applyNumberFormat="1" applyFont="1" applyFill="1" applyBorder="1" applyAlignment="1" applyProtection="1">
      <alignment horizontal="center"/>
      <protection/>
    </xf>
    <xf numFmtId="171" fontId="12" fillId="0" borderId="5" xfId="22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 vertical="center"/>
    </xf>
    <xf numFmtId="0" fontId="0" fillId="0" borderId="0" xfId="0" applyFont="1"/>
    <xf numFmtId="170" fontId="0" fillId="0" borderId="0" xfId="0" applyNumberFormat="1" applyFont="1"/>
    <xf numFmtId="4" fontId="2" fillId="0" borderId="23" xfId="20" applyNumberFormat="1" applyFont="1" applyBorder="1" applyAlignment="1">
      <alignment horizontal="right" vertical="center" wrapText="1"/>
    </xf>
    <xf numFmtId="0" fontId="23" fillId="0" borderId="23" xfId="20" applyFont="1" applyBorder="1" applyAlignment="1">
      <alignment vertical="top" wrapText="1"/>
    </xf>
    <xf numFmtId="0" fontId="19" fillId="0" borderId="45" xfId="0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wrapText="1"/>
    </xf>
    <xf numFmtId="3" fontId="19" fillId="0" borderId="46" xfId="0" applyNumberFormat="1" applyFont="1" applyFill="1" applyBorder="1" applyAlignment="1">
      <alignment horizontal="center" wrapText="1"/>
    </xf>
    <xf numFmtId="0" fontId="19" fillId="0" borderId="47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0" fillId="0" borderId="16" xfId="0" applyNumberFormat="1" applyFill="1" applyBorder="1"/>
    <xf numFmtId="0" fontId="0" fillId="0" borderId="16" xfId="0" applyFill="1" applyBorder="1"/>
    <xf numFmtId="0" fontId="0" fillId="0" borderId="18" xfId="0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hidden="1"/>
    </xf>
    <xf numFmtId="0" fontId="64" fillId="0" borderId="0" xfId="0" applyFont="1" applyAlignment="1" applyProtection="1">
      <alignment horizontal="left"/>
      <protection/>
    </xf>
    <xf numFmtId="0" fontId="65" fillId="0" borderId="1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left" vertical="top"/>
      <protection locked="0"/>
    </xf>
    <xf numFmtId="4" fontId="3" fillId="9" borderId="13" xfId="0" applyNumberFormat="1" applyFont="1" applyFill="1" applyBorder="1" applyAlignment="1" applyProtection="1">
      <alignment horizontal="right" vertical="center"/>
      <protection/>
    </xf>
    <xf numFmtId="4" fontId="3" fillId="9" borderId="2" xfId="0" applyNumberFormat="1" applyFont="1" applyFill="1" applyBorder="1" applyAlignment="1" applyProtection="1">
      <alignment horizontal="right" vertical="center"/>
      <protection/>
    </xf>
    <xf numFmtId="4" fontId="3" fillId="9" borderId="14" xfId="0" applyNumberFormat="1" applyFont="1" applyFill="1" applyBorder="1" applyAlignment="1" applyProtection="1">
      <alignment horizontal="right" vertical="center"/>
      <protection/>
    </xf>
    <xf numFmtId="4" fontId="3" fillId="9" borderId="10" xfId="0" applyNumberFormat="1" applyFont="1" applyFill="1" applyBorder="1" applyAlignment="1" applyProtection="1">
      <alignment horizontal="right" vertical="center"/>
      <protection/>
    </xf>
    <xf numFmtId="4" fontId="3" fillId="10" borderId="10" xfId="0" applyNumberFormat="1" applyFont="1" applyFill="1" applyBorder="1" applyAlignment="1" applyProtection="1">
      <alignment horizontal="right" vertical="center"/>
      <protection/>
    </xf>
    <xf numFmtId="4" fontId="3" fillId="9" borderId="10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4" fontId="2" fillId="0" borderId="51" xfId="0" applyNumberFormat="1" applyFont="1" applyFill="1" applyBorder="1" applyAlignment="1" applyProtection="1">
      <alignment horizontal="right" vertical="center"/>
      <protection/>
    </xf>
    <xf numFmtId="49" fontId="8" fillId="0" borderId="52" xfId="0" applyNumberFormat="1" applyFont="1" applyBorder="1" applyAlignment="1" applyProtection="1">
      <alignment horizontal="left" vertical="center"/>
      <protection/>
    </xf>
    <xf numFmtId="49" fontId="8" fillId="0" borderId="53" xfId="0" applyNumberFormat="1" applyFont="1" applyBorder="1" applyAlignment="1" applyProtection="1">
      <alignment horizontal="left" vertical="center"/>
      <protection/>
    </xf>
    <xf numFmtId="49" fontId="8" fillId="0" borderId="54" xfId="0" applyNumberFormat="1" applyFont="1" applyBorder="1" applyAlignment="1" applyProtection="1">
      <alignment horizontal="left" vertical="center"/>
      <protection/>
    </xf>
    <xf numFmtId="49" fontId="7" fillId="2" borderId="22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Border="1" applyAlignment="1" applyProtection="1">
      <alignment horizontal="left" vertical="center"/>
      <protection/>
    </xf>
    <xf numFmtId="49" fontId="8" fillId="0" borderId="2" xfId="0" applyNumberFormat="1" applyFont="1" applyBorder="1" applyAlignment="1" applyProtection="1">
      <alignment horizontal="left" vertical="center"/>
      <protection/>
    </xf>
    <xf numFmtId="49" fontId="7" fillId="0" borderId="2" xfId="0" applyNumberFormat="1" applyFont="1" applyBorder="1" applyAlignment="1" applyProtection="1">
      <alignment horizontal="center" vertical="center"/>
      <protection/>
    </xf>
    <xf numFmtId="4" fontId="8" fillId="0" borderId="2" xfId="0" applyNumberFormat="1" applyFont="1" applyBorder="1" applyAlignment="1" applyProtection="1">
      <alignment horizontal="right" vertical="center"/>
      <protection/>
    </xf>
    <xf numFmtId="49" fontId="8" fillId="0" borderId="2" xfId="0" applyNumberFormat="1" applyFont="1" applyBorder="1" applyAlignment="1" applyProtection="1">
      <alignment horizontal="left" vertical="center" wrapText="1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left" vertical="center"/>
      <protection/>
    </xf>
    <xf numFmtId="49" fontId="3" fillId="0" borderId="55" xfId="0" applyNumberFormat="1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left" vertical="center" wrapText="1"/>
      <protection/>
    </xf>
    <xf numFmtId="0" fontId="3" fillId="9" borderId="5" xfId="0" applyFont="1" applyFill="1" applyBorder="1" applyAlignment="1" applyProtection="1">
      <alignment horizontal="left" vertical="center" wrapText="1"/>
      <protection/>
    </xf>
    <xf numFmtId="49" fontId="3" fillId="0" borderId="5" xfId="0" applyNumberFormat="1" applyFont="1" applyBorder="1" applyAlignment="1" applyProtection="1">
      <alignment horizontal="left" vertical="center"/>
      <protection/>
    </xf>
    <xf numFmtId="49" fontId="3" fillId="0" borderId="57" xfId="0" applyNumberFormat="1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9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3" fillId="9" borderId="55" xfId="0" applyNumberFormat="1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wrapText="1"/>
      <protection/>
    </xf>
    <xf numFmtId="49" fontId="2" fillId="0" borderId="58" xfId="0" applyNumberFormat="1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0" fontId="3" fillId="9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49" fontId="3" fillId="9" borderId="1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9" fontId="3" fillId="0" borderId="2" xfId="0" applyNumberFormat="1" applyFont="1" applyBorder="1" applyAlignment="1" applyProtection="1">
      <alignment horizontal="left" vertical="center"/>
      <protection/>
    </xf>
    <xf numFmtId="49" fontId="3" fillId="0" borderId="14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>
      <alignment horizontal="right" vertical="center"/>
    </xf>
    <xf numFmtId="167" fontId="54" fillId="0" borderId="15" xfId="0" applyNumberFormat="1" applyFont="1" applyFill="1" applyBorder="1" applyAlignment="1">
      <alignment horizontal="right" vertical="center"/>
    </xf>
    <xf numFmtId="0" fontId="19" fillId="0" borderId="24" xfId="0" applyFont="1" applyBorder="1" applyAlignment="1" applyProtection="1">
      <alignment horizontal="right"/>
      <protection locked="0"/>
    </xf>
    <xf numFmtId="0" fontId="19" fillId="0" borderId="17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7" fillId="0" borderId="19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35" fillId="0" borderId="16" xfId="0" applyFont="1" applyFill="1" applyBorder="1" applyAlignment="1">
      <alignment horizontal="left" vertical="center" wrapText="1"/>
    </xf>
    <xf numFmtId="169" fontId="47" fillId="0" borderId="59" xfId="20" applyNumberFormat="1" applyFont="1" applyBorder="1" applyAlignment="1">
      <alignment horizontal="right" vertical="center" wrapText="1"/>
    </xf>
    <xf numFmtId="0" fontId="47" fillId="0" borderId="59" xfId="20" applyFont="1" applyBorder="1" applyAlignment="1">
      <alignment horizontal="right" vertical="center" wrapText="1"/>
    </xf>
    <xf numFmtId="0" fontId="47" fillId="0" borderId="0" xfId="20" applyFont="1" applyBorder="1" applyAlignment="1">
      <alignment vertical="top" wrapText="1"/>
    </xf>
    <xf numFmtId="0" fontId="48" fillId="0" borderId="0" xfId="20" applyFont="1" applyBorder="1" applyAlignment="1">
      <alignment horizontal="right" vertical="top" wrapText="1"/>
    </xf>
    <xf numFmtId="0" fontId="47" fillId="0" borderId="0" xfId="20" applyFont="1" applyBorder="1" applyAlignment="1">
      <alignment vertical="top" wrapText="1"/>
    </xf>
    <xf numFmtId="0" fontId="7" fillId="3" borderId="0" xfId="20" applyFont="1" applyFill="1" applyBorder="1" applyAlignment="1">
      <alignment horizontal="right" vertical="top" wrapText="1"/>
    </xf>
    <xf numFmtId="0" fontId="8" fillId="3" borderId="0" xfId="20" applyFont="1" applyFill="1" applyBorder="1" applyAlignment="1">
      <alignment vertical="top" wrapText="1"/>
    </xf>
    <xf numFmtId="0" fontId="48" fillId="0" borderId="0" xfId="20" applyFont="1" applyBorder="1" applyAlignment="1">
      <alignment vertical="top" wrapText="1"/>
    </xf>
    <xf numFmtId="0" fontId="48" fillId="0" borderId="0" xfId="20" applyFont="1" applyBorder="1" applyAlignment="1">
      <alignment vertical="top" wrapText="1"/>
    </xf>
    <xf numFmtId="169" fontId="48" fillId="9" borderId="0" xfId="20" applyNumberFormat="1" applyFont="1" applyFill="1" applyBorder="1" applyAlignment="1">
      <alignment horizontal="right" vertical="top" wrapText="1"/>
    </xf>
    <xf numFmtId="169" fontId="48" fillId="0" borderId="0" xfId="20" applyNumberFormat="1" applyFont="1" applyBorder="1" applyAlignment="1">
      <alignment horizontal="right" vertical="top" wrapText="1"/>
    </xf>
    <xf numFmtId="169" fontId="48" fillId="0" borderId="59" xfId="20" applyNumberFormat="1" applyFont="1" applyBorder="1" applyAlignment="1">
      <alignment horizontal="right" vertical="top" wrapText="1"/>
    </xf>
    <xf numFmtId="0" fontId="47" fillId="0" borderId="59" xfId="20" applyFont="1" applyBorder="1" applyAlignment="1">
      <alignment vertical="center" wrapText="1"/>
    </xf>
    <xf numFmtId="0" fontId="50" fillId="0" borderId="0" xfId="20" applyFont="1" applyBorder="1" applyAlignment="1">
      <alignment horizontal="left" vertical="top" wrapText="1"/>
    </xf>
    <xf numFmtId="169" fontId="48" fillId="0" borderId="60" xfId="20" applyNumberFormat="1" applyFont="1" applyBorder="1" applyAlignment="1">
      <alignment horizontal="right" vertical="top" wrapText="1"/>
    </xf>
    <xf numFmtId="169" fontId="48" fillId="0" borderId="61" xfId="20" applyNumberFormat="1" applyFont="1" applyBorder="1" applyAlignment="1">
      <alignment horizontal="right" vertical="top" wrapText="1"/>
    </xf>
    <xf numFmtId="0" fontId="47" fillId="0" borderId="59" xfId="20" applyFont="1" applyBorder="1" applyAlignment="1">
      <alignment horizontal="right" vertical="top" wrapText="1"/>
    </xf>
    <xf numFmtId="0" fontId="47" fillId="0" borderId="59" xfId="20" applyFont="1" applyBorder="1" applyAlignment="1">
      <alignment vertical="top" wrapText="1"/>
    </xf>
    <xf numFmtId="0" fontId="2" fillId="0" borderId="23" xfId="20" applyFont="1" applyBorder="1" applyAlignment="1">
      <alignment horizontal="left" vertical="center" wrapText="1"/>
    </xf>
    <xf numFmtId="0" fontId="2" fillId="0" borderId="23" xfId="20" applyFont="1" applyBorder="1" applyAlignment="1">
      <alignment vertical="center" wrapText="1"/>
    </xf>
    <xf numFmtId="0" fontId="52" fillId="0" borderId="0" xfId="0" applyFont="1" applyBorder="1" applyAlignment="1">
      <alignment wrapText="1"/>
    </xf>
    <xf numFmtId="169" fontId="2" fillId="0" borderId="0" xfId="20" applyNumberFormat="1" applyFont="1" applyBorder="1" applyAlignment="1">
      <alignment horizontal="right" vertical="top" wrapText="1"/>
    </xf>
    <xf numFmtId="0" fontId="2" fillId="0" borderId="0" xfId="20" applyFont="1" applyBorder="1" applyAlignment="1">
      <alignment horizontal="right" vertical="top" wrapText="1"/>
    </xf>
    <xf numFmtId="0" fontId="3" fillId="0" borderId="0" xfId="20" applyFont="1" applyBorder="1" applyAlignment="1">
      <alignment horizontal="right" vertical="top" wrapText="1"/>
    </xf>
    <xf numFmtId="0" fontId="3" fillId="0" borderId="0" xfId="20" applyFont="1" applyBorder="1" applyAlignment="1">
      <alignment vertical="top" wrapText="1"/>
    </xf>
    <xf numFmtId="0" fontId="2" fillId="0" borderId="0" xfId="20" applyFont="1" applyBorder="1" applyAlignment="1">
      <alignment horizontal="left" vertical="top" wrapText="1"/>
    </xf>
    <xf numFmtId="0" fontId="2" fillId="0" borderId="0" xfId="20" applyFont="1" applyBorder="1" applyAlignment="1">
      <alignment vertical="top" wrapText="1"/>
    </xf>
    <xf numFmtId="169" fontId="2" fillId="0" borderId="0" xfId="20" applyNumberFormat="1" applyFont="1" applyBorder="1" applyAlignment="1">
      <alignment horizontal="right" vertical="top" wrapText="1"/>
    </xf>
    <xf numFmtId="0" fontId="2" fillId="0" borderId="0" xfId="20" applyFont="1" applyBorder="1" applyAlignment="1">
      <alignment horizontal="right" vertical="top" wrapText="1"/>
    </xf>
    <xf numFmtId="0" fontId="7" fillId="0" borderId="0" xfId="20" applyFont="1" applyBorder="1" applyAlignment="1">
      <alignment horizontal="center" vertical="top" wrapText="1"/>
    </xf>
    <xf numFmtId="0" fontId="47" fillId="0" borderId="23" xfId="20" applyFont="1" applyBorder="1" applyAlignment="1">
      <alignment horizontal="right" vertical="top" wrapText="1"/>
    </xf>
    <xf numFmtId="0" fontId="47" fillId="0" borderId="23" xfId="20" applyFont="1" applyBorder="1" applyAlignment="1">
      <alignment vertical="top" wrapText="1"/>
    </xf>
    <xf numFmtId="0" fontId="19" fillId="7" borderId="2" xfId="0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171" fontId="19" fillId="7" borderId="2" xfId="21" applyNumberFormat="1" applyFont="1" applyFill="1" applyBorder="1" applyAlignment="1" applyProtection="1">
      <alignment horizontal="center" vertical="center"/>
      <protection/>
    </xf>
    <xf numFmtId="171" fontId="19" fillId="7" borderId="5" xfId="21" applyNumberFormat="1" applyFont="1" applyFill="1" applyBorder="1" applyAlignment="1" applyProtection="1">
      <alignment horizontal="center" vertical="center"/>
      <protection/>
    </xf>
    <xf numFmtId="0" fontId="14" fillId="6" borderId="0" xfId="22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14" fontId="14" fillId="6" borderId="0" xfId="22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1" fontId="14" fillId="0" borderId="23" xfId="21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9" fillId="7" borderId="6" xfId="21" applyNumberFormat="1" applyFont="1" applyFill="1" applyBorder="1" applyAlignment="1">
      <alignment horizontal="center" vertical="center"/>
      <protection/>
    </xf>
    <xf numFmtId="0" fontId="19" fillId="7" borderId="6" xfId="0" applyFont="1" applyFill="1" applyBorder="1" applyAlignment="1">
      <alignment horizontal="center" vertical="center"/>
    </xf>
    <xf numFmtId="49" fontId="19" fillId="7" borderId="2" xfId="21" applyNumberFormat="1" applyFont="1" applyFill="1" applyBorder="1" applyAlignment="1">
      <alignment horizontal="center" vertical="center"/>
      <protection/>
    </xf>
    <xf numFmtId="0" fontId="19" fillId="7" borderId="2" xfId="0" applyFont="1" applyFill="1" applyBorder="1" applyAlignment="1">
      <alignment horizontal="center" vertical="center"/>
    </xf>
    <xf numFmtId="0" fontId="19" fillId="7" borderId="2" xfId="21" applyFont="1" applyFill="1" applyBorder="1" applyAlignment="1">
      <alignment horizontal="center" vertical="center"/>
      <protection/>
    </xf>
    <xf numFmtId="0" fontId="19" fillId="7" borderId="2" xfId="21" applyFont="1" applyFill="1" applyBorder="1" applyAlignment="1">
      <alignment horizontal="center" vertical="center" wrapText="1"/>
      <protection/>
    </xf>
    <xf numFmtId="0" fontId="19" fillId="7" borderId="2" xfId="0" applyFont="1" applyFill="1" applyBorder="1" applyAlignment="1">
      <alignment horizontal="center" vertical="center" wrapText="1"/>
    </xf>
    <xf numFmtId="49" fontId="19" fillId="7" borderId="22" xfId="21" applyNumberFormat="1" applyFont="1" applyFill="1" applyBorder="1" applyAlignment="1" applyProtection="1">
      <alignment horizontal="center" vertical="center"/>
      <protection/>
    </xf>
    <xf numFmtId="49" fontId="19" fillId="7" borderId="2" xfId="21" applyNumberFormat="1" applyFont="1" applyFill="1" applyBorder="1" applyAlignment="1" applyProtection="1">
      <alignment horizontal="center" vertical="center"/>
      <protection/>
    </xf>
    <xf numFmtId="0" fontId="19" fillId="7" borderId="2" xfId="0" applyFont="1" applyFill="1" applyBorder="1" applyAlignment="1" applyProtection="1">
      <alignment horizontal="center" vertical="center"/>
      <protection/>
    </xf>
    <xf numFmtId="0" fontId="19" fillId="7" borderId="2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171" fontId="19" fillId="0" borderId="2" xfId="21" applyNumberFormat="1" applyFont="1" applyFill="1" applyBorder="1" applyAlignment="1" applyProtection="1">
      <alignment horizontal="center" vertical="center"/>
      <protection/>
    </xf>
    <xf numFmtId="171" fontId="19" fillId="0" borderId="5" xfId="21" applyNumberFormat="1" applyFont="1" applyFill="1" applyBorder="1" applyAlignment="1" applyProtection="1">
      <alignment horizontal="center" vertical="center"/>
      <protection/>
    </xf>
    <xf numFmtId="0" fontId="12" fillId="0" borderId="0" xfId="22" applyNumberFormat="1" applyFont="1" applyFill="1" applyBorder="1" applyAlignment="1" applyProtection="1">
      <alignment horizontal="left"/>
      <protection/>
    </xf>
    <xf numFmtId="0" fontId="54" fillId="0" borderId="0" xfId="0" applyFont="1" applyFill="1" applyAlignment="1">
      <alignment/>
    </xf>
    <xf numFmtId="14" fontId="12" fillId="0" borderId="0" xfId="22" applyNumberFormat="1" applyFont="1" applyFill="1" applyBorder="1" applyAlignment="1" applyProtection="1">
      <alignment horizontal="left"/>
      <protection/>
    </xf>
    <xf numFmtId="14" fontId="54" fillId="0" borderId="0" xfId="0" applyNumberFormat="1" applyFont="1" applyFill="1" applyAlignment="1">
      <alignment/>
    </xf>
    <xf numFmtId="49" fontId="19" fillId="0" borderId="6" xfId="21" applyNumberFormat="1" applyFont="1" applyFill="1" applyBorder="1" applyAlignment="1">
      <alignment horizontal="center" vertical="center"/>
      <protection/>
    </xf>
    <xf numFmtId="0" fontId="19" fillId="0" borderId="6" xfId="0" applyFont="1" applyFill="1" applyBorder="1" applyAlignment="1">
      <alignment horizontal="center" vertical="center"/>
    </xf>
    <xf numFmtId="49" fontId="19" fillId="0" borderId="2" xfId="21" applyNumberFormat="1" applyFont="1" applyFill="1" applyBorder="1" applyAlignment="1">
      <alignment horizontal="center" vertical="center"/>
      <protection/>
    </xf>
    <xf numFmtId="0" fontId="19" fillId="0" borderId="2" xfId="0" applyFont="1" applyFill="1" applyBorder="1" applyAlignment="1">
      <alignment horizontal="center" vertical="center"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2" xfId="0" applyFont="1" applyFill="1" applyBorder="1" applyAlignment="1">
      <alignment horizontal="center" vertical="center" wrapText="1"/>
    </xf>
    <xf numFmtId="49" fontId="19" fillId="0" borderId="22" xfId="21" applyNumberFormat="1" applyFont="1" applyFill="1" applyBorder="1" applyAlignment="1" applyProtection="1">
      <alignment horizontal="center" vertical="center"/>
      <protection/>
    </xf>
    <xf numFmtId="49" fontId="19" fillId="0" borderId="2" xfId="21" applyNumberFormat="1" applyFont="1" applyFill="1" applyBorder="1" applyAlignment="1" applyProtection="1">
      <alignment horizontal="center" vertical="center"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172" fontId="15" fillId="9" borderId="0" xfId="0" applyNumberFormat="1" applyFont="1" applyFill="1" applyBorder="1" applyAlignment="1">
      <alignment horizontal="right"/>
    </xf>
    <xf numFmtId="172" fontId="15" fillId="0" borderId="36" xfId="0" applyNumberFormat="1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_Specifikace-Bj055a-PP" xfId="21"/>
    <cellStyle name="normální_soupis výkonů_vzt_stavební úpravy učiliště v Jh 306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 topLeftCell="A7">
      <selection activeCell="F10" sqref="F10:G11"/>
    </sheetView>
  </sheetViews>
  <sheetFormatPr defaultColWidth="9.140625" defaultRowHeight="12.75"/>
  <cols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8" max="8" width="12.8515625" style="0" customWidth="1"/>
    <col min="9" max="9" width="22.8515625" style="0" customWidth="1"/>
    <col min="10" max="10" width="0.71875" style="0" customWidth="1"/>
    <col min="11" max="1025" width="11.57421875" style="0" customWidth="1"/>
  </cols>
  <sheetData>
    <row r="1" spans="1:9" ht="34.9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</row>
    <row r="2" spans="1:10" ht="13.15" customHeight="1">
      <c r="A2" s="450" t="s">
        <v>1</v>
      </c>
      <c r="B2" s="450"/>
      <c r="C2" s="451" t="str">
        <f>'Stavební rozpočet'!D2</f>
        <v>Zázemí atletického oválu</v>
      </c>
      <c r="D2" s="451"/>
      <c r="E2" s="452" t="s">
        <v>2</v>
      </c>
      <c r="F2" s="452" t="s">
        <v>3</v>
      </c>
      <c r="G2" s="452"/>
      <c r="H2" s="452" t="s">
        <v>4</v>
      </c>
      <c r="I2" s="453" t="s">
        <v>5</v>
      </c>
      <c r="J2" s="1"/>
    </row>
    <row r="3" spans="1:10" ht="12.75">
      <c r="A3" s="450"/>
      <c r="B3" s="450"/>
      <c r="C3" s="451"/>
      <c r="D3" s="451"/>
      <c r="E3" s="452"/>
      <c r="F3" s="452"/>
      <c r="G3" s="452"/>
      <c r="H3" s="452"/>
      <c r="I3" s="453"/>
      <c r="J3" s="1"/>
    </row>
    <row r="4" spans="1:10" ht="13.15" customHeight="1">
      <c r="A4" s="444" t="s">
        <v>6</v>
      </c>
      <c r="B4" s="444"/>
      <c r="C4" s="446" t="str">
        <f>'Stavební rozpočet'!D4</f>
        <v>Novostavba objektu</v>
      </c>
      <c r="D4" s="446"/>
      <c r="E4" s="446" t="s">
        <v>7</v>
      </c>
      <c r="F4" s="446" t="s">
        <v>8</v>
      </c>
      <c r="G4" s="446"/>
      <c r="H4" s="446" t="s">
        <v>4</v>
      </c>
      <c r="I4" s="438" t="s">
        <v>9</v>
      </c>
      <c r="J4" s="1"/>
    </row>
    <row r="5" spans="1:10" ht="12.75">
      <c r="A5" s="444"/>
      <c r="B5" s="444"/>
      <c r="C5" s="446"/>
      <c r="D5" s="446"/>
      <c r="E5" s="446"/>
      <c r="F5" s="446"/>
      <c r="G5" s="446"/>
      <c r="H5" s="446"/>
      <c r="I5" s="438"/>
      <c r="J5" s="1"/>
    </row>
    <row r="6" spans="1:10" ht="13.15" customHeight="1">
      <c r="A6" s="444" t="s">
        <v>10</v>
      </c>
      <c r="B6" s="444"/>
      <c r="C6" s="446" t="str">
        <f>'Stavební rozpočet'!D6</f>
        <v>Hráského 1913, 256 01 Benešov</v>
      </c>
      <c r="D6" s="446"/>
      <c r="E6" s="446" t="s">
        <v>11</v>
      </c>
      <c r="F6" s="445"/>
      <c r="G6" s="445"/>
      <c r="H6" s="446" t="s">
        <v>4</v>
      </c>
      <c r="I6" s="448"/>
      <c r="J6" s="1"/>
    </row>
    <row r="7" spans="1:10" ht="12.75">
      <c r="A7" s="444"/>
      <c r="B7" s="444"/>
      <c r="C7" s="446"/>
      <c r="D7" s="446"/>
      <c r="E7" s="446"/>
      <c r="F7" s="445"/>
      <c r="G7" s="445"/>
      <c r="H7" s="446"/>
      <c r="I7" s="448"/>
      <c r="J7" s="1"/>
    </row>
    <row r="8" spans="1:10" ht="13.15" customHeight="1">
      <c r="A8" s="444" t="s">
        <v>12</v>
      </c>
      <c r="B8" s="444"/>
      <c r="C8" s="445" t="str">
        <f>'Stavební rozpočet'!G4</f>
        <v/>
      </c>
      <c r="D8" s="445"/>
      <c r="E8" s="446" t="s">
        <v>13</v>
      </c>
      <c r="F8" s="445" t="str">
        <f>'Stavební rozpočet'!G6</f>
        <v/>
      </c>
      <c r="G8" s="445"/>
      <c r="H8" s="447" t="s">
        <v>14</v>
      </c>
      <c r="I8" s="438" t="s">
        <v>15</v>
      </c>
      <c r="J8" s="1"/>
    </row>
    <row r="9" spans="1:10" ht="12.75">
      <c r="A9" s="444"/>
      <c r="B9" s="444"/>
      <c r="C9" s="445"/>
      <c r="D9" s="445"/>
      <c r="E9" s="446"/>
      <c r="F9" s="445"/>
      <c r="G9" s="445"/>
      <c r="H9" s="447"/>
      <c r="I9" s="438"/>
      <c r="J9" s="1"/>
    </row>
    <row r="10" spans="1:10" ht="13.15" customHeight="1">
      <c r="A10" s="439" t="s">
        <v>16</v>
      </c>
      <c r="B10" s="439"/>
      <c r="C10" s="440" t="str">
        <f>'Stavební rozpočet'!D8</f>
        <v>8015 - Budovy pro tělovýchovu</v>
      </c>
      <c r="D10" s="440"/>
      <c r="E10" s="440" t="s">
        <v>17</v>
      </c>
      <c r="F10" s="441"/>
      <c r="G10" s="441"/>
      <c r="H10" s="442" t="s">
        <v>18</v>
      </c>
      <c r="I10" s="443" t="str">
        <f>'Stavební rozpočet'!G8</f>
        <v>10.03.2020</v>
      </c>
      <c r="J10" s="1"/>
    </row>
    <row r="11" spans="1:10" ht="12.75">
      <c r="A11" s="439"/>
      <c r="B11" s="439"/>
      <c r="C11" s="440"/>
      <c r="D11" s="440"/>
      <c r="E11" s="440"/>
      <c r="F11" s="441"/>
      <c r="G11" s="441"/>
      <c r="H11" s="442"/>
      <c r="I11" s="443"/>
      <c r="J11" s="1"/>
    </row>
    <row r="12" spans="1:9" ht="23.45" customHeight="1">
      <c r="A12" s="436" t="s">
        <v>19</v>
      </c>
      <c r="B12" s="436"/>
      <c r="C12" s="436"/>
      <c r="D12" s="436"/>
      <c r="E12" s="436"/>
      <c r="F12" s="436"/>
      <c r="G12" s="436"/>
      <c r="H12" s="436"/>
      <c r="I12" s="436"/>
    </row>
    <row r="13" spans="1:10" ht="26.45" customHeight="1">
      <c r="A13" s="2" t="s">
        <v>20</v>
      </c>
      <c r="B13" s="437" t="s">
        <v>21</v>
      </c>
      <c r="C13" s="437"/>
      <c r="D13" s="2" t="s">
        <v>22</v>
      </c>
      <c r="E13" s="437" t="s">
        <v>23</v>
      </c>
      <c r="F13" s="437"/>
      <c r="G13" s="2" t="s">
        <v>24</v>
      </c>
      <c r="H13" s="437" t="s">
        <v>25</v>
      </c>
      <c r="I13" s="437"/>
      <c r="J13" s="1"/>
    </row>
    <row r="14" spans="1:10" ht="15.2" customHeight="1">
      <c r="A14" s="433" t="s">
        <v>26</v>
      </c>
      <c r="B14" s="433"/>
      <c r="C14" s="434">
        <f>'Stavební rozpočet'!H367+'Stavební rozpočet'!H348+'Stavební rozpočet'!H341+'Stavební rozpočet'!H331+'Stavební rozpočet'!H296+'Stavební rozpočet'!H286+'Stavební rozpočet'!H272+'Stavební rozpočet'!H267+'Stavební rozpočet'!H258+'Stavební rozpočet'!H253+'Stavební rozpočet'!H248+'Stavební rozpočet'!H211+'Stavební rozpočet'!H166+'Stavební rozpočet'!H137+'Stavební rozpočet'!H126+'Stavební rozpočet'!H107+'Stavební rozpočet'!H81+'Stavební rozpočet'!H76+'Stavební rozpočet'!H73+'Stavební rozpočet'!H70+'Stavební rozpočet'!H62+'Stavební rozpočet'!H53+'Stavební rozpočet'!H20++'Stavební rozpočet'!H12</f>
        <v>0</v>
      </c>
      <c r="D14" s="432" t="s">
        <v>27</v>
      </c>
      <c r="E14" s="432"/>
      <c r="F14" s="3">
        <v>0</v>
      </c>
      <c r="G14" s="432" t="str">
        <f>VORN!A15</f>
        <v>Zařízení staveniště</v>
      </c>
      <c r="H14" s="432"/>
      <c r="I14" s="3">
        <f>VORN!I15</f>
        <v>0</v>
      </c>
      <c r="J14" s="1"/>
    </row>
    <row r="15" spans="1:10" ht="15.2" customHeight="1">
      <c r="A15" s="433"/>
      <c r="B15" s="433"/>
      <c r="C15" s="434"/>
      <c r="D15" s="432" t="s">
        <v>28</v>
      </c>
      <c r="E15" s="432"/>
      <c r="F15" s="3">
        <v>0</v>
      </c>
      <c r="G15" s="432" t="str">
        <f>VORN!A16</f>
        <v>Kompletařní činnost</v>
      </c>
      <c r="H15" s="432"/>
      <c r="I15" s="3">
        <f>VORN!I16</f>
        <v>0</v>
      </c>
      <c r="J15" s="1"/>
    </row>
    <row r="16" spans="1:10" ht="15.2" customHeight="1">
      <c r="A16" s="433" t="s">
        <v>29</v>
      </c>
      <c r="B16" s="433"/>
      <c r="C16" s="434">
        <f>'Stavební rozpočet'!H420+'Stavební rozpočet'!H459+'Stavební rozpočet'!H480+'Stavební rozpočet'!H543+'Stavební rozpočet'!H586+'Stavební rozpočet'!H591+'Stavební rozpočet'!H619+'Stavební rozpočet'!H759+'Stavební rozpočet'!H837+'Stavební rozpočet'!H866+'Stavební rozpočet'!H877+'Stavební rozpočet'!H908+'Stavební rozpočet'!H927+'Stavební rozpočet'!H935</f>
        <v>0</v>
      </c>
      <c r="D16" s="432" t="s">
        <v>30</v>
      </c>
      <c r="E16" s="432"/>
      <c r="F16" s="3">
        <v>0</v>
      </c>
      <c r="G16" s="432" t="str">
        <f>VORN!A17</f>
        <v>Geodetické práce</v>
      </c>
      <c r="H16" s="432"/>
      <c r="I16" s="3">
        <f>VORN!I17</f>
        <v>0</v>
      </c>
      <c r="J16" s="1"/>
    </row>
    <row r="17" spans="1:10" ht="15.2" customHeight="1">
      <c r="A17" s="433"/>
      <c r="B17" s="433"/>
      <c r="C17" s="434"/>
      <c r="D17" s="432"/>
      <c r="E17" s="432"/>
      <c r="F17" s="4"/>
      <c r="G17" s="432" t="str">
        <f>VORN!A18</f>
        <v>Bezpečnost práce</v>
      </c>
      <c r="H17" s="432"/>
      <c r="I17" s="3">
        <f>VORN!I18</f>
        <v>0</v>
      </c>
      <c r="J17" s="1"/>
    </row>
    <row r="18" spans="1:10" ht="15">
      <c r="A18" s="433" t="s">
        <v>31</v>
      </c>
      <c r="B18" s="433"/>
      <c r="C18" s="434">
        <f>'Stavební rozpočet'!H942+'Stavební rozpočet'!H957+'Stavební rozpočet'!H964</f>
        <v>0</v>
      </c>
      <c r="D18" s="432"/>
      <c r="E18" s="432"/>
      <c r="F18" s="4"/>
      <c r="G18" s="435" t="str">
        <f>VORN!A19</f>
        <v>Dílenská, výrobní dok.</v>
      </c>
      <c r="H18" s="435"/>
      <c r="I18" s="3">
        <f>VORN!I19</f>
        <v>0</v>
      </c>
      <c r="J18" s="1"/>
    </row>
    <row r="19" spans="1:10" ht="15.2" customHeight="1">
      <c r="A19" s="433"/>
      <c r="B19" s="433"/>
      <c r="C19" s="434"/>
      <c r="D19" s="432"/>
      <c r="E19" s="432"/>
      <c r="F19" s="4"/>
      <c r="G19" s="432" t="str">
        <f>VORN!A20</f>
        <v>Projekt skut.prov.</v>
      </c>
      <c r="H19" s="432"/>
      <c r="I19" s="3">
        <f>VORN!I20</f>
        <v>0</v>
      </c>
      <c r="J19" s="1"/>
    </row>
    <row r="20" spans="1:10" ht="15.2" customHeight="1">
      <c r="A20" s="431" t="s">
        <v>32</v>
      </c>
      <c r="B20" s="431"/>
      <c r="C20" s="3">
        <v>0</v>
      </c>
      <c r="D20" s="432"/>
      <c r="E20" s="432"/>
      <c r="F20" s="4"/>
      <c r="G20" s="432" t="s">
        <v>33</v>
      </c>
      <c r="H20" s="432"/>
      <c r="I20" s="3">
        <f>VORN!I21</f>
        <v>0</v>
      </c>
      <c r="J20" s="1"/>
    </row>
    <row r="21" spans="1:10" ht="15.2" customHeight="1">
      <c r="A21" s="431" t="s">
        <v>34</v>
      </c>
      <c r="B21" s="431"/>
      <c r="C21" s="3">
        <f>'Stavební rozpočet'!H417+'Stavební rozpočet'!H402</f>
        <v>0</v>
      </c>
      <c r="D21" s="432"/>
      <c r="E21" s="432"/>
      <c r="F21" s="4"/>
      <c r="G21" s="432"/>
      <c r="H21" s="432"/>
      <c r="I21" s="4"/>
      <c r="J21" s="1"/>
    </row>
    <row r="22" spans="1:10" ht="16.7" customHeight="1">
      <c r="A22" s="431" t="s">
        <v>35</v>
      </c>
      <c r="B22" s="431"/>
      <c r="C22" s="3">
        <f>SUM(C14:D21)</f>
        <v>0</v>
      </c>
      <c r="D22" s="431" t="s">
        <v>36</v>
      </c>
      <c r="E22" s="431"/>
      <c r="F22" s="3">
        <f>SUM(F14:F21)</f>
        <v>0</v>
      </c>
      <c r="G22" s="431" t="s">
        <v>37</v>
      </c>
      <c r="H22" s="431"/>
      <c r="I22" s="3">
        <f>I20</f>
        <v>0</v>
      </c>
      <c r="J22" s="1"/>
    </row>
    <row r="23" spans="1:10" ht="15.2" customHeight="1">
      <c r="A23" s="5"/>
      <c r="B23" s="5"/>
      <c r="C23" s="6"/>
      <c r="D23" s="431" t="s">
        <v>38</v>
      </c>
      <c r="E23" s="431"/>
      <c r="F23" s="3">
        <v>0</v>
      </c>
      <c r="G23" s="431" t="s">
        <v>39</v>
      </c>
      <c r="H23" s="431"/>
      <c r="I23" s="3">
        <v>0</v>
      </c>
      <c r="J23" s="1"/>
    </row>
    <row r="24" spans="1:9" ht="12.75">
      <c r="A24" s="7"/>
      <c r="B24" s="7"/>
      <c r="C24" s="7"/>
      <c r="G24" s="5"/>
      <c r="H24" s="5"/>
      <c r="I24" s="5"/>
    </row>
    <row r="25" spans="1:10" ht="15.2" customHeight="1">
      <c r="A25" s="430" t="s">
        <v>40</v>
      </c>
      <c r="B25" s="430"/>
      <c r="C25" s="8">
        <f>SUM('Stavební rozpočet'!AI12:AI968)</f>
        <v>0</v>
      </c>
      <c r="D25" s="430" t="s">
        <v>41</v>
      </c>
      <c r="E25" s="430"/>
      <c r="F25" s="8">
        <f>ROUND(C25*(15/100),2)</f>
        <v>0</v>
      </c>
      <c r="G25" s="430" t="s">
        <v>42</v>
      </c>
      <c r="H25" s="430"/>
      <c r="I25" s="8">
        <f>C22+F22+F23+I22+I23</f>
        <v>0</v>
      </c>
      <c r="J25" s="1"/>
    </row>
    <row r="26" spans="1:10" ht="15.2" customHeight="1">
      <c r="A26" s="430" t="s">
        <v>43</v>
      </c>
      <c r="B26" s="430"/>
      <c r="C26" s="8">
        <f>I25</f>
        <v>0</v>
      </c>
      <c r="D26" s="430" t="s">
        <v>44</v>
      </c>
      <c r="E26" s="430"/>
      <c r="F26" s="8">
        <f>ROUND(C26*(21/100),2)</f>
        <v>0</v>
      </c>
      <c r="G26" s="430" t="s">
        <v>45</v>
      </c>
      <c r="H26" s="430"/>
      <c r="I26" s="8">
        <f>SUM(F25:F26)+I25</f>
        <v>0</v>
      </c>
      <c r="J26" s="1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10" ht="14.45" customHeight="1">
      <c r="A28" s="429" t="s">
        <v>46</v>
      </c>
      <c r="B28" s="429"/>
      <c r="C28" s="429"/>
      <c r="D28" s="429" t="s">
        <v>47</v>
      </c>
      <c r="E28" s="429"/>
      <c r="F28" s="429"/>
      <c r="G28" s="429" t="s">
        <v>48</v>
      </c>
      <c r="H28" s="429"/>
      <c r="I28" s="429"/>
      <c r="J28" s="10"/>
    </row>
    <row r="29" spans="1:10" ht="14.45" customHeight="1">
      <c r="A29" s="428"/>
      <c r="B29" s="428"/>
      <c r="C29" s="428"/>
      <c r="D29" s="428"/>
      <c r="E29" s="428"/>
      <c r="F29" s="428"/>
      <c r="G29" s="428"/>
      <c r="H29" s="428"/>
      <c r="I29" s="428"/>
      <c r="J29" s="10"/>
    </row>
    <row r="30" spans="1:10" ht="14.45" customHeight="1">
      <c r="A30" s="428"/>
      <c r="B30" s="428"/>
      <c r="C30" s="428"/>
      <c r="D30" s="428"/>
      <c r="E30" s="428"/>
      <c r="F30" s="428"/>
      <c r="G30" s="428"/>
      <c r="H30" s="428"/>
      <c r="I30" s="428"/>
      <c r="J30" s="10"/>
    </row>
    <row r="31" spans="1:10" ht="14.45" customHeight="1">
      <c r="A31" s="428"/>
      <c r="B31" s="428"/>
      <c r="C31" s="428"/>
      <c r="D31" s="428"/>
      <c r="E31" s="428"/>
      <c r="F31" s="428"/>
      <c r="G31" s="428"/>
      <c r="H31" s="428"/>
      <c r="I31" s="428"/>
      <c r="J31" s="10"/>
    </row>
    <row r="32" spans="1:10" ht="14.45" customHeight="1">
      <c r="A32" s="427" t="s">
        <v>49</v>
      </c>
      <c r="B32" s="427"/>
      <c r="C32" s="427"/>
      <c r="D32" s="427" t="s">
        <v>49</v>
      </c>
      <c r="E32" s="427"/>
      <c r="F32" s="427"/>
      <c r="G32" s="427" t="s">
        <v>49</v>
      </c>
      <c r="H32" s="427"/>
      <c r="I32" s="427"/>
      <c r="J32" s="10"/>
    </row>
    <row r="33" spans="1:9" ht="11.25" customHeight="1">
      <c r="A33" s="11" t="s">
        <v>50</v>
      </c>
      <c r="B33" s="12"/>
      <c r="C33" s="12"/>
      <c r="D33" s="12"/>
      <c r="E33" s="12"/>
      <c r="F33" s="12"/>
      <c r="G33" s="12"/>
      <c r="H33" s="12"/>
      <c r="I33" s="12"/>
    </row>
  </sheetData>
  <mergeCells count="85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A14:B15"/>
    <mergeCell ref="C14:C15"/>
    <mergeCell ref="D14:E14"/>
    <mergeCell ref="G14:H14"/>
    <mergeCell ref="D15:E15"/>
    <mergeCell ref="G15:H15"/>
    <mergeCell ref="A16:B17"/>
    <mergeCell ref="C16:C17"/>
    <mergeCell ref="D16:E16"/>
    <mergeCell ref="G16:H16"/>
    <mergeCell ref="D17:E17"/>
    <mergeCell ref="G17:H17"/>
    <mergeCell ref="A18:B19"/>
    <mergeCell ref="C18:C19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7875" right="0.196527777777778" top="0.590277777777778" bottom="0.590277777777778" header="0.511805555555555" footer="0.511805555555555"/>
  <pageSetup fitToHeight="1" fitToWidth="1" horizontalDpi="600" verticalDpi="600" orientation="portrait" paperSize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40"/>
  <sheetViews>
    <sheetView workbookViewId="0" topLeftCell="A1">
      <selection activeCell="K40" sqref="K40"/>
    </sheetView>
  </sheetViews>
  <sheetFormatPr defaultColWidth="9.140625" defaultRowHeight="12.75"/>
  <cols>
    <col min="1" max="1" width="6.421875" style="225" customWidth="1"/>
    <col min="2" max="2" width="12.140625" style="226" customWidth="1"/>
    <col min="3" max="3" width="49.28125" style="227" customWidth="1"/>
    <col min="4" max="4" width="10.7109375" style="228" customWidth="1"/>
    <col min="5" max="5" width="3.57421875" style="228" customWidth="1"/>
    <col min="6" max="6" width="5.7109375" style="229" customWidth="1"/>
    <col min="7" max="7" width="9.28125" style="230" customWidth="1"/>
    <col min="8" max="8" width="11.421875" style="230" customWidth="1"/>
    <col min="9" max="9" width="9.28125" style="230" customWidth="1"/>
    <col min="10" max="11" width="11.421875" style="230" customWidth="1"/>
    <col min="12" max="256" width="9.140625" style="231" customWidth="1"/>
    <col min="257" max="257" width="6.421875" style="231" customWidth="1"/>
    <col min="258" max="258" width="12.140625" style="231" customWidth="1"/>
    <col min="259" max="259" width="49.28125" style="231" customWidth="1"/>
    <col min="260" max="260" width="10.7109375" style="231" customWidth="1"/>
    <col min="261" max="261" width="3.57421875" style="231" customWidth="1"/>
    <col min="262" max="262" width="5.7109375" style="231" customWidth="1"/>
    <col min="263" max="263" width="9.28125" style="231" customWidth="1"/>
    <col min="264" max="264" width="11.421875" style="231" customWidth="1"/>
    <col min="265" max="265" width="9.28125" style="231" customWidth="1"/>
    <col min="266" max="267" width="11.421875" style="231" customWidth="1"/>
    <col min="268" max="512" width="9.140625" style="231" customWidth="1"/>
    <col min="513" max="513" width="6.421875" style="231" customWidth="1"/>
    <col min="514" max="514" width="12.140625" style="231" customWidth="1"/>
    <col min="515" max="515" width="49.28125" style="231" customWidth="1"/>
    <col min="516" max="516" width="10.7109375" style="231" customWidth="1"/>
    <col min="517" max="517" width="3.57421875" style="231" customWidth="1"/>
    <col min="518" max="518" width="5.7109375" style="231" customWidth="1"/>
    <col min="519" max="519" width="9.28125" style="231" customWidth="1"/>
    <col min="520" max="520" width="11.421875" style="231" customWidth="1"/>
    <col min="521" max="521" width="9.28125" style="231" customWidth="1"/>
    <col min="522" max="523" width="11.421875" style="231" customWidth="1"/>
    <col min="524" max="768" width="9.140625" style="231" customWidth="1"/>
    <col min="769" max="769" width="6.421875" style="231" customWidth="1"/>
    <col min="770" max="770" width="12.140625" style="231" customWidth="1"/>
    <col min="771" max="771" width="49.28125" style="231" customWidth="1"/>
    <col min="772" max="772" width="10.7109375" style="231" customWidth="1"/>
    <col min="773" max="773" width="3.57421875" style="231" customWidth="1"/>
    <col min="774" max="774" width="5.7109375" style="231" customWidth="1"/>
    <col min="775" max="775" width="9.28125" style="231" customWidth="1"/>
    <col min="776" max="776" width="11.421875" style="231" customWidth="1"/>
    <col min="777" max="777" width="9.28125" style="231" customWidth="1"/>
    <col min="778" max="779" width="11.421875" style="231" customWidth="1"/>
    <col min="780" max="1024" width="9.140625" style="231" customWidth="1"/>
    <col min="1025" max="1025" width="6.421875" style="231" customWidth="1"/>
    <col min="1026" max="1026" width="12.140625" style="231" customWidth="1"/>
    <col min="1027" max="1027" width="49.28125" style="231" customWidth="1"/>
    <col min="1028" max="1028" width="10.7109375" style="231" customWidth="1"/>
    <col min="1029" max="1029" width="3.57421875" style="231" customWidth="1"/>
    <col min="1030" max="1030" width="5.7109375" style="231" customWidth="1"/>
    <col min="1031" max="1031" width="9.28125" style="231" customWidth="1"/>
    <col min="1032" max="1032" width="11.421875" style="231" customWidth="1"/>
    <col min="1033" max="1033" width="9.28125" style="231" customWidth="1"/>
    <col min="1034" max="1035" width="11.421875" style="231" customWidth="1"/>
    <col min="1036" max="1280" width="9.140625" style="231" customWidth="1"/>
    <col min="1281" max="1281" width="6.421875" style="231" customWidth="1"/>
    <col min="1282" max="1282" width="12.140625" style="231" customWidth="1"/>
    <col min="1283" max="1283" width="49.28125" style="231" customWidth="1"/>
    <col min="1284" max="1284" width="10.7109375" style="231" customWidth="1"/>
    <col min="1285" max="1285" width="3.57421875" style="231" customWidth="1"/>
    <col min="1286" max="1286" width="5.7109375" style="231" customWidth="1"/>
    <col min="1287" max="1287" width="9.28125" style="231" customWidth="1"/>
    <col min="1288" max="1288" width="11.421875" style="231" customWidth="1"/>
    <col min="1289" max="1289" width="9.28125" style="231" customWidth="1"/>
    <col min="1290" max="1291" width="11.421875" style="231" customWidth="1"/>
    <col min="1292" max="1536" width="9.140625" style="231" customWidth="1"/>
    <col min="1537" max="1537" width="6.421875" style="231" customWidth="1"/>
    <col min="1538" max="1538" width="12.140625" style="231" customWidth="1"/>
    <col min="1539" max="1539" width="49.28125" style="231" customWidth="1"/>
    <col min="1540" max="1540" width="10.7109375" style="231" customWidth="1"/>
    <col min="1541" max="1541" width="3.57421875" style="231" customWidth="1"/>
    <col min="1542" max="1542" width="5.7109375" style="231" customWidth="1"/>
    <col min="1543" max="1543" width="9.28125" style="231" customWidth="1"/>
    <col min="1544" max="1544" width="11.421875" style="231" customWidth="1"/>
    <col min="1545" max="1545" width="9.28125" style="231" customWidth="1"/>
    <col min="1546" max="1547" width="11.421875" style="231" customWidth="1"/>
    <col min="1548" max="1792" width="9.140625" style="231" customWidth="1"/>
    <col min="1793" max="1793" width="6.421875" style="231" customWidth="1"/>
    <col min="1794" max="1794" width="12.140625" style="231" customWidth="1"/>
    <col min="1795" max="1795" width="49.28125" style="231" customWidth="1"/>
    <col min="1796" max="1796" width="10.7109375" style="231" customWidth="1"/>
    <col min="1797" max="1797" width="3.57421875" style="231" customWidth="1"/>
    <col min="1798" max="1798" width="5.7109375" style="231" customWidth="1"/>
    <col min="1799" max="1799" width="9.28125" style="231" customWidth="1"/>
    <col min="1800" max="1800" width="11.421875" style="231" customWidth="1"/>
    <col min="1801" max="1801" width="9.28125" style="231" customWidth="1"/>
    <col min="1802" max="1803" width="11.421875" style="231" customWidth="1"/>
    <col min="1804" max="2048" width="9.140625" style="231" customWidth="1"/>
    <col min="2049" max="2049" width="6.421875" style="231" customWidth="1"/>
    <col min="2050" max="2050" width="12.140625" style="231" customWidth="1"/>
    <col min="2051" max="2051" width="49.28125" style="231" customWidth="1"/>
    <col min="2052" max="2052" width="10.7109375" style="231" customWidth="1"/>
    <col min="2053" max="2053" width="3.57421875" style="231" customWidth="1"/>
    <col min="2054" max="2054" width="5.7109375" style="231" customWidth="1"/>
    <col min="2055" max="2055" width="9.28125" style="231" customWidth="1"/>
    <col min="2056" max="2056" width="11.421875" style="231" customWidth="1"/>
    <col min="2057" max="2057" width="9.28125" style="231" customWidth="1"/>
    <col min="2058" max="2059" width="11.421875" style="231" customWidth="1"/>
    <col min="2060" max="2304" width="9.140625" style="231" customWidth="1"/>
    <col min="2305" max="2305" width="6.421875" style="231" customWidth="1"/>
    <col min="2306" max="2306" width="12.140625" style="231" customWidth="1"/>
    <col min="2307" max="2307" width="49.28125" style="231" customWidth="1"/>
    <col min="2308" max="2308" width="10.7109375" style="231" customWidth="1"/>
    <col min="2309" max="2309" width="3.57421875" style="231" customWidth="1"/>
    <col min="2310" max="2310" width="5.7109375" style="231" customWidth="1"/>
    <col min="2311" max="2311" width="9.28125" style="231" customWidth="1"/>
    <col min="2312" max="2312" width="11.421875" style="231" customWidth="1"/>
    <col min="2313" max="2313" width="9.28125" style="231" customWidth="1"/>
    <col min="2314" max="2315" width="11.421875" style="231" customWidth="1"/>
    <col min="2316" max="2560" width="9.140625" style="231" customWidth="1"/>
    <col min="2561" max="2561" width="6.421875" style="231" customWidth="1"/>
    <col min="2562" max="2562" width="12.140625" style="231" customWidth="1"/>
    <col min="2563" max="2563" width="49.28125" style="231" customWidth="1"/>
    <col min="2564" max="2564" width="10.7109375" style="231" customWidth="1"/>
    <col min="2565" max="2565" width="3.57421875" style="231" customWidth="1"/>
    <col min="2566" max="2566" width="5.7109375" style="231" customWidth="1"/>
    <col min="2567" max="2567" width="9.28125" style="231" customWidth="1"/>
    <col min="2568" max="2568" width="11.421875" style="231" customWidth="1"/>
    <col min="2569" max="2569" width="9.28125" style="231" customWidth="1"/>
    <col min="2570" max="2571" width="11.421875" style="231" customWidth="1"/>
    <col min="2572" max="2816" width="9.140625" style="231" customWidth="1"/>
    <col min="2817" max="2817" width="6.421875" style="231" customWidth="1"/>
    <col min="2818" max="2818" width="12.140625" style="231" customWidth="1"/>
    <col min="2819" max="2819" width="49.28125" style="231" customWidth="1"/>
    <col min="2820" max="2820" width="10.7109375" style="231" customWidth="1"/>
    <col min="2821" max="2821" width="3.57421875" style="231" customWidth="1"/>
    <col min="2822" max="2822" width="5.7109375" style="231" customWidth="1"/>
    <col min="2823" max="2823" width="9.28125" style="231" customWidth="1"/>
    <col min="2824" max="2824" width="11.421875" style="231" customWidth="1"/>
    <col min="2825" max="2825" width="9.28125" style="231" customWidth="1"/>
    <col min="2826" max="2827" width="11.421875" style="231" customWidth="1"/>
    <col min="2828" max="3072" width="9.140625" style="231" customWidth="1"/>
    <col min="3073" max="3073" width="6.421875" style="231" customWidth="1"/>
    <col min="3074" max="3074" width="12.140625" style="231" customWidth="1"/>
    <col min="3075" max="3075" width="49.28125" style="231" customWidth="1"/>
    <col min="3076" max="3076" width="10.7109375" style="231" customWidth="1"/>
    <col min="3077" max="3077" width="3.57421875" style="231" customWidth="1"/>
    <col min="3078" max="3078" width="5.7109375" style="231" customWidth="1"/>
    <col min="3079" max="3079" width="9.28125" style="231" customWidth="1"/>
    <col min="3080" max="3080" width="11.421875" style="231" customWidth="1"/>
    <col min="3081" max="3081" width="9.28125" style="231" customWidth="1"/>
    <col min="3082" max="3083" width="11.421875" style="231" customWidth="1"/>
    <col min="3084" max="3328" width="9.140625" style="231" customWidth="1"/>
    <col min="3329" max="3329" width="6.421875" style="231" customWidth="1"/>
    <col min="3330" max="3330" width="12.140625" style="231" customWidth="1"/>
    <col min="3331" max="3331" width="49.28125" style="231" customWidth="1"/>
    <col min="3332" max="3332" width="10.7109375" style="231" customWidth="1"/>
    <col min="3333" max="3333" width="3.57421875" style="231" customWidth="1"/>
    <col min="3334" max="3334" width="5.7109375" style="231" customWidth="1"/>
    <col min="3335" max="3335" width="9.28125" style="231" customWidth="1"/>
    <col min="3336" max="3336" width="11.421875" style="231" customWidth="1"/>
    <col min="3337" max="3337" width="9.28125" style="231" customWidth="1"/>
    <col min="3338" max="3339" width="11.421875" style="231" customWidth="1"/>
    <col min="3340" max="3584" width="9.140625" style="231" customWidth="1"/>
    <col min="3585" max="3585" width="6.421875" style="231" customWidth="1"/>
    <col min="3586" max="3586" width="12.140625" style="231" customWidth="1"/>
    <col min="3587" max="3587" width="49.28125" style="231" customWidth="1"/>
    <col min="3588" max="3588" width="10.7109375" style="231" customWidth="1"/>
    <col min="3589" max="3589" width="3.57421875" style="231" customWidth="1"/>
    <col min="3590" max="3590" width="5.7109375" style="231" customWidth="1"/>
    <col min="3591" max="3591" width="9.28125" style="231" customWidth="1"/>
    <col min="3592" max="3592" width="11.421875" style="231" customWidth="1"/>
    <col min="3593" max="3593" width="9.28125" style="231" customWidth="1"/>
    <col min="3594" max="3595" width="11.421875" style="231" customWidth="1"/>
    <col min="3596" max="3840" width="9.140625" style="231" customWidth="1"/>
    <col min="3841" max="3841" width="6.421875" style="231" customWidth="1"/>
    <col min="3842" max="3842" width="12.140625" style="231" customWidth="1"/>
    <col min="3843" max="3843" width="49.28125" style="231" customWidth="1"/>
    <col min="3844" max="3844" width="10.7109375" style="231" customWidth="1"/>
    <col min="3845" max="3845" width="3.57421875" style="231" customWidth="1"/>
    <col min="3846" max="3846" width="5.7109375" style="231" customWidth="1"/>
    <col min="3847" max="3847" width="9.28125" style="231" customWidth="1"/>
    <col min="3848" max="3848" width="11.421875" style="231" customWidth="1"/>
    <col min="3849" max="3849" width="9.28125" style="231" customWidth="1"/>
    <col min="3850" max="3851" width="11.421875" style="231" customWidth="1"/>
    <col min="3852" max="4096" width="9.140625" style="231" customWidth="1"/>
    <col min="4097" max="4097" width="6.421875" style="231" customWidth="1"/>
    <col min="4098" max="4098" width="12.140625" style="231" customWidth="1"/>
    <col min="4099" max="4099" width="49.28125" style="231" customWidth="1"/>
    <col min="4100" max="4100" width="10.7109375" style="231" customWidth="1"/>
    <col min="4101" max="4101" width="3.57421875" style="231" customWidth="1"/>
    <col min="4102" max="4102" width="5.7109375" style="231" customWidth="1"/>
    <col min="4103" max="4103" width="9.28125" style="231" customWidth="1"/>
    <col min="4104" max="4104" width="11.421875" style="231" customWidth="1"/>
    <col min="4105" max="4105" width="9.28125" style="231" customWidth="1"/>
    <col min="4106" max="4107" width="11.421875" style="231" customWidth="1"/>
    <col min="4108" max="4352" width="9.140625" style="231" customWidth="1"/>
    <col min="4353" max="4353" width="6.421875" style="231" customWidth="1"/>
    <col min="4354" max="4354" width="12.140625" style="231" customWidth="1"/>
    <col min="4355" max="4355" width="49.28125" style="231" customWidth="1"/>
    <col min="4356" max="4356" width="10.7109375" style="231" customWidth="1"/>
    <col min="4357" max="4357" width="3.57421875" style="231" customWidth="1"/>
    <col min="4358" max="4358" width="5.7109375" style="231" customWidth="1"/>
    <col min="4359" max="4359" width="9.28125" style="231" customWidth="1"/>
    <col min="4360" max="4360" width="11.421875" style="231" customWidth="1"/>
    <col min="4361" max="4361" width="9.28125" style="231" customWidth="1"/>
    <col min="4362" max="4363" width="11.421875" style="231" customWidth="1"/>
    <col min="4364" max="4608" width="9.140625" style="231" customWidth="1"/>
    <col min="4609" max="4609" width="6.421875" style="231" customWidth="1"/>
    <col min="4610" max="4610" width="12.140625" style="231" customWidth="1"/>
    <col min="4611" max="4611" width="49.28125" style="231" customWidth="1"/>
    <col min="4612" max="4612" width="10.7109375" style="231" customWidth="1"/>
    <col min="4613" max="4613" width="3.57421875" style="231" customWidth="1"/>
    <col min="4614" max="4614" width="5.7109375" style="231" customWidth="1"/>
    <col min="4615" max="4615" width="9.28125" style="231" customWidth="1"/>
    <col min="4616" max="4616" width="11.421875" style="231" customWidth="1"/>
    <col min="4617" max="4617" width="9.28125" style="231" customWidth="1"/>
    <col min="4618" max="4619" width="11.421875" style="231" customWidth="1"/>
    <col min="4620" max="4864" width="9.140625" style="231" customWidth="1"/>
    <col min="4865" max="4865" width="6.421875" style="231" customWidth="1"/>
    <col min="4866" max="4866" width="12.140625" style="231" customWidth="1"/>
    <col min="4867" max="4867" width="49.28125" style="231" customWidth="1"/>
    <col min="4868" max="4868" width="10.7109375" style="231" customWidth="1"/>
    <col min="4869" max="4869" width="3.57421875" style="231" customWidth="1"/>
    <col min="4870" max="4870" width="5.7109375" style="231" customWidth="1"/>
    <col min="4871" max="4871" width="9.28125" style="231" customWidth="1"/>
    <col min="4872" max="4872" width="11.421875" style="231" customWidth="1"/>
    <col min="4873" max="4873" width="9.28125" style="231" customWidth="1"/>
    <col min="4874" max="4875" width="11.421875" style="231" customWidth="1"/>
    <col min="4876" max="5120" width="9.140625" style="231" customWidth="1"/>
    <col min="5121" max="5121" width="6.421875" style="231" customWidth="1"/>
    <col min="5122" max="5122" width="12.140625" style="231" customWidth="1"/>
    <col min="5123" max="5123" width="49.28125" style="231" customWidth="1"/>
    <col min="5124" max="5124" width="10.7109375" style="231" customWidth="1"/>
    <col min="5125" max="5125" width="3.57421875" style="231" customWidth="1"/>
    <col min="5126" max="5126" width="5.7109375" style="231" customWidth="1"/>
    <col min="5127" max="5127" width="9.28125" style="231" customWidth="1"/>
    <col min="5128" max="5128" width="11.421875" style="231" customWidth="1"/>
    <col min="5129" max="5129" width="9.28125" style="231" customWidth="1"/>
    <col min="5130" max="5131" width="11.421875" style="231" customWidth="1"/>
    <col min="5132" max="5376" width="9.140625" style="231" customWidth="1"/>
    <col min="5377" max="5377" width="6.421875" style="231" customWidth="1"/>
    <col min="5378" max="5378" width="12.140625" style="231" customWidth="1"/>
    <col min="5379" max="5379" width="49.28125" style="231" customWidth="1"/>
    <col min="5380" max="5380" width="10.7109375" style="231" customWidth="1"/>
    <col min="5381" max="5381" width="3.57421875" style="231" customWidth="1"/>
    <col min="5382" max="5382" width="5.7109375" style="231" customWidth="1"/>
    <col min="5383" max="5383" width="9.28125" style="231" customWidth="1"/>
    <col min="5384" max="5384" width="11.421875" style="231" customWidth="1"/>
    <col min="5385" max="5385" width="9.28125" style="231" customWidth="1"/>
    <col min="5386" max="5387" width="11.421875" style="231" customWidth="1"/>
    <col min="5388" max="5632" width="9.140625" style="231" customWidth="1"/>
    <col min="5633" max="5633" width="6.421875" style="231" customWidth="1"/>
    <col min="5634" max="5634" width="12.140625" style="231" customWidth="1"/>
    <col min="5635" max="5635" width="49.28125" style="231" customWidth="1"/>
    <col min="5636" max="5636" width="10.7109375" style="231" customWidth="1"/>
    <col min="5637" max="5637" width="3.57421875" style="231" customWidth="1"/>
    <col min="5638" max="5638" width="5.7109375" style="231" customWidth="1"/>
    <col min="5639" max="5639" width="9.28125" style="231" customWidth="1"/>
    <col min="5640" max="5640" width="11.421875" style="231" customWidth="1"/>
    <col min="5641" max="5641" width="9.28125" style="231" customWidth="1"/>
    <col min="5642" max="5643" width="11.421875" style="231" customWidth="1"/>
    <col min="5644" max="5888" width="9.140625" style="231" customWidth="1"/>
    <col min="5889" max="5889" width="6.421875" style="231" customWidth="1"/>
    <col min="5890" max="5890" width="12.140625" style="231" customWidth="1"/>
    <col min="5891" max="5891" width="49.28125" style="231" customWidth="1"/>
    <col min="5892" max="5892" width="10.7109375" style="231" customWidth="1"/>
    <col min="5893" max="5893" width="3.57421875" style="231" customWidth="1"/>
    <col min="5894" max="5894" width="5.7109375" style="231" customWidth="1"/>
    <col min="5895" max="5895" width="9.28125" style="231" customWidth="1"/>
    <col min="5896" max="5896" width="11.421875" style="231" customWidth="1"/>
    <col min="5897" max="5897" width="9.28125" style="231" customWidth="1"/>
    <col min="5898" max="5899" width="11.421875" style="231" customWidth="1"/>
    <col min="5900" max="6144" width="9.140625" style="231" customWidth="1"/>
    <col min="6145" max="6145" width="6.421875" style="231" customWidth="1"/>
    <col min="6146" max="6146" width="12.140625" style="231" customWidth="1"/>
    <col min="6147" max="6147" width="49.28125" style="231" customWidth="1"/>
    <col min="6148" max="6148" width="10.7109375" style="231" customWidth="1"/>
    <col min="6149" max="6149" width="3.57421875" style="231" customWidth="1"/>
    <col min="6150" max="6150" width="5.7109375" style="231" customWidth="1"/>
    <col min="6151" max="6151" width="9.28125" style="231" customWidth="1"/>
    <col min="6152" max="6152" width="11.421875" style="231" customWidth="1"/>
    <col min="6153" max="6153" width="9.28125" style="231" customWidth="1"/>
    <col min="6154" max="6155" width="11.421875" style="231" customWidth="1"/>
    <col min="6156" max="6400" width="9.140625" style="231" customWidth="1"/>
    <col min="6401" max="6401" width="6.421875" style="231" customWidth="1"/>
    <col min="6402" max="6402" width="12.140625" style="231" customWidth="1"/>
    <col min="6403" max="6403" width="49.28125" style="231" customWidth="1"/>
    <col min="6404" max="6404" width="10.7109375" style="231" customWidth="1"/>
    <col min="6405" max="6405" width="3.57421875" style="231" customWidth="1"/>
    <col min="6406" max="6406" width="5.7109375" style="231" customWidth="1"/>
    <col min="6407" max="6407" width="9.28125" style="231" customWidth="1"/>
    <col min="6408" max="6408" width="11.421875" style="231" customWidth="1"/>
    <col min="6409" max="6409" width="9.28125" style="231" customWidth="1"/>
    <col min="6410" max="6411" width="11.421875" style="231" customWidth="1"/>
    <col min="6412" max="6656" width="9.140625" style="231" customWidth="1"/>
    <col min="6657" max="6657" width="6.421875" style="231" customWidth="1"/>
    <col min="6658" max="6658" width="12.140625" style="231" customWidth="1"/>
    <col min="6659" max="6659" width="49.28125" style="231" customWidth="1"/>
    <col min="6660" max="6660" width="10.7109375" style="231" customWidth="1"/>
    <col min="6661" max="6661" width="3.57421875" style="231" customWidth="1"/>
    <col min="6662" max="6662" width="5.7109375" style="231" customWidth="1"/>
    <col min="6663" max="6663" width="9.28125" style="231" customWidth="1"/>
    <col min="6664" max="6664" width="11.421875" style="231" customWidth="1"/>
    <col min="6665" max="6665" width="9.28125" style="231" customWidth="1"/>
    <col min="6666" max="6667" width="11.421875" style="231" customWidth="1"/>
    <col min="6668" max="6912" width="9.140625" style="231" customWidth="1"/>
    <col min="6913" max="6913" width="6.421875" style="231" customWidth="1"/>
    <col min="6914" max="6914" width="12.140625" style="231" customWidth="1"/>
    <col min="6915" max="6915" width="49.28125" style="231" customWidth="1"/>
    <col min="6916" max="6916" width="10.7109375" style="231" customWidth="1"/>
    <col min="6917" max="6917" width="3.57421875" style="231" customWidth="1"/>
    <col min="6918" max="6918" width="5.7109375" style="231" customWidth="1"/>
    <col min="6919" max="6919" width="9.28125" style="231" customWidth="1"/>
    <col min="6920" max="6920" width="11.421875" style="231" customWidth="1"/>
    <col min="6921" max="6921" width="9.28125" style="231" customWidth="1"/>
    <col min="6922" max="6923" width="11.421875" style="231" customWidth="1"/>
    <col min="6924" max="7168" width="9.140625" style="231" customWidth="1"/>
    <col min="7169" max="7169" width="6.421875" style="231" customWidth="1"/>
    <col min="7170" max="7170" width="12.140625" style="231" customWidth="1"/>
    <col min="7171" max="7171" width="49.28125" style="231" customWidth="1"/>
    <col min="7172" max="7172" width="10.7109375" style="231" customWidth="1"/>
    <col min="7173" max="7173" width="3.57421875" style="231" customWidth="1"/>
    <col min="7174" max="7174" width="5.7109375" style="231" customWidth="1"/>
    <col min="7175" max="7175" width="9.28125" style="231" customWidth="1"/>
    <col min="7176" max="7176" width="11.421875" style="231" customWidth="1"/>
    <col min="7177" max="7177" width="9.28125" style="231" customWidth="1"/>
    <col min="7178" max="7179" width="11.421875" style="231" customWidth="1"/>
    <col min="7180" max="7424" width="9.140625" style="231" customWidth="1"/>
    <col min="7425" max="7425" width="6.421875" style="231" customWidth="1"/>
    <col min="7426" max="7426" width="12.140625" style="231" customWidth="1"/>
    <col min="7427" max="7427" width="49.28125" style="231" customWidth="1"/>
    <col min="7428" max="7428" width="10.7109375" style="231" customWidth="1"/>
    <col min="7429" max="7429" width="3.57421875" style="231" customWidth="1"/>
    <col min="7430" max="7430" width="5.7109375" style="231" customWidth="1"/>
    <col min="7431" max="7431" width="9.28125" style="231" customWidth="1"/>
    <col min="7432" max="7432" width="11.421875" style="231" customWidth="1"/>
    <col min="7433" max="7433" width="9.28125" style="231" customWidth="1"/>
    <col min="7434" max="7435" width="11.421875" style="231" customWidth="1"/>
    <col min="7436" max="7680" width="9.140625" style="231" customWidth="1"/>
    <col min="7681" max="7681" width="6.421875" style="231" customWidth="1"/>
    <col min="7682" max="7682" width="12.140625" style="231" customWidth="1"/>
    <col min="7683" max="7683" width="49.28125" style="231" customWidth="1"/>
    <col min="7684" max="7684" width="10.7109375" style="231" customWidth="1"/>
    <col min="7685" max="7685" width="3.57421875" style="231" customWidth="1"/>
    <col min="7686" max="7686" width="5.7109375" style="231" customWidth="1"/>
    <col min="7687" max="7687" width="9.28125" style="231" customWidth="1"/>
    <col min="7688" max="7688" width="11.421875" style="231" customWidth="1"/>
    <col min="7689" max="7689" width="9.28125" style="231" customWidth="1"/>
    <col min="7690" max="7691" width="11.421875" style="231" customWidth="1"/>
    <col min="7692" max="7936" width="9.140625" style="231" customWidth="1"/>
    <col min="7937" max="7937" width="6.421875" style="231" customWidth="1"/>
    <col min="7938" max="7938" width="12.140625" style="231" customWidth="1"/>
    <col min="7939" max="7939" width="49.28125" style="231" customWidth="1"/>
    <col min="7940" max="7940" width="10.7109375" style="231" customWidth="1"/>
    <col min="7941" max="7941" width="3.57421875" style="231" customWidth="1"/>
    <col min="7942" max="7942" width="5.7109375" style="231" customWidth="1"/>
    <col min="7943" max="7943" width="9.28125" style="231" customWidth="1"/>
    <col min="7944" max="7944" width="11.421875" style="231" customWidth="1"/>
    <col min="7945" max="7945" width="9.28125" style="231" customWidth="1"/>
    <col min="7946" max="7947" width="11.421875" style="231" customWidth="1"/>
    <col min="7948" max="8192" width="9.140625" style="231" customWidth="1"/>
    <col min="8193" max="8193" width="6.421875" style="231" customWidth="1"/>
    <col min="8194" max="8194" width="12.140625" style="231" customWidth="1"/>
    <col min="8195" max="8195" width="49.28125" style="231" customWidth="1"/>
    <col min="8196" max="8196" width="10.7109375" style="231" customWidth="1"/>
    <col min="8197" max="8197" width="3.57421875" style="231" customWidth="1"/>
    <col min="8198" max="8198" width="5.7109375" style="231" customWidth="1"/>
    <col min="8199" max="8199" width="9.28125" style="231" customWidth="1"/>
    <col min="8200" max="8200" width="11.421875" style="231" customWidth="1"/>
    <col min="8201" max="8201" width="9.28125" style="231" customWidth="1"/>
    <col min="8202" max="8203" width="11.421875" style="231" customWidth="1"/>
    <col min="8204" max="8448" width="9.140625" style="231" customWidth="1"/>
    <col min="8449" max="8449" width="6.421875" style="231" customWidth="1"/>
    <col min="8450" max="8450" width="12.140625" style="231" customWidth="1"/>
    <col min="8451" max="8451" width="49.28125" style="231" customWidth="1"/>
    <col min="8452" max="8452" width="10.7109375" style="231" customWidth="1"/>
    <col min="8453" max="8453" width="3.57421875" style="231" customWidth="1"/>
    <col min="8454" max="8454" width="5.7109375" style="231" customWidth="1"/>
    <col min="8455" max="8455" width="9.28125" style="231" customWidth="1"/>
    <col min="8456" max="8456" width="11.421875" style="231" customWidth="1"/>
    <col min="8457" max="8457" width="9.28125" style="231" customWidth="1"/>
    <col min="8458" max="8459" width="11.421875" style="231" customWidth="1"/>
    <col min="8460" max="8704" width="9.140625" style="231" customWidth="1"/>
    <col min="8705" max="8705" width="6.421875" style="231" customWidth="1"/>
    <col min="8706" max="8706" width="12.140625" style="231" customWidth="1"/>
    <col min="8707" max="8707" width="49.28125" style="231" customWidth="1"/>
    <col min="8708" max="8708" width="10.7109375" style="231" customWidth="1"/>
    <col min="8709" max="8709" width="3.57421875" style="231" customWidth="1"/>
    <col min="8710" max="8710" width="5.7109375" style="231" customWidth="1"/>
    <col min="8711" max="8711" width="9.28125" style="231" customWidth="1"/>
    <col min="8712" max="8712" width="11.421875" style="231" customWidth="1"/>
    <col min="8713" max="8713" width="9.28125" style="231" customWidth="1"/>
    <col min="8714" max="8715" width="11.421875" style="231" customWidth="1"/>
    <col min="8716" max="8960" width="9.140625" style="231" customWidth="1"/>
    <col min="8961" max="8961" width="6.421875" style="231" customWidth="1"/>
    <col min="8962" max="8962" width="12.140625" style="231" customWidth="1"/>
    <col min="8963" max="8963" width="49.28125" style="231" customWidth="1"/>
    <col min="8964" max="8964" width="10.7109375" style="231" customWidth="1"/>
    <col min="8965" max="8965" width="3.57421875" style="231" customWidth="1"/>
    <col min="8966" max="8966" width="5.7109375" style="231" customWidth="1"/>
    <col min="8967" max="8967" width="9.28125" style="231" customWidth="1"/>
    <col min="8968" max="8968" width="11.421875" style="231" customWidth="1"/>
    <col min="8969" max="8969" width="9.28125" style="231" customWidth="1"/>
    <col min="8970" max="8971" width="11.421875" style="231" customWidth="1"/>
    <col min="8972" max="9216" width="9.140625" style="231" customWidth="1"/>
    <col min="9217" max="9217" width="6.421875" style="231" customWidth="1"/>
    <col min="9218" max="9218" width="12.140625" style="231" customWidth="1"/>
    <col min="9219" max="9219" width="49.28125" style="231" customWidth="1"/>
    <col min="9220" max="9220" width="10.7109375" style="231" customWidth="1"/>
    <col min="9221" max="9221" width="3.57421875" style="231" customWidth="1"/>
    <col min="9222" max="9222" width="5.7109375" style="231" customWidth="1"/>
    <col min="9223" max="9223" width="9.28125" style="231" customWidth="1"/>
    <col min="9224" max="9224" width="11.421875" style="231" customWidth="1"/>
    <col min="9225" max="9225" width="9.28125" style="231" customWidth="1"/>
    <col min="9226" max="9227" width="11.421875" style="231" customWidth="1"/>
    <col min="9228" max="9472" width="9.140625" style="231" customWidth="1"/>
    <col min="9473" max="9473" width="6.421875" style="231" customWidth="1"/>
    <col min="9474" max="9474" width="12.140625" style="231" customWidth="1"/>
    <col min="9475" max="9475" width="49.28125" style="231" customWidth="1"/>
    <col min="9476" max="9476" width="10.7109375" style="231" customWidth="1"/>
    <col min="9477" max="9477" width="3.57421875" style="231" customWidth="1"/>
    <col min="9478" max="9478" width="5.7109375" style="231" customWidth="1"/>
    <col min="9479" max="9479" width="9.28125" style="231" customWidth="1"/>
    <col min="9480" max="9480" width="11.421875" style="231" customWidth="1"/>
    <col min="9481" max="9481" width="9.28125" style="231" customWidth="1"/>
    <col min="9482" max="9483" width="11.421875" style="231" customWidth="1"/>
    <col min="9484" max="9728" width="9.140625" style="231" customWidth="1"/>
    <col min="9729" max="9729" width="6.421875" style="231" customWidth="1"/>
    <col min="9730" max="9730" width="12.140625" style="231" customWidth="1"/>
    <col min="9731" max="9731" width="49.28125" style="231" customWidth="1"/>
    <col min="9732" max="9732" width="10.7109375" style="231" customWidth="1"/>
    <col min="9733" max="9733" width="3.57421875" style="231" customWidth="1"/>
    <col min="9734" max="9734" width="5.7109375" style="231" customWidth="1"/>
    <col min="9735" max="9735" width="9.28125" style="231" customWidth="1"/>
    <col min="9736" max="9736" width="11.421875" style="231" customWidth="1"/>
    <col min="9737" max="9737" width="9.28125" style="231" customWidth="1"/>
    <col min="9738" max="9739" width="11.421875" style="231" customWidth="1"/>
    <col min="9740" max="9984" width="9.140625" style="231" customWidth="1"/>
    <col min="9985" max="9985" width="6.421875" style="231" customWidth="1"/>
    <col min="9986" max="9986" width="12.140625" style="231" customWidth="1"/>
    <col min="9987" max="9987" width="49.28125" style="231" customWidth="1"/>
    <col min="9988" max="9988" width="10.7109375" style="231" customWidth="1"/>
    <col min="9989" max="9989" width="3.57421875" style="231" customWidth="1"/>
    <col min="9990" max="9990" width="5.7109375" style="231" customWidth="1"/>
    <col min="9991" max="9991" width="9.28125" style="231" customWidth="1"/>
    <col min="9992" max="9992" width="11.421875" style="231" customWidth="1"/>
    <col min="9993" max="9993" width="9.28125" style="231" customWidth="1"/>
    <col min="9994" max="9995" width="11.421875" style="231" customWidth="1"/>
    <col min="9996" max="10240" width="9.140625" style="231" customWidth="1"/>
    <col min="10241" max="10241" width="6.421875" style="231" customWidth="1"/>
    <col min="10242" max="10242" width="12.140625" style="231" customWidth="1"/>
    <col min="10243" max="10243" width="49.28125" style="231" customWidth="1"/>
    <col min="10244" max="10244" width="10.7109375" style="231" customWidth="1"/>
    <col min="10245" max="10245" width="3.57421875" style="231" customWidth="1"/>
    <col min="10246" max="10246" width="5.7109375" style="231" customWidth="1"/>
    <col min="10247" max="10247" width="9.28125" style="231" customWidth="1"/>
    <col min="10248" max="10248" width="11.421875" style="231" customWidth="1"/>
    <col min="10249" max="10249" width="9.28125" style="231" customWidth="1"/>
    <col min="10250" max="10251" width="11.421875" style="231" customWidth="1"/>
    <col min="10252" max="10496" width="9.140625" style="231" customWidth="1"/>
    <col min="10497" max="10497" width="6.421875" style="231" customWidth="1"/>
    <col min="10498" max="10498" width="12.140625" style="231" customWidth="1"/>
    <col min="10499" max="10499" width="49.28125" style="231" customWidth="1"/>
    <col min="10500" max="10500" width="10.7109375" style="231" customWidth="1"/>
    <col min="10501" max="10501" width="3.57421875" style="231" customWidth="1"/>
    <col min="10502" max="10502" width="5.7109375" style="231" customWidth="1"/>
    <col min="10503" max="10503" width="9.28125" style="231" customWidth="1"/>
    <col min="10504" max="10504" width="11.421875" style="231" customWidth="1"/>
    <col min="10505" max="10505" width="9.28125" style="231" customWidth="1"/>
    <col min="10506" max="10507" width="11.421875" style="231" customWidth="1"/>
    <col min="10508" max="10752" width="9.140625" style="231" customWidth="1"/>
    <col min="10753" max="10753" width="6.421875" style="231" customWidth="1"/>
    <col min="10754" max="10754" width="12.140625" style="231" customWidth="1"/>
    <col min="10755" max="10755" width="49.28125" style="231" customWidth="1"/>
    <col min="10756" max="10756" width="10.7109375" style="231" customWidth="1"/>
    <col min="10757" max="10757" width="3.57421875" style="231" customWidth="1"/>
    <col min="10758" max="10758" width="5.7109375" style="231" customWidth="1"/>
    <col min="10759" max="10759" width="9.28125" style="231" customWidth="1"/>
    <col min="10760" max="10760" width="11.421875" style="231" customWidth="1"/>
    <col min="10761" max="10761" width="9.28125" style="231" customWidth="1"/>
    <col min="10762" max="10763" width="11.421875" style="231" customWidth="1"/>
    <col min="10764" max="11008" width="9.140625" style="231" customWidth="1"/>
    <col min="11009" max="11009" width="6.421875" style="231" customWidth="1"/>
    <col min="11010" max="11010" width="12.140625" style="231" customWidth="1"/>
    <col min="11011" max="11011" width="49.28125" style="231" customWidth="1"/>
    <col min="11012" max="11012" width="10.7109375" style="231" customWidth="1"/>
    <col min="11013" max="11013" width="3.57421875" style="231" customWidth="1"/>
    <col min="11014" max="11014" width="5.7109375" style="231" customWidth="1"/>
    <col min="11015" max="11015" width="9.28125" style="231" customWidth="1"/>
    <col min="11016" max="11016" width="11.421875" style="231" customWidth="1"/>
    <col min="11017" max="11017" width="9.28125" style="231" customWidth="1"/>
    <col min="11018" max="11019" width="11.421875" style="231" customWidth="1"/>
    <col min="11020" max="11264" width="9.140625" style="231" customWidth="1"/>
    <col min="11265" max="11265" width="6.421875" style="231" customWidth="1"/>
    <col min="11266" max="11266" width="12.140625" style="231" customWidth="1"/>
    <col min="11267" max="11267" width="49.28125" style="231" customWidth="1"/>
    <col min="11268" max="11268" width="10.7109375" style="231" customWidth="1"/>
    <col min="11269" max="11269" width="3.57421875" style="231" customWidth="1"/>
    <col min="11270" max="11270" width="5.7109375" style="231" customWidth="1"/>
    <col min="11271" max="11271" width="9.28125" style="231" customWidth="1"/>
    <col min="11272" max="11272" width="11.421875" style="231" customWidth="1"/>
    <col min="11273" max="11273" width="9.28125" style="231" customWidth="1"/>
    <col min="11274" max="11275" width="11.421875" style="231" customWidth="1"/>
    <col min="11276" max="11520" width="9.140625" style="231" customWidth="1"/>
    <col min="11521" max="11521" width="6.421875" style="231" customWidth="1"/>
    <col min="11522" max="11522" width="12.140625" style="231" customWidth="1"/>
    <col min="11523" max="11523" width="49.28125" style="231" customWidth="1"/>
    <col min="11524" max="11524" width="10.7109375" style="231" customWidth="1"/>
    <col min="11525" max="11525" width="3.57421875" style="231" customWidth="1"/>
    <col min="11526" max="11526" width="5.7109375" style="231" customWidth="1"/>
    <col min="11527" max="11527" width="9.28125" style="231" customWidth="1"/>
    <col min="11528" max="11528" width="11.421875" style="231" customWidth="1"/>
    <col min="11529" max="11529" width="9.28125" style="231" customWidth="1"/>
    <col min="11530" max="11531" width="11.421875" style="231" customWidth="1"/>
    <col min="11532" max="11776" width="9.140625" style="231" customWidth="1"/>
    <col min="11777" max="11777" width="6.421875" style="231" customWidth="1"/>
    <col min="11778" max="11778" width="12.140625" style="231" customWidth="1"/>
    <col min="11779" max="11779" width="49.28125" style="231" customWidth="1"/>
    <col min="11780" max="11780" width="10.7109375" style="231" customWidth="1"/>
    <col min="11781" max="11781" width="3.57421875" style="231" customWidth="1"/>
    <col min="11782" max="11782" width="5.7109375" style="231" customWidth="1"/>
    <col min="11783" max="11783" width="9.28125" style="231" customWidth="1"/>
    <col min="11784" max="11784" width="11.421875" style="231" customWidth="1"/>
    <col min="11785" max="11785" width="9.28125" style="231" customWidth="1"/>
    <col min="11786" max="11787" width="11.421875" style="231" customWidth="1"/>
    <col min="11788" max="12032" width="9.140625" style="231" customWidth="1"/>
    <col min="12033" max="12033" width="6.421875" style="231" customWidth="1"/>
    <col min="12034" max="12034" width="12.140625" style="231" customWidth="1"/>
    <col min="12035" max="12035" width="49.28125" style="231" customWidth="1"/>
    <col min="12036" max="12036" width="10.7109375" style="231" customWidth="1"/>
    <col min="12037" max="12037" width="3.57421875" style="231" customWidth="1"/>
    <col min="12038" max="12038" width="5.7109375" style="231" customWidth="1"/>
    <col min="12039" max="12039" width="9.28125" style="231" customWidth="1"/>
    <col min="12040" max="12040" width="11.421875" style="231" customWidth="1"/>
    <col min="12041" max="12041" width="9.28125" style="231" customWidth="1"/>
    <col min="12042" max="12043" width="11.421875" style="231" customWidth="1"/>
    <col min="12044" max="12288" width="9.140625" style="231" customWidth="1"/>
    <col min="12289" max="12289" width="6.421875" style="231" customWidth="1"/>
    <col min="12290" max="12290" width="12.140625" style="231" customWidth="1"/>
    <col min="12291" max="12291" width="49.28125" style="231" customWidth="1"/>
    <col min="12292" max="12292" width="10.7109375" style="231" customWidth="1"/>
    <col min="12293" max="12293" width="3.57421875" style="231" customWidth="1"/>
    <col min="12294" max="12294" width="5.7109375" style="231" customWidth="1"/>
    <col min="12295" max="12295" width="9.28125" style="231" customWidth="1"/>
    <col min="12296" max="12296" width="11.421875" style="231" customWidth="1"/>
    <col min="12297" max="12297" width="9.28125" style="231" customWidth="1"/>
    <col min="12298" max="12299" width="11.421875" style="231" customWidth="1"/>
    <col min="12300" max="12544" width="9.140625" style="231" customWidth="1"/>
    <col min="12545" max="12545" width="6.421875" style="231" customWidth="1"/>
    <col min="12546" max="12546" width="12.140625" style="231" customWidth="1"/>
    <col min="12547" max="12547" width="49.28125" style="231" customWidth="1"/>
    <col min="12548" max="12548" width="10.7109375" style="231" customWidth="1"/>
    <col min="12549" max="12549" width="3.57421875" style="231" customWidth="1"/>
    <col min="12550" max="12550" width="5.7109375" style="231" customWidth="1"/>
    <col min="12551" max="12551" width="9.28125" style="231" customWidth="1"/>
    <col min="12552" max="12552" width="11.421875" style="231" customWidth="1"/>
    <col min="12553" max="12553" width="9.28125" style="231" customWidth="1"/>
    <col min="12554" max="12555" width="11.421875" style="231" customWidth="1"/>
    <col min="12556" max="12800" width="9.140625" style="231" customWidth="1"/>
    <col min="12801" max="12801" width="6.421875" style="231" customWidth="1"/>
    <col min="12802" max="12802" width="12.140625" style="231" customWidth="1"/>
    <col min="12803" max="12803" width="49.28125" style="231" customWidth="1"/>
    <col min="12804" max="12804" width="10.7109375" style="231" customWidth="1"/>
    <col min="12805" max="12805" width="3.57421875" style="231" customWidth="1"/>
    <col min="12806" max="12806" width="5.7109375" style="231" customWidth="1"/>
    <col min="12807" max="12807" width="9.28125" style="231" customWidth="1"/>
    <col min="12808" max="12808" width="11.421875" style="231" customWidth="1"/>
    <col min="12809" max="12809" width="9.28125" style="231" customWidth="1"/>
    <col min="12810" max="12811" width="11.421875" style="231" customWidth="1"/>
    <col min="12812" max="13056" width="9.140625" style="231" customWidth="1"/>
    <col min="13057" max="13057" width="6.421875" style="231" customWidth="1"/>
    <col min="13058" max="13058" width="12.140625" style="231" customWidth="1"/>
    <col min="13059" max="13059" width="49.28125" style="231" customWidth="1"/>
    <col min="13060" max="13060" width="10.7109375" style="231" customWidth="1"/>
    <col min="13061" max="13061" width="3.57421875" style="231" customWidth="1"/>
    <col min="13062" max="13062" width="5.7109375" style="231" customWidth="1"/>
    <col min="13063" max="13063" width="9.28125" style="231" customWidth="1"/>
    <col min="13064" max="13064" width="11.421875" style="231" customWidth="1"/>
    <col min="13065" max="13065" width="9.28125" style="231" customWidth="1"/>
    <col min="13066" max="13067" width="11.421875" style="231" customWidth="1"/>
    <col min="13068" max="13312" width="9.140625" style="231" customWidth="1"/>
    <col min="13313" max="13313" width="6.421875" style="231" customWidth="1"/>
    <col min="13314" max="13314" width="12.140625" style="231" customWidth="1"/>
    <col min="13315" max="13315" width="49.28125" style="231" customWidth="1"/>
    <col min="13316" max="13316" width="10.7109375" style="231" customWidth="1"/>
    <col min="13317" max="13317" width="3.57421875" style="231" customWidth="1"/>
    <col min="13318" max="13318" width="5.7109375" style="231" customWidth="1"/>
    <col min="13319" max="13319" width="9.28125" style="231" customWidth="1"/>
    <col min="13320" max="13320" width="11.421875" style="231" customWidth="1"/>
    <col min="13321" max="13321" width="9.28125" style="231" customWidth="1"/>
    <col min="13322" max="13323" width="11.421875" style="231" customWidth="1"/>
    <col min="13324" max="13568" width="9.140625" style="231" customWidth="1"/>
    <col min="13569" max="13569" width="6.421875" style="231" customWidth="1"/>
    <col min="13570" max="13570" width="12.140625" style="231" customWidth="1"/>
    <col min="13571" max="13571" width="49.28125" style="231" customWidth="1"/>
    <col min="13572" max="13572" width="10.7109375" style="231" customWidth="1"/>
    <col min="13573" max="13573" width="3.57421875" style="231" customWidth="1"/>
    <col min="13574" max="13574" width="5.7109375" style="231" customWidth="1"/>
    <col min="13575" max="13575" width="9.28125" style="231" customWidth="1"/>
    <col min="13576" max="13576" width="11.421875" style="231" customWidth="1"/>
    <col min="13577" max="13577" width="9.28125" style="231" customWidth="1"/>
    <col min="13578" max="13579" width="11.421875" style="231" customWidth="1"/>
    <col min="13580" max="13824" width="9.140625" style="231" customWidth="1"/>
    <col min="13825" max="13825" width="6.421875" style="231" customWidth="1"/>
    <col min="13826" max="13826" width="12.140625" style="231" customWidth="1"/>
    <col min="13827" max="13827" width="49.28125" style="231" customWidth="1"/>
    <col min="13828" max="13828" width="10.7109375" style="231" customWidth="1"/>
    <col min="13829" max="13829" width="3.57421875" style="231" customWidth="1"/>
    <col min="13830" max="13830" width="5.7109375" style="231" customWidth="1"/>
    <col min="13831" max="13831" width="9.28125" style="231" customWidth="1"/>
    <col min="13832" max="13832" width="11.421875" style="231" customWidth="1"/>
    <col min="13833" max="13833" width="9.28125" style="231" customWidth="1"/>
    <col min="13834" max="13835" width="11.421875" style="231" customWidth="1"/>
    <col min="13836" max="14080" width="9.140625" style="231" customWidth="1"/>
    <col min="14081" max="14081" width="6.421875" style="231" customWidth="1"/>
    <col min="14082" max="14082" width="12.140625" style="231" customWidth="1"/>
    <col min="14083" max="14083" width="49.28125" style="231" customWidth="1"/>
    <col min="14084" max="14084" width="10.7109375" style="231" customWidth="1"/>
    <col min="14085" max="14085" width="3.57421875" style="231" customWidth="1"/>
    <col min="14086" max="14086" width="5.7109375" style="231" customWidth="1"/>
    <col min="14087" max="14087" width="9.28125" style="231" customWidth="1"/>
    <col min="14088" max="14088" width="11.421875" style="231" customWidth="1"/>
    <col min="14089" max="14089" width="9.28125" style="231" customWidth="1"/>
    <col min="14090" max="14091" width="11.421875" style="231" customWidth="1"/>
    <col min="14092" max="14336" width="9.140625" style="231" customWidth="1"/>
    <col min="14337" max="14337" width="6.421875" style="231" customWidth="1"/>
    <col min="14338" max="14338" width="12.140625" style="231" customWidth="1"/>
    <col min="14339" max="14339" width="49.28125" style="231" customWidth="1"/>
    <col min="14340" max="14340" width="10.7109375" style="231" customWidth="1"/>
    <col min="14341" max="14341" width="3.57421875" style="231" customWidth="1"/>
    <col min="14342" max="14342" width="5.7109375" style="231" customWidth="1"/>
    <col min="14343" max="14343" width="9.28125" style="231" customWidth="1"/>
    <col min="14344" max="14344" width="11.421875" style="231" customWidth="1"/>
    <col min="14345" max="14345" width="9.28125" style="231" customWidth="1"/>
    <col min="14346" max="14347" width="11.421875" style="231" customWidth="1"/>
    <col min="14348" max="14592" width="9.140625" style="231" customWidth="1"/>
    <col min="14593" max="14593" width="6.421875" style="231" customWidth="1"/>
    <col min="14594" max="14594" width="12.140625" style="231" customWidth="1"/>
    <col min="14595" max="14595" width="49.28125" style="231" customWidth="1"/>
    <col min="14596" max="14596" width="10.7109375" style="231" customWidth="1"/>
    <col min="14597" max="14597" width="3.57421875" style="231" customWidth="1"/>
    <col min="14598" max="14598" width="5.7109375" style="231" customWidth="1"/>
    <col min="14599" max="14599" width="9.28125" style="231" customWidth="1"/>
    <col min="14600" max="14600" width="11.421875" style="231" customWidth="1"/>
    <col min="14601" max="14601" width="9.28125" style="231" customWidth="1"/>
    <col min="14602" max="14603" width="11.421875" style="231" customWidth="1"/>
    <col min="14604" max="14848" width="9.140625" style="231" customWidth="1"/>
    <col min="14849" max="14849" width="6.421875" style="231" customWidth="1"/>
    <col min="14850" max="14850" width="12.140625" style="231" customWidth="1"/>
    <col min="14851" max="14851" width="49.28125" style="231" customWidth="1"/>
    <col min="14852" max="14852" width="10.7109375" style="231" customWidth="1"/>
    <col min="14853" max="14853" width="3.57421875" style="231" customWidth="1"/>
    <col min="14854" max="14854" width="5.7109375" style="231" customWidth="1"/>
    <col min="14855" max="14855" width="9.28125" style="231" customWidth="1"/>
    <col min="14856" max="14856" width="11.421875" style="231" customWidth="1"/>
    <col min="14857" max="14857" width="9.28125" style="231" customWidth="1"/>
    <col min="14858" max="14859" width="11.421875" style="231" customWidth="1"/>
    <col min="14860" max="15104" width="9.140625" style="231" customWidth="1"/>
    <col min="15105" max="15105" width="6.421875" style="231" customWidth="1"/>
    <col min="15106" max="15106" width="12.140625" style="231" customWidth="1"/>
    <col min="15107" max="15107" width="49.28125" style="231" customWidth="1"/>
    <col min="15108" max="15108" width="10.7109375" style="231" customWidth="1"/>
    <col min="15109" max="15109" width="3.57421875" style="231" customWidth="1"/>
    <col min="15110" max="15110" width="5.7109375" style="231" customWidth="1"/>
    <col min="15111" max="15111" width="9.28125" style="231" customWidth="1"/>
    <col min="15112" max="15112" width="11.421875" style="231" customWidth="1"/>
    <col min="15113" max="15113" width="9.28125" style="231" customWidth="1"/>
    <col min="15114" max="15115" width="11.421875" style="231" customWidth="1"/>
    <col min="15116" max="15360" width="9.140625" style="231" customWidth="1"/>
    <col min="15361" max="15361" width="6.421875" style="231" customWidth="1"/>
    <col min="15362" max="15362" width="12.140625" style="231" customWidth="1"/>
    <col min="15363" max="15363" width="49.28125" style="231" customWidth="1"/>
    <col min="15364" max="15364" width="10.7109375" style="231" customWidth="1"/>
    <col min="15365" max="15365" width="3.57421875" style="231" customWidth="1"/>
    <col min="15366" max="15366" width="5.7109375" style="231" customWidth="1"/>
    <col min="15367" max="15367" width="9.28125" style="231" customWidth="1"/>
    <col min="15368" max="15368" width="11.421875" style="231" customWidth="1"/>
    <col min="15369" max="15369" width="9.28125" style="231" customWidth="1"/>
    <col min="15370" max="15371" width="11.421875" style="231" customWidth="1"/>
    <col min="15372" max="15616" width="9.140625" style="231" customWidth="1"/>
    <col min="15617" max="15617" width="6.421875" style="231" customWidth="1"/>
    <col min="15618" max="15618" width="12.140625" style="231" customWidth="1"/>
    <col min="15619" max="15619" width="49.28125" style="231" customWidth="1"/>
    <col min="15620" max="15620" width="10.7109375" style="231" customWidth="1"/>
    <col min="15621" max="15621" width="3.57421875" style="231" customWidth="1"/>
    <col min="15622" max="15622" width="5.7109375" style="231" customWidth="1"/>
    <col min="15623" max="15623" width="9.28125" style="231" customWidth="1"/>
    <col min="15624" max="15624" width="11.421875" style="231" customWidth="1"/>
    <col min="15625" max="15625" width="9.28125" style="231" customWidth="1"/>
    <col min="15626" max="15627" width="11.421875" style="231" customWidth="1"/>
    <col min="15628" max="15872" width="9.140625" style="231" customWidth="1"/>
    <col min="15873" max="15873" width="6.421875" style="231" customWidth="1"/>
    <col min="15874" max="15874" width="12.140625" style="231" customWidth="1"/>
    <col min="15875" max="15875" width="49.28125" style="231" customWidth="1"/>
    <col min="15876" max="15876" width="10.7109375" style="231" customWidth="1"/>
    <col min="15877" max="15877" width="3.57421875" style="231" customWidth="1"/>
    <col min="15878" max="15878" width="5.7109375" style="231" customWidth="1"/>
    <col min="15879" max="15879" width="9.28125" style="231" customWidth="1"/>
    <col min="15880" max="15880" width="11.421875" style="231" customWidth="1"/>
    <col min="15881" max="15881" width="9.28125" style="231" customWidth="1"/>
    <col min="15882" max="15883" width="11.421875" style="231" customWidth="1"/>
    <col min="15884" max="16128" width="9.140625" style="231" customWidth="1"/>
    <col min="16129" max="16129" width="6.421875" style="231" customWidth="1"/>
    <col min="16130" max="16130" width="12.140625" style="231" customWidth="1"/>
    <col min="16131" max="16131" width="49.28125" style="231" customWidth="1"/>
    <col min="16132" max="16132" width="10.7109375" style="231" customWidth="1"/>
    <col min="16133" max="16133" width="3.57421875" style="231" customWidth="1"/>
    <col min="16134" max="16134" width="5.7109375" style="231" customWidth="1"/>
    <col min="16135" max="16135" width="9.28125" style="231" customWidth="1"/>
    <col min="16136" max="16136" width="11.421875" style="231" customWidth="1"/>
    <col min="16137" max="16137" width="9.28125" style="231" customWidth="1"/>
    <col min="16138" max="16139" width="11.421875" style="231" customWidth="1"/>
    <col min="16140" max="16384" width="9.140625" style="231" customWidth="1"/>
  </cols>
  <sheetData>
    <row r="2" spans="1:11" s="236" customFormat="1" ht="18">
      <c r="A2" s="387" t="s">
        <v>2524</v>
      </c>
      <c r="B2" s="387"/>
      <c r="C2" s="387"/>
      <c r="D2" s="387"/>
      <c r="E2" s="387"/>
      <c r="F2" s="389"/>
      <c r="G2" s="390"/>
      <c r="H2" s="390"/>
      <c r="I2" s="390"/>
      <c r="J2" s="390"/>
      <c r="K2" s="390"/>
    </row>
    <row r="3" spans="1:11" s="241" customFormat="1" ht="11.25">
      <c r="A3" s="388" t="s">
        <v>2890</v>
      </c>
      <c r="B3" s="388"/>
      <c r="C3" s="388" t="s">
        <v>2891</v>
      </c>
      <c r="D3" s="388"/>
      <c r="E3" s="388"/>
      <c r="F3" s="391"/>
      <c r="G3" s="392"/>
      <c r="H3" s="392"/>
      <c r="I3" s="392"/>
      <c r="J3" s="392"/>
      <c r="K3" s="392"/>
    </row>
    <row r="4" spans="1:11" s="241" customFormat="1" ht="11.25">
      <c r="A4" s="388" t="s">
        <v>2892</v>
      </c>
      <c r="B4" s="388"/>
      <c r="C4" s="388"/>
      <c r="D4" s="388"/>
      <c r="E4" s="388"/>
      <c r="F4" s="393" t="s">
        <v>17</v>
      </c>
      <c r="G4" s="392"/>
      <c r="H4" s="392"/>
      <c r="I4" s="392"/>
      <c r="J4" s="392"/>
      <c r="K4" s="392"/>
    </row>
    <row r="5" spans="1:11" s="241" customFormat="1" ht="11.25" customHeight="1">
      <c r="A5" s="388" t="s">
        <v>2893</v>
      </c>
      <c r="B5" s="388"/>
      <c r="C5" s="388" t="s">
        <v>2894</v>
      </c>
      <c r="D5" s="388"/>
      <c r="E5" s="388"/>
      <c r="F5" s="536" t="s">
        <v>2524</v>
      </c>
      <c r="G5" s="537"/>
      <c r="H5" s="537"/>
      <c r="I5" s="537"/>
      <c r="J5" s="537"/>
      <c r="K5" s="537"/>
    </row>
    <row r="6" spans="1:11" s="241" customFormat="1" ht="11.25" customHeight="1">
      <c r="A6" s="388" t="s">
        <v>2</v>
      </c>
      <c r="B6" s="388"/>
      <c r="C6" s="388"/>
      <c r="D6" s="388"/>
      <c r="E6" s="388"/>
      <c r="F6" s="394" t="s">
        <v>18</v>
      </c>
      <c r="G6" s="392"/>
      <c r="H6" s="392"/>
      <c r="I6" s="392"/>
      <c r="J6" s="392"/>
      <c r="K6" s="392"/>
    </row>
    <row r="7" spans="1:11" s="241" customFormat="1" ht="11.25" customHeight="1">
      <c r="A7" s="388" t="s">
        <v>2896</v>
      </c>
      <c r="B7" s="388"/>
      <c r="C7" s="388"/>
      <c r="D7" s="388"/>
      <c r="E7" s="395"/>
      <c r="F7" s="538">
        <v>43896</v>
      </c>
      <c r="G7" s="539"/>
      <c r="H7" s="539"/>
      <c r="I7" s="539"/>
      <c r="J7" s="539"/>
      <c r="K7" s="539"/>
    </row>
    <row r="8" spans="1:11" s="241" customFormat="1" ht="11.25">
      <c r="A8" s="396"/>
      <c r="B8" s="396"/>
      <c r="C8" s="396"/>
      <c r="D8" s="396"/>
      <c r="E8" s="396"/>
      <c r="F8" s="397"/>
      <c r="G8" s="398"/>
      <c r="H8" s="398"/>
      <c r="I8" s="398"/>
      <c r="J8" s="398"/>
      <c r="K8" s="398"/>
    </row>
    <row r="9" spans="1:11" s="248" customFormat="1" ht="11.25" customHeight="1">
      <c r="A9" s="518"/>
      <c r="B9" s="519"/>
      <c r="C9" s="519"/>
      <c r="D9" s="519"/>
      <c r="E9" s="519"/>
      <c r="F9" s="519"/>
      <c r="G9" s="520"/>
      <c r="H9" s="519"/>
      <c r="I9" s="520"/>
      <c r="J9" s="519"/>
      <c r="K9" s="520"/>
    </row>
    <row r="10" spans="1:11" s="249" customFormat="1" ht="15" customHeight="1">
      <c r="A10" s="540" t="s">
        <v>2338</v>
      </c>
      <c r="B10" s="542" t="s">
        <v>2897</v>
      </c>
      <c r="C10" s="544" t="s">
        <v>2898</v>
      </c>
      <c r="D10" s="545" t="s">
        <v>2524</v>
      </c>
      <c r="E10" s="544" t="s">
        <v>65</v>
      </c>
      <c r="F10" s="547" t="s">
        <v>2900</v>
      </c>
      <c r="G10" s="532" t="s">
        <v>2901</v>
      </c>
      <c r="H10" s="550"/>
      <c r="I10" s="532" t="s">
        <v>2902</v>
      </c>
      <c r="J10" s="533"/>
      <c r="K10" s="534" t="s">
        <v>73</v>
      </c>
    </row>
    <row r="11" spans="1:11" s="249" customFormat="1" ht="15" customHeight="1">
      <c r="A11" s="540"/>
      <c r="B11" s="542"/>
      <c r="C11" s="544"/>
      <c r="D11" s="545"/>
      <c r="E11" s="544"/>
      <c r="F11" s="548"/>
      <c r="G11" s="381" t="s">
        <v>2903</v>
      </c>
      <c r="H11" s="382" t="s">
        <v>73</v>
      </c>
      <c r="I11" s="381" t="s">
        <v>2903</v>
      </c>
      <c r="J11" s="382" t="s">
        <v>73</v>
      </c>
      <c r="K11" s="535"/>
    </row>
    <row r="12" spans="1:11" s="249" customFormat="1" ht="15" customHeight="1">
      <c r="A12" s="541"/>
      <c r="B12" s="543"/>
      <c r="C12" s="543"/>
      <c r="D12" s="546"/>
      <c r="E12" s="543"/>
      <c r="F12" s="549"/>
      <c r="G12" s="382" t="s">
        <v>2904</v>
      </c>
      <c r="H12" s="382" t="s">
        <v>1764</v>
      </c>
      <c r="I12" s="382" t="s">
        <v>2904</v>
      </c>
      <c r="J12" s="382" t="s">
        <v>1764</v>
      </c>
      <c r="K12" s="383" t="s">
        <v>1764</v>
      </c>
    </row>
    <row r="13" spans="1:11" ht="12.75">
      <c r="A13" s="253"/>
      <c r="B13" s="254" t="s">
        <v>50</v>
      </c>
      <c r="C13" s="255" t="s">
        <v>2905</v>
      </c>
      <c r="D13" s="256"/>
      <c r="E13" s="257"/>
      <c r="F13" s="399"/>
      <c r="G13" s="399"/>
      <c r="H13" s="399"/>
      <c r="I13" s="399"/>
      <c r="J13" s="399"/>
      <c r="K13" s="399"/>
    </row>
    <row r="14" spans="1:11" ht="12.75">
      <c r="A14" s="253"/>
      <c r="B14" s="254" t="s">
        <v>50</v>
      </c>
      <c r="C14" s="255" t="s">
        <v>2906</v>
      </c>
      <c r="D14" s="256"/>
      <c r="E14" s="257"/>
      <c r="F14" s="258"/>
      <c r="G14" s="258"/>
      <c r="H14" s="258"/>
      <c r="I14" s="258"/>
      <c r="J14" s="258"/>
      <c r="K14" s="258"/>
    </row>
    <row r="15" spans="1:11" ht="12.75">
      <c r="A15" s="253"/>
      <c r="B15" s="254" t="s">
        <v>50</v>
      </c>
      <c r="C15" s="255" t="s">
        <v>2907</v>
      </c>
      <c r="D15" s="256"/>
      <c r="E15" s="257"/>
      <c r="F15" s="258"/>
      <c r="G15" s="258"/>
      <c r="H15" s="258"/>
      <c r="I15" s="258"/>
      <c r="J15" s="258"/>
      <c r="K15" s="258"/>
    </row>
    <row r="16" spans="1:11" ht="12.75">
      <c r="A16" s="253"/>
      <c r="B16" s="254" t="s">
        <v>50</v>
      </c>
      <c r="C16" s="255" t="s">
        <v>2908</v>
      </c>
      <c r="D16" s="256"/>
      <c r="E16" s="257"/>
      <c r="F16" s="258"/>
      <c r="G16" s="258"/>
      <c r="H16" s="258"/>
      <c r="I16" s="258"/>
      <c r="J16" s="258"/>
      <c r="K16" s="258"/>
    </row>
    <row r="17" spans="1:11" s="241" customFormat="1" ht="6" customHeight="1">
      <c r="A17" s="259"/>
      <c r="B17" s="260"/>
      <c r="C17" s="260"/>
      <c r="D17" s="260"/>
      <c r="E17" s="261"/>
      <c r="F17" s="262"/>
      <c r="G17" s="262"/>
      <c r="H17" s="262"/>
      <c r="I17" s="262"/>
      <c r="J17" s="262"/>
      <c r="K17" s="262"/>
    </row>
    <row r="18" spans="1:11" s="266" customFormat="1" ht="12.75">
      <c r="A18" s="384"/>
      <c r="B18" s="384"/>
      <c r="C18" s="385" t="s">
        <v>2909</v>
      </c>
      <c r="D18" s="384"/>
      <c r="E18" s="384"/>
      <c r="F18" s="384"/>
      <c r="G18" s="384"/>
      <c r="H18" s="386">
        <f>SUM(H19:H25)</f>
        <v>0</v>
      </c>
      <c r="I18" s="384"/>
      <c r="J18" s="386">
        <f>SUM(J19:J25)</f>
        <v>0</v>
      </c>
      <c r="K18" s="386">
        <f>SUM(K19:K25)</f>
        <v>0</v>
      </c>
    </row>
    <row r="19" spans="1:11" s="274" customFormat="1" ht="22.5">
      <c r="A19" s="267"/>
      <c r="B19" s="268" t="s">
        <v>2910</v>
      </c>
      <c r="C19" s="269" t="s">
        <v>2911</v>
      </c>
      <c r="D19" s="267"/>
      <c r="E19" s="270" t="s">
        <v>2107</v>
      </c>
      <c r="F19" s="271">
        <v>1</v>
      </c>
      <c r="G19" s="370"/>
      <c r="H19" s="272">
        <f>F19*G19</f>
        <v>0</v>
      </c>
      <c r="I19" s="370"/>
      <c r="J19" s="272">
        <f>F19*I19</f>
        <v>0</v>
      </c>
      <c r="K19" s="273">
        <f>H19+J19</f>
        <v>0</v>
      </c>
    </row>
    <row r="20" spans="1:11" s="274" customFormat="1" ht="22.5">
      <c r="A20" s="267"/>
      <c r="B20" s="268" t="s">
        <v>2913</v>
      </c>
      <c r="C20" s="269" t="s">
        <v>2914</v>
      </c>
      <c r="D20" s="267"/>
      <c r="E20" s="270" t="s">
        <v>2107</v>
      </c>
      <c r="F20" s="271">
        <v>1</v>
      </c>
      <c r="G20" s="370"/>
      <c r="H20" s="272">
        <f aca="true" t="shared" si="0" ref="H20:H25">F20*G20</f>
        <v>0</v>
      </c>
      <c r="I20" s="370"/>
      <c r="J20" s="272">
        <f aca="true" t="shared" si="1" ref="J20:J25">F20*I20</f>
        <v>0</v>
      </c>
      <c r="K20" s="273">
        <f aca="true" t="shared" si="2" ref="K20:K25">H20+J20</f>
        <v>0</v>
      </c>
    </row>
    <row r="21" spans="1:11" s="274" customFormat="1" ht="22.5">
      <c r="A21" s="267"/>
      <c r="B21" s="268" t="s">
        <v>2916</v>
      </c>
      <c r="C21" s="269" t="s">
        <v>2917</v>
      </c>
      <c r="D21" s="267"/>
      <c r="E21" s="270" t="s">
        <v>2107</v>
      </c>
      <c r="F21" s="271">
        <v>1</v>
      </c>
      <c r="G21" s="370"/>
      <c r="H21" s="272">
        <f t="shared" si="0"/>
        <v>0</v>
      </c>
      <c r="I21" s="370"/>
      <c r="J21" s="272">
        <f t="shared" si="1"/>
        <v>0</v>
      </c>
      <c r="K21" s="273">
        <f t="shared" si="2"/>
        <v>0</v>
      </c>
    </row>
    <row r="22" spans="1:11" s="274" customFormat="1" ht="22.5">
      <c r="A22" s="267"/>
      <c r="B22" s="268" t="s">
        <v>2919</v>
      </c>
      <c r="C22" s="269" t="s">
        <v>2920</v>
      </c>
      <c r="D22" s="267"/>
      <c r="E22" s="270" t="s">
        <v>2107</v>
      </c>
      <c r="F22" s="271">
        <v>1</v>
      </c>
      <c r="G22" s="370"/>
      <c r="H22" s="272">
        <f t="shared" si="0"/>
        <v>0</v>
      </c>
      <c r="I22" s="370"/>
      <c r="J22" s="272">
        <f t="shared" si="1"/>
        <v>0</v>
      </c>
      <c r="K22" s="273">
        <f t="shared" si="2"/>
        <v>0</v>
      </c>
    </row>
    <row r="23" spans="1:11" s="274" customFormat="1" ht="22.5">
      <c r="A23" s="267"/>
      <c r="B23" s="268" t="s">
        <v>2921</v>
      </c>
      <c r="C23" s="269" t="s">
        <v>2922</v>
      </c>
      <c r="D23" s="267"/>
      <c r="E23" s="270" t="s">
        <v>2107</v>
      </c>
      <c r="F23" s="271">
        <v>1</v>
      </c>
      <c r="G23" s="370"/>
      <c r="H23" s="272">
        <f t="shared" si="0"/>
        <v>0</v>
      </c>
      <c r="I23" s="370"/>
      <c r="J23" s="272">
        <f t="shared" si="1"/>
        <v>0</v>
      </c>
      <c r="K23" s="273">
        <f t="shared" si="2"/>
        <v>0</v>
      </c>
    </row>
    <row r="24" spans="1:11" s="274" customFormat="1" ht="11.25">
      <c r="A24" s="267"/>
      <c r="B24" s="268" t="s">
        <v>2924</v>
      </c>
      <c r="C24" s="269" t="s">
        <v>2925</v>
      </c>
      <c r="D24" s="267"/>
      <c r="E24" s="270" t="s">
        <v>2107</v>
      </c>
      <c r="F24" s="271">
        <v>6</v>
      </c>
      <c r="G24" s="370"/>
      <c r="H24" s="272">
        <f t="shared" si="0"/>
        <v>0</v>
      </c>
      <c r="I24" s="370"/>
      <c r="J24" s="272">
        <f t="shared" si="1"/>
        <v>0</v>
      </c>
      <c r="K24" s="273">
        <f t="shared" si="2"/>
        <v>0</v>
      </c>
    </row>
    <row r="25" spans="1:11" s="274" customFormat="1" ht="78.75">
      <c r="A25" s="267"/>
      <c r="B25" s="268" t="s">
        <v>2926</v>
      </c>
      <c r="C25" s="269" t="s">
        <v>2927</v>
      </c>
      <c r="D25" s="267"/>
      <c r="E25" s="270" t="s">
        <v>2107</v>
      </c>
      <c r="F25" s="271">
        <v>5</v>
      </c>
      <c r="G25" s="370"/>
      <c r="H25" s="272">
        <f t="shared" si="0"/>
        <v>0</v>
      </c>
      <c r="I25" s="370"/>
      <c r="J25" s="272">
        <f t="shared" si="1"/>
        <v>0</v>
      </c>
      <c r="K25" s="273">
        <f t="shared" si="2"/>
        <v>0</v>
      </c>
    </row>
    <row r="26" spans="1:11" s="241" customFormat="1" ht="6" customHeight="1">
      <c r="A26" s="259"/>
      <c r="B26" s="260"/>
      <c r="C26" s="260"/>
      <c r="D26" s="260"/>
      <c r="E26" s="261"/>
      <c r="F26" s="262"/>
      <c r="G26" s="262"/>
      <c r="H26" s="262"/>
      <c r="I26" s="262"/>
      <c r="J26" s="262"/>
      <c r="K26" s="262"/>
    </row>
    <row r="27" spans="1:11" s="266" customFormat="1" ht="12.75">
      <c r="A27" s="384"/>
      <c r="B27" s="384"/>
      <c r="C27" s="385" t="s">
        <v>2929</v>
      </c>
      <c r="D27" s="384"/>
      <c r="E27" s="384"/>
      <c r="F27" s="384"/>
      <c r="G27" s="384"/>
      <c r="H27" s="386">
        <f>SUM(H28:H30)</f>
        <v>0</v>
      </c>
      <c r="I27" s="384"/>
      <c r="J27" s="386">
        <f>SUM(J28:J30)</f>
        <v>0</v>
      </c>
      <c r="K27" s="386">
        <f>SUM(K28:K30)</f>
        <v>0</v>
      </c>
    </row>
    <row r="28" spans="1:11" s="274" customFormat="1" ht="33.75">
      <c r="A28" s="267"/>
      <c r="B28" s="268" t="s">
        <v>2930</v>
      </c>
      <c r="C28" s="269" t="s">
        <v>2931</v>
      </c>
      <c r="D28" s="267"/>
      <c r="E28" s="270" t="s">
        <v>395</v>
      </c>
      <c r="F28" s="271">
        <v>400</v>
      </c>
      <c r="G28" s="370"/>
      <c r="H28" s="272">
        <f>F28*G28</f>
        <v>0</v>
      </c>
      <c r="I28" s="370"/>
      <c r="J28" s="272">
        <f>F28*I28</f>
        <v>0</v>
      </c>
      <c r="K28" s="273">
        <f>H28+J28</f>
        <v>0</v>
      </c>
    </row>
    <row r="29" spans="1:11" s="274" customFormat="1" ht="22.5">
      <c r="A29" s="267"/>
      <c r="B29" s="268"/>
      <c r="C29" s="269" t="s">
        <v>2932</v>
      </c>
      <c r="D29" s="267"/>
      <c r="E29" s="270" t="s">
        <v>395</v>
      </c>
      <c r="F29" s="271">
        <v>250</v>
      </c>
      <c r="G29" s="370"/>
      <c r="H29" s="272">
        <f>F29*G29</f>
        <v>0</v>
      </c>
      <c r="I29" s="370"/>
      <c r="J29" s="272">
        <f>F29*I29</f>
        <v>0</v>
      </c>
      <c r="K29" s="273">
        <f>H29+J29</f>
        <v>0</v>
      </c>
    </row>
    <row r="30" spans="1:11" s="274" customFormat="1" ht="11.25">
      <c r="A30" s="267"/>
      <c r="B30" s="268"/>
      <c r="C30" s="269" t="s">
        <v>2933</v>
      </c>
      <c r="D30" s="267"/>
      <c r="E30" s="270" t="s">
        <v>2107</v>
      </c>
      <c r="F30" s="271">
        <v>3</v>
      </c>
      <c r="G30" s="370"/>
      <c r="H30" s="272">
        <f>F30*G30</f>
        <v>0</v>
      </c>
      <c r="I30" s="370"/>
      <c r="J30" s="272">
        <f>F30*I30</f>
        <v>0</v>
      </c>
      <c r="K30" s="273">
        <f>H30+J30</f>
        <v>0</v>
      </c>
    </row>
    <row r="31" spans="1:11" s="241" customFormat="1" ht="6" customHeight="1">
      <c r="A31" s="259"/>
      <c r="B31" s="260"/>
      <c r="C31" s="260"/>
      <c r="D31" s="260"/>
      <c r="E31" s="261"/>
      <c r="F31" s="262"/>
      <c r="G31" s="262"/>
      <c r="H31" s="262"/>
      <c r="I31" s="262"/>
      <c r="J31" s="262"/>
      <c r="K31" s="262"/>
    </row>
    <row r="32" spans="1:11" s="266" customFormat="1" ht="12.75">
      <c r="A32" s="384"/>
      <c r="B32" s="384"/>
      <c r="C32" s="385" t="s">
        <v>2934</v>
      </c>
      <c r="D32" s="384"/>
      <c r="E32" s="384"/>
      <c r="F32" s="384"/>
      <c r="G32" s="384"/>
      <c r="H32" s="386">
        <f>SUM(H33:H37)</f>
        <v>0</v>
      </c>
      <c r="I32" s="384"/>
      <c r="J32" s="386">
        <f>SUM(J33:J37)</f>
        <v>0</v>
      </c>
      <c r="K32" s="386">
        <f>SUM(K33:K37)</f>
        <v>0</v>
      </c>
    </row>
    <row r="33" spans="1:11" s="274" customFormat="1" ht="11.25">
      <c r="A33" s="267"/>
      <c r="B33" s="268"/>
      <c r="C33" s="269" t="s">
        <v>2935</v>
      </c>
      <c r="D33" s="267"/>
      <c r="E33" s="270" t="s">
        <v>2064</v>
      </c>
      <c r="F33" s="271">
        <v>1</v>
      </c>
      <c r="G33" s="370"/>
      <c r="H33" s="272">
        <f>F33*G33</f>
        <v>0</v>
      </c>
      <c r="I33" s="370"/>
      <c r="J33" s="272">
        <f>F33*I33</f>
        <v>0</v>
      </c>
      <c r="K33" s="273">
        <f>H33+J33</f>
        <v>0</v>
      </c>
    </row>
    <row r="34" spans="1:11" s="274" customFormat="1" ht="11.25">
      <c r="A34" s="267"/>
      <c r="B34" s="268"/>
      <c r="C34" s="269" t="s">
        <v>2936</v>
      </c>
      <c r="D34" s="267"/>
      <c r="E34" s="270" t="s">
        <v>93</v>
      </c>
      <c r="F34" s="271">
        <v>2</v>
      </c>
      <c r="G34" s="370"/>
      <c r="H34" s="272">
        <f>F34*G34</f>
        <v>0</v>
      </c>
      <c r="I34" s="370"/>
      <c r="J34" s="272">
        <f>F34*I34</f>
        <v>0</v>
      </c>
      <c r="K34" s="273">
        <f>H34+J34</f>
        <v>0</v>
      </c>
    </row>
    <row r="35" spans="1:11" s="274" customFormat="1" ht="11.25">
      <c r="A35" s="267"/>
      <c r="B35" s="268"/>
      <c r="C35" s="269" t="s">
        <v>2937</v>
      </c>
      <c r="D35" s="267"/>
      <c r="E35" s="270" t="s">
        <v>93</v>
      </c>
      <c r="F35" s="271">
        <v>2</v>
      </c>
      <c r="G35" s="370"/>
      <c r="H35" s="272">
        <f>F35*G35</f>
        <v>0</v>
      </c>
      <c r="I35" s="370"/>
      <c r="J35" s="272">
        <f>F35*I35</f>
        <v>0</v>
      </c>
      <c r="K35" s="273">
        <f>H35+J35</f>
        <v>0</v>
      </c>
    </row>
    <row r="36" spans="1:11" s="274" customFormat="1" ht="11.25">
      <c r="A36" s="267"/>
      <c r="B36" s="268"/>
      <c r="C36" s="269" t="s">
        <v>2938</v>
      </c>
      <c r="D36" s="267"/>
      <c r="E36" s="270" t="s">
        <v>2064</v>
      </c>
      <c r="F36" s="271">
        <v>1</v>
      </c>
      <c r="G36" s="370"/>
      <c r="H36" s="272">
        <f>F36*G36</f>
        <v>0</v>
      </c>
      <c r="I36" s="370"/>
      <c r="J36" s="272">
        <f>F36*I36</f>
        <v>0</v>
      </c>
      <c r="K36" s="273">
        <f>H36+J36</f>
        <v>0</v>
      </c>
    </row>
    <row r="37" spans="1:11" s="274" customFormat="1" ht="11.25">
      <c r="A37" s="267"/>
      <c r="B37" s="268"/>
      <c r="C37" s="269" t="s">
        <v>2939</v>
      </c>
      <c r="D37" s="267"/>
      <c r="E37" s="270" t="s">
        <v>2064</v>
      </c>
      <c r="F37" s="271">
        <v>1</v>
      </c>
      <c r="G37" s="370"/>
      <c r="H37" s="272">
        <f>F37*G37</f>
        <v>0</v>
      </c>
      <c r="I37" s="370"/>
      <c r="J37" s="272">
        <f>F37*I37</f>
        <v>0</v>
      </c>
      <c r="K37" s="273">
        <f>H37+J37</f>
        <v>0</v>
      </c>
    </row>
    <row r="38" spans="1:11" s="241" customFormat="1" ht="6" customHeight="1">
      <c r="A38" s="259"/>
      <c r="B38" s="275"/>
      <c r="C38" s="275"/>
      <c r="D38" s="275"/>
      <c r="E38" s="276"/>
      <c r="F38" s="262"/>
      <c r="G38" s="262"/>
      <c r="H38" s="262"/>
      <c r="I38" s="262"/>
      <c r="J38" s="262"/>
      <c r="K38" s="262"/>
    </row>
    <row r="40" spans="3:11" ht="12.75">
      <c r="C40" s="277" t="s">
        <v>42</v>
      </c>
      <c r="H40" s="278">
        <f>SUM(H32+H27+H18)</f>
        <v>0</v>
      </c>
      <c r="I40" s="278"/>
      <c r="J40" s="278">
        <f>SUM(J32+J27+J18)</f>
        <v>0</v>
      </c>
      <c r="K40" s="278">
        <f>SUM(K32+K27+K18)</f>
        <v>0</v>
      </c>
    </row>
  </sheetData>
  <mergeCells count="12">
    <mergeCell ref="I10:J10"/>
    <mergeCell ref="K10:K11"/>
    <mergeCell ref="F5:K5"/>
    <mergeCell ref="F7:K7"/>
    <mergeCell ref="A9:K9"/>
    <mergeCell ref="A10:A12"/>
    <mergeCell ref="B10:B12"/>
    <mergeCell ref="C10:C12"/>
    <mergeCell ref="D10:D12"/>
    <mergeCell ref="E10:E12"/>
    <mergeCell ref="F10:F12"/>
    <mergeCell ref="G10:H10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3"/>
  <sheetViews>
    <sheetView workbookViewId="0" topLeftCell="A13">
      <selection activeCell="D31" sqref="D31"/>
    </sheetView>
  </sheetViews>
  <sheetFormatPr defaultColWidth="9.140625" defaultRowHeight="12.75"/>
  <cols>
    <col min="1" max="1" width="6.421875" style="225" customWidth="1"/>
    <col min="2" max="2" width="12.140625" style="226" customWidth="1"/>
    <col min="3" max="3" width="49.28125" style="227" customWidth="1"/>
    <col min="4" max="4" width="10.7109375" style="228" customWidth="1"/>
    <col min="5" max="5" width="3.57421875" style="228" customWidth="1"/>
    <col min="6" max="6" width="5.7109375" style="229" customWidth="1"/>
    <col min="7" max="7" width="9.28125" style="230" customWidth="1"/>
    <col min="8" max="8" width="11.421875" style="230" customWidth="1"/>
    <col min="9" max="9" width="9.28125" style="230" customWidth="1"/>
    <col min="10" max="10" width="11.421875" style="230" customWidth="1"/>
    <col min="11" max="11" width="15.57421875" style="230" customWidth="1"/>
    <col min="12" max="256" width="9.140625" style="231" customWidth="1"/>
    <col min="257" max="257" width="6.421875" style="231" customWidth="1"/>
    <col min="258" max="258" width="12.140625" style="231" customWidth="1"/>
    <col min="259" max="259" width="49.28125" style="231" customWidth="1"/>
    <col min="260" max="260" width="10.7109375" style="231" customWidth="1"/>
    <col min="261" max="261" width="3.57421875" style="231" customWidth="1"/>
    <col min="262" max="262" width="5.7109375" style="231" customWidth="1"/>
    <col min="263" max="263" width="9.28125" style="231" customWidth="1"/>
    <col min="264" max="264" width="11.421875" style="231" customWidth="1"/>
    <col min="265" max="265" width="9.28125" style="231" customWidth="1"/>
    <col min="266" max="267" width="11.421875" style="231" customWidth="1"/>
    <col min="268" max="512" width="9.140625" style="231" customWidth="1"/>
    <col min="513" max="513" width="6.421875" style="231" customWidth="1"/>
    <col min="514" max="514" width="12.140625" style="231" customWidth="1"/>
    <col min="515" max="515" width="49.28125" style="231" customWidth="1"/>
    <col min="516" max="516" width="10.7109375" style="231" customWidth="1"/>
    <col min="517" max="517" width="3.57421875" style="231" customWidth="1"/>
    <col min="518" max="518" width="5.7109375" style="231" customWidth="1"/>
    <col min="519" max="519" width="9.28125" style="231" customWidth="1"/>
    <col min="520" max="520" width="11.421875" style="231" customWidth="1"/>
    <col min="521" max="521" width="9.28125" style="231" customWidth="1"/>
    <col min="522" max="523" width="11.421875" style="231" customWidth="1"/>
    <col min="524" max="768" width="9.140625" style="231" customWidth="1"/>
    <col min="769" max="769" width="6.421875" style="231" customWidth="1"/>
    <col min="770" max="770" width="12.140625" style="231" customWidth="1"/>
    <col min="771" max="771" width="49.28125" style="231" customWidth="1"/>
    <col min="772" max="772" width="10.7109375" style="231" customWidth="1"/>
    <col min="773" max="773" width="3.57421875" style="231" customWidth="1"/>
    <col min="774" max="774" width="5.7109375" style="231" customWidth="1"/>
    <col min="775" max="775" width="9.28125" style="231" customWidth="1"/>
    <col min="776" max="776" width="11.421875" style="231" customWidth="1"/>
    <col min="777" max="777" width="9.28125" style="231" customWidth="1"/>
    <col min="778" max="779" width="11.421875" style="231" customWidth="1"/>
    <col min="780" max="1024" width="9.140625" style="231" customWidth="1"/>
    <col min="1025" max="1025" width="6.421875" style="231" customWidth="1"/>
    <col min="1026" max="1026" width="12.140625" style="231" customWidth="1"/>
    <col min="1027" max="1027" width="49.28125" style="231" customWidth="1"/>
    <col min="1028" max="1028" width="10.7109375" style="231" customWidth="1"/>
    <col min="1029" max="1029" width="3.57421875" style="231" customWidth="1"/>
    <col min="1030" max="1030" width="5.7109375" style="231" customWidth="1"/>
    <col min="1031" max="1031" width="9.28125" style="231" customWidth="1"/>
    <col min="1032" max="1032" width="11.421875" style="231" customWidth="1"/>
    <col min="1033" max="1033" width="9.28125" style="231" customWidth="1"/>
    <col min="1034" max="1035" width="11.421875" style="231" customWidth="1"/>
    <col min="1036" max="1280" width="9.140625" style="231" customWidth="1"/>
    <col min="1281" max="1281" width="6.421875" style="231" customWidth="1"/>
    <col min="1282" max="1282" width="12.140625" style="231" customWidth="1"/>
    <col min="1283" max="1283" width="49.28125" style="231" customWidth="1"/>
    <col min="1284" max="1284" width="10.7109375" style="231" customWidth="1"/>
    <col min="1285" max="1285" width="3.57421875" style="231" customWidth="1"/>
    <col min="1286" max="1286" width="5.7109375" style="231" customWidth="1"/>
    <col min="1287" max="1287" width="9.28125" style="231" customWidth="1"/>
    <col min="1288" max="1288" width="11.421875" style="231" customWidth="1"/>
    <col min="1289" max="1289" width="9.28125" style="231" customWidth="1"/>
    <col min="1290" max="1291" width="11.421875" style="231" customWidth="1"/>
    <col min="1292" max="1536" width="9.140625" style="231" customWidth="1"/>
    <col min="1537" max="1537" width="6.421875" style="231" customWidth="1"/>
    <col min="1538" max="1538" width="12.140625" style="231" customWidth="1"/>
    <col min="1539" max="1539" width="49.28125" style="231" customWidth="1"/>
    <col min="1540" max="1540" width="10.7109375" style="231" customWidth="1"/>
    <col min="1541" max="1541" width="3.57421875" style="231" customWidth="1"/>
    <col min="1542" max="1542" width="5.7109375" style="231" customWidth="1"/>
    <col min="1543" max="1543" width="9.28125" style="231" customWidth="1"/>
    <col min="1544" max="1544" width="11.421875" style="231" customWidth="1"/>
    <col min="1545" max="1545" width="9.28125" style="231" customWidth="1"/>
    <col min="1546" max="1547" width="11.421875" style="231" customWidth="1"/>
    <col min="1548" max="1792" width="9.140625" style="231" customWidth="1"/>
    <col min="1793" max="1793" width="6.421875" style="231" customWidth="1"/>
    <col min="1794" max="1794" width="12.140625" style="231" customWidth="1"/>
    <col min="1795" max="1795" width="49.28125" style="231" customWidth="1"/>
    <col min="1796" max="1796" width="10.7109375" style="231" customWidth="1"/>
    <col min="1797" max="1797" width="3.57421875" style="231" customWidth="1"/>
    <col min="1798" max="1798" width="5.7109375" style="231" customWidth="1"/>
    <col min="1799" max="1799" width="9.28125" style="231" customWidth="1"/>
    <col min="1800" max="1800" width="11.421875" style="231" customWidth="1"/>
    <col min="1801" max="1801" width="9.28125" style="231" customWidth="1"/>
    <col min="1802" max="1803" width="11.421875" style="231" customWidth="1"/>
    <col min="1804" max="2048" width="9.140625" style="231" customWidth="1"/>
    <col min="2049" max="2049" width="6.421875" style="231" customWidth="1"/>
    <col min="2050" max="2050" width="12.140625" style="231" customWidth="1"/>
    <col min="2051" max="2051" width="49.28125" style="231" customWidth="1"/>
    <col min="2052" max="2052" width="10.7109375" style="231" customWidth="1"/>
    <col min="2053" max="2053" width="3.57421875" style="231" customWidth="1"/>
    <col min="2054" max="2054" width="5.7109375" style="231" customWidth="1"/>
    <col min="2055" max="2055" width="9.28125" style="231" customWidth="1"/>
    <col min="2056" max="2056" width="11.421875" style="231" customWidth="1"/>
    <col min="2057" max="2057" width="9.28125" style="231" customWidth="1"/>
    <col min="2058" max="2059" width="11.421875" style="231" customWidth="1"/>
    <col min="2060" max="2304" width="9.140625" style="231" customWidth="1"/>
    <col min="2305" max="2305" width="6.421875" style="231" customWidth="1"/>
    <col min="2306" max="2306" width="12.140625" style="231" customWidth="1"/>
    <col min="2307" max="2307" width="49.28125" style="231" customWidth="1"/>
    <col min="2308" max="2308" width="10.7109375" style="231" customWidth="1"/>
    <col min="2309" max="2309" width="3.57421875" style="231" customWidth="1"/>
    <col min="2310" max="2310" width="5.7109375" style="231" customWidth="1"/>
    <col min="2311" max="2311" width="9.28125" style="231" customWidth="1"/>
    <col min="2312" max="2312" width="11.421875" style="231" customWidth="1"/>
    <col min="2313" max="2313" width="9.28125" style="231" customWidth="1"/>
    <col min="2314" max="2315" width="11.421875" style="231" customWidth="1"/>
    <col min="2316" max="2560" width="9.140625" style="231" customWidth="1"/>
    <col min="2561" max="2561" width="6.421875" style="231" customWidth="1"/>
    <col min="2562" max="2562" width="12.140625" style="231" customWidth="1"/>
    <col min="2563" max="2563" width="49.28125" style="231" customWidth="1"/>
    <col min="2564" max="2564" width="10.7109375" style="231" customWidth="1"/>
    <col min="2565" max="2565" width="3.57421875" style="231" customWidth="1"/>
    <col min="2566" max="2566" width="5.7109375" style="231" customWidth="1"/>
    <col min="2567" max="2567" width="9.28125" style="231" customWidth="1"/>
    <col min="2568" max="2568" width="11.421875" style="231" customWidth="1"/>
    <col min="2569" max="2569" width="9.28125" style="231" customWidth="1"/>
    <col min="2570" max="2571" width="11.421875" style="231" customWidth="1"/>
    <col min="2572" max="2816" width="9.140625" style="231" customWidth="1"/>
    <col min="2817" max="2817" width="6.421875" style="231" customWidth="1"/>
    <col min="2818" max="2818" width="12.140625" style="231" customWidth="1"/>
    <col min="2819" max="2819" width="49.28125" style="231" customWidth="1"/>
    <col min="2820" max="2820" width="10.7109375" style="231" customWidth="1"/>
    <col min="2821" max="2821" width="3.57421875" style="231" customWidth="1"/>
    <col min="2822" max="2822" width="5.7109375" style="231" customWidth="1"/>
    <col min="2823" max="2823" width="9.28125" style="231" customWidth="1"/>
    <col min="2824" max="2824" width="11.421875" style="231" customWidth="1"/>
    <col min="2825" max="2825" width="9.28125" style="231" customWidth="1"/>
    <col min="2826" max="2827" width="11.421875" style="231" customWidth="1"/>
    <col min="2828" max="3072" width="9.140625" style="231" customWidth="1"/>
    <col min="3073" max="3073" width="6.421875" style="231" customWidth="1"/>
    <col min="3074" max="3074" width="12.140625" style="231" customWidth="1"/>
    <col min="3075" max="3075" width="49.28125" style="231" customWidth="1"/>
    <col min="3076" max="3076" width="10.7109375" style="231" customWidth="1"/>
    <col min="3077" max="3077" width="3.57421875" style="231" customWidth="1"/>
    <col min="3078" max="3078" width="5.7109375" style="231" customWidth="1"/>
    <col min="3079" max="3079" width="9.28125" style="231" customWidth="1"/>
    <col min="3080" max="3080" width="11.421875" style="231" customWidth="1"/>
    <col min="3081" max="3081" width="9.28125" style="231" customWidth="1"/>
    <col min="3082" max="3083" width="11.421875" style="231" customWidth="1"/>
    <col min="3084" max="3328" width="9.140625" style="231" customWidth="1"/>
    <col min="3329" max="3329" width="6.421875" style="231" customWidth="1"/>
    <col min="3330" max="3330" width="12.140625" style="231" customWidth="1"/>
    <col min="3331" max="3331" width="49.28125" style="231" customWidth="1"/>
    <col min="3332" max="3332" width="10.7109375" style="231" customWidth="1"/>
    <col min="3333" max="3333" width="3.57421875" style="231" customWidth="1"/>
    <col min="3334" max="3334" width="5.7109375" style="231" customWidth="1"/>
    <col min="3335" max="3335" width="9.28125" style="231" customWidth="1"/>
    <col min="3336" max="3336" width="11.421875" style="231" customWidth="1"/>
    <col min="3337" max="3337" width="9.28125" style="231" customWidth="1"/>
    <col min="3338" max="3339" width="11.421875" style="231" customWidth="1"/>
    <col min="3340" max="3584" width="9.140625" style="231" customWidth="1"/>
    <col min="3585" max="3585" width="6.421875" style="231" customWidth="1"/>
    <col min="3586" max="3586" width="12.140625" style="231" customWidth="1"/>
    <col min="3587" max="3587" width="49.28125" style="231" customWidth="1"/>
    <col min="3588" max="3588" width="10.7109375" style="231" customWidth="1"/>
    <col min="3589" max="3589" width="3.57421875" style="231" customWidth="1"/>
    <col min="3590" max="3590" width="5.7109375" style="231" customWidth="1"/>
    <col min="3591" max="3591" width="9.28125" style="231" customWidth="1"/>
    <col min="3592" max="3592" width="11.421875" style="231" customWidth="1"/>
    <col min="3593" max="3593" width="9.28125" style="231" customWidth="1"/>
    <col min="3594" max="3595" width="11.421875" style="231" customWidth="1"/>
    <col min="3596" max="3840" width="9.140625" style="231" customWidth="1"/>
    <col min="3841" max="3841" width="6.421875" style="231" customWidth="1"/>
    <col min="3842" max="3842" width="12.140625" style="231" customWidth="1"/>
    <col min="3843" max="3843" width="49.28125" style="231" customWidth="1"/>
    <col min="3844" max="3844" width="10.7109375" style="231" customWidth="1"/>
    <col min="3845" max="3845" width="3.57421875" style="231" customWidth="1"/>
    <col min="3846" max="3846" width="5.7109375" style="231" customWidth="1"/>
    <col min="3847" max="3847" width="9.28125" style="231" customWidth="1"/>
    <col min="3848" max="3848" width="11.421875" style="231" customWidth="1"/>
    <col min="3849" max="3849" width="9.28125" style="231" customWidth="1"/>
    <col min="3850" max="3851" width="11.421875" style="231" customWidth="1"/>
    <col min="3852" max="4096" width="9.140625" style="231" customWidth="1"/>
    <col min="4097" max="4097" width="6.421875" style="231" customWidth="1"/>
    <col min="4098" max="4098" width="12.140625" style="231" customWidth="1"/>
    <col min="4099" max="4099" width="49.28125" style="231" customWidth="1"/>
    <col min="4100" max="4100" width="10.7109375" style="231" customWidth="1"/>
    <col min="4101" max="4101" width="3.57421875" style="231" customWidth="1"/>
    <col min="4102" max="4102" width="5.7109375" style="231" customWidth="1"/>
    <col min="4103" max="4103" width="9.28125" style="231" customWidth="1"/>
    <col min="4104" max="4104" width="11.421875" style="231" customWidth="1"/>
    <col min="4105" max="4105" width="9.28125" style="231" customWidth="1"/>
    <col min="4106" max="4107" width="11.421875" style="231" customWidth="1"/>
    <col min="4108" max="4352" width="9.140625" style="231" customWidth="1"/>
    <col min="4353" max="4353" width="6.421875" style="231" customWidth="1"/>
    <col min="4354" max="4354" width="12.140625" style="231" customWidth="1"/>
    <col min="4355" max="4355" width="49.28125" style="231" customWidth="1"/>
    <col min="4356" max="4356" width="10.7109375" style="231" customWidth="1"/>
    <col min="4357" max="4357" width="3.57421875" style="231" customWidth="1"/>
    <col min="4358" max="4358" width="5.7109375" style="231" customWidth="1"/>
    <col min="4359" max="4359" width="9.28125" style="231" customWidth="1"/>
    <col min="4360" max="4360" width="11.421875" style="231" customWidth="1"/>
    <col min="4361" max="4361" width="9.28125" style="231" customWidth="1"/>
    <col min="4362" max="4363" width="11.421875" style="231" customWidth="1"/>
    <col min="4364" max="4608" width="9.140625" style="231" customWidth="1"/>
    <col min="4609" max="4609" width="6.421875" style="231" customWidth="1"/>
    <col min="4610" max="4610" width="12.140625" style="231" customWidth="1"/>
    <col min="4611" max="4611" width="49.28125" style="231" customWidth="1"/>
    <col min="4612" max="4612" width="10.7109375" style="231" customWidth="1"/>
    <col min="4613" max="4613" width="3.57421875" style="231" customWidth="1"/>
    <col min="4614" max="4614" width="5.7109375" style="231" customWidth="1"/>
    <col min="4615" max="4615" width="9.28125" style="231" customWidth="1"/>
    <col min="4616" max="4616" width="11.421875" style="231" customWidth="1"/>
    <col min="4617" max="4617" width="9.28125" style="231" customWidth="1"/>
    <col min="4618" max="4619" width="11.421875" style="231" customWidth="1"/>
    <col min="4620" max="4864" width="9.140625" style="231" customWidth="1"/>
    <col min="4865" max="4865" width="6.421875" style="231" customWidth="1"/>
    <col min="4866" max="4866" width="12.140625" style="231" customWidth="1"/>
    <col min="4867" max="4867" width="49.28125" style="231" customWidth="1"/>
    <col min="4868" max="4868" width="10.7109375" style="231" customWidth="1"/>
    <col min="4869" max="4869" width="3.57421875" style="231" customWidth="1"/>
    <col min="4870" max="4870" width="5.7109375" style="231" customWidth="1"/>
    <col min="4871" max="4871" width="9.28125" style="231" customWidth="1"/>
    <col min="4872" max="4872" width="11.421875" style="231" customWidth="1"/>
    <col min="4873" max="4873" width="9.28125" style="231" customWidth="1"/>
    <col min="4874" max="4875" width="11.421875" style="231" customWidth="1"/>
    <col min="4876" max="5120" width="9.140625" style="231" customWidth="1"/>
    <col min="5121" max="5121" width="6.421875" style="231" customWidth="1"/>
    <col min="5122" max="5122" width="12.140625" style="231" customWidth="1"/>
    <col min="5123" max="5123" width="49.28125" style="231" customWidth="1"/>
    <col min="5124" max="5124" width="10.7109375" style="231" customWidth="1"/>
    <col min="5125" max="5125" width="3.57421875" style="231" customWidth="1"/>
    <col min="5126" max="5126" width="5.7109375" style="231" customWidth="1"/>
    <col min="5127" max="5127" width="9.28125" style="231" customWidth="1"/>
    <col min="5128" max="5128" width="11.421875" style="231" customWidth="1"/>
    <col min="5129" max="5129" width="9.28125" style="231" customWidth="1"/>
    <col min="5130" max="5131" width="11.421875" style="231" customWidth="1"/>
    <col min="5132" max="5376" width="9.140625" style="231" customWidth="1"/>
    <col min="5377" max="5377" width="6.421875" style="231" customWidth="1"/>
    <col min="5378" max="5378" width="12.140625" style="231" customWidth="1"/>
    <col min="5379" max="5379" width="49.28125" style="231" customWidth="1"/>
    <col min="5380" max="5380" width="10.7109375" style="231" customWidth="1"/>
    <col min="5381" max="5381" width="3.57421875" style="231" customWidth="1"/>
    <col min="5382" max="5382" width="5.7109375" style="231" customWidth="1"/>
    <col min="5383" max="5383" width="9.28125" style="231" customWidth="1"/>
    <col min="5384" max="5384" width="11.421875" style="231" customWidth="1"/>
    <col min="5385" max="5385" width="9.28125" style="231" customWidth="1"/>
    <col min="5386" max="5387" width="11.421875" style="231" customWidth="1"/>
    <col min="5388" max="5632" width="9.140625" style="231" customWidth="1"/>
    <col min="5633" max="5633" width="6.421875" style="231" customWidth="1"/>
    <col min="5634" max="5634" width="12.140625" style="231" customWidth="1"/>
    <col min="5635" max="5635" width="49.28125" style="231" customWidth="1"/>
    <col min="5636" max="5636" width="10.7109375" style="231" customWidth="1"/>
    <col min="5637" max="5637" width="3.57421875" style="231" customWidth="1"/>
    <col min="5638" max="5638" width="5.7109375" style="231" customWidth="1"/>
    <col min="5639" max="5639" width="9.28125" style="231" customWidth="1"/>
    <col min="5640" max="5640" width="11.421875" style="231" customWidth="1"/>
    <col min="5641" max="5641" width="9.28125" style="231" customWidth="1"/>
    <col min="5642" max="5643" width="11.421875" style="231" customWidth="1"/>
    <col min="5644" max="5888" width="9.140625" style="231" customWidth="1"/>
    <col min="5889" max="5889" width="6.421875" style="231" customWidth="1"/>
    <col min="5890" max="5890" width="12.140625" style="231" customWidth="1"/>
    <col min="5891" max="5891" width="49.28125" style="231" customWidth="1"/>
    <col min="5892" max="5892" width="10.7109375" style="231" customWidth="1"/>
    <col min="5893" max="5893" width="3.57421875" style="231" customWidth="1"/>
    <col min="5894" max="5894" width="5.7109375" style="231" customWidth="1"/>
    <col min="5895" max="5895" width="9.28125" style="231" customWidth="1"/>
    <col min="5896" max="5896" width="11.421875" style="231" customWidth="1"/>
    <col min="5897" max="5897" width="9.28125" style="231" customWidth="1"/>
    <col min="5898" max="5899" width="11.421875" style="231" customWidth="1"/>
    <col min="5900" max="6144" width="9.140625" style="231" customWidth="1"/>
    <col min="6145" max="6145" width="6.421875" style="231" customWidth="1"/>
    <col min="6146" max="6146" width="12.140625" style="231" customWidth="1"/>
    <col min="6147" max="6147" width="49.28125" style="231" customWidth="1"/>
    <col min="6148" max="6148" width="10.7109375" style="231" customWidth="1"/>
    <col min="6149" max="6149" width="3.57421875" style="231" customWidth="1"/>
    <col min="6150" max="6150" width="5.7109375" style="231" customWidth="1"/>
    <col min="6151" max="6151" width="9.28125" style="231" customWidth="1"/>
    <col min="6152" max="6152" width="11.421875" style="231" customWidth="1"/>
    <col min="6153" max="6153" width="9.28125" style="231" customWidth="1"/>
    <col min="6154" max="6155" width="11.421875" style="231" customWidth="1"/>
    <col min="6156" max="6400" width="9.140625" style="231" customWidth="1"/>
    <col min="6401" max="6401" width="6.421875" style="231" customWidth="1"/>
    <col min="6402" max="6402" width="12.140625" style="231" customWidth="1"/>
    <col min="6403" max="6403" width="49.28125" style="231" customWidth="1"/>
    <col min="6404" max="6404" width="10.7109375" style="231" customWidth="1"/>
    <col min="6405" max="6405" width="3.57421875" style="231" customWidth="1"/>
    <col min="6406" max="6406" width="5.7109375" style="231" customWidth="1"/>
    <col min="6407" max="6407" width="9.28125" style="231" customWidth="1"/>
    <col min="6408" max="6408" width="11.421875" style="231" customWidth="1"/>
    <col min="6409" max="6409" width="9.28125" style="231" customWidth="1"/>
    <col min="6410" max="6411" width="11.421875" style="231" customWidth="1"/>
    <col min="6412" max="6656" width="9.140625" style="231" customWidth="1"/>
    <col min="6657" max="6657" width="6.421875" style="231" customWidth="1"/>
    <col min="6658" max="6658" width="12.140625" style="231" customWidth="1"/>
    <col min="6659" max="6659" width="49.28125" style="231" customWidth="1"/>
    <col min="6660" max="6660" width="10.7109375" style="231" customWidth="1"/>
    <col min="6661" max="6661" width="3.57421875" style="231" customWidth="1"/>
    <col min="6662" max="6662" width="5.7109375" style="231" customWidth="1"/>
    <col min="6663" max="6663" width="9.28125" style="231" customWidth="1"/>
    <col min="6664" max="6664" width="11.421875" style="231" customWidth="1"/>
    <col min="6665" max="6665" width="9.28125" style="231" customWidth="1"/>
    <col min="6666" max="6667" width="11.421875" style="231" customWidth="1"/>
    <col min="6668" max="6912" width="9.140625" style="231" customWidth="1"/>
    <col min="6913" max="6913" width="6.421875" style="231" customWidth="1"/>
    <col min="6914" max="6914" width="12.140625" style="231" customWidth="1"/>
    <col min="6915" max="6915" width="49.28125" style="231" customWidth="1"/>
    <col min="6916" max="6916" width="10.7109375" style="231" customWidth="1"/>
    <col min="6917" max="6917" width="3.57421875" style="231" customWidth="1"/>
    <col min="6918" max="6918" width="5.7109375" style="231" customWidth="1"/>
    <col min="6919" max="6919" width="9.28125" style="231" customWidth="1"/>
    <col min="6920" max="6920" width="11.421875" style="231" customWidth="1"/>
    <col min="6921" max="6921" width="9.28125" style="231" customWidth="1"/>
    <col min="6922" max="6923" width="11.421875" style="231" customWidth="1"/>
    <col min="6924" max="7168" width="9.140625" style="231" customWidth="1"/>
    <col min="7169" max="7169" width="6.421875" style="231" customWidth="1"/>
    <col min="7170" max="7170" width="12.140625" style="231" customWidth="1"/>
    <col min="7171" max="7171" width="49.28125" style="231" customWidth="1"/>
    <col min="7172" max="7172" width="10.7109375" style="231" customWidth="1"/>
    <col min="7173" max="7173" width="3.57421875" style="231" customWidth="1"/>
    <col min="7174" max="7174" width="5.7109375" style="231" customWidth="1"/>
    <col min="7175" max="7175" width="9.28125" style="231" customWidth="1"/>
    <col min="7176" max="7176" width="11.421875" style="231" customWidth="1"/>
    <col min="7177" max="7177" width="9.28125" style="231" customWidth="1"/>
    <col min="7178" max="7179" width="11.421875" style="231" customWidth="1"/>
    <col min="7180" max="7424" width="9.140625" style="231" customWidth="1"/>
    <col min="7425" max="7425" width="6.421875" style="231" customWidth="1"/>
    <col min="7426" max="7426" width="12.140625" style="231" customWidth="1"/>
    <col min="7427" max="7427" width="49.28125" style="231" customWidth="1"/>
    <col min="7428" max="7428" width="10.7109375" style="231" customWidth="1"/>
    <col min="7429" max="7429" width="3.57421875" style="231" customWidth="1"/>
    <col min="7430" max="7430" width="5.7109375" style="231" customWidth="1"/>
    <col min="7431" max="7431" width="9.28125" style="231" customWidth="1"/>
    <col min="7432" max="7432" width="11.421875" style="231" customWidth="1"/>
    <col min="7433" max="7433" width="9.28125" style="231" customWidth="1"/>
    <col min="7434" max="7435" width="11.421875" style="231" customWidth="1"/>
    <col min="7436" max="7680" width="9.140625" style="231" customWidth="1"/>
    <col min="7681" max="7681" width="6.421875" style="231" customWidth="1"/>
    <col min="7682" max="7682" width="12.140625" style="231" customWidth="1"/>
    <col min="7683" max="7683" width="49.28125" style="231" customWidth="1"/>
    <col min="7684" max="7684" width="10.7109375" style="231" customWidth="1"/>
    <col min="7685" max="7685" width="3.57421875" style="231" customWidth="1"/>
    <col min="7686" max="7686" width="5.7109375" style="231" customWidth="1"/>
    <col min="7687" max="7687" width="9.28125" style="231" customWidth="1"/>
    <col min="7688" max="7688" width="11.421875" style="231" customWidth="1"/>
    <col min="7689" max="7689" width="9.28125" style="231" customWidth="1"/>
    <col min="7690" max="7691" width="11.421875" style="231" customWidth="1"/>
    <col min="7692" max="7936" width="9.140625" style="231" customWidth="1"/>
    <col min="7937" max="7937" width="6.421875" style="231" customWidth="1"/>
    <col min="7938" max="7938" width="12.140625" style="231" customWidth="1"/>
    <col min="7939" max="7939" width="49.28125" style="231" customWidth="1"/>
    <col min="7940" max="7940" width="10.7109375" style="231" customWidth="1"/>
    <col min="7941" max="7941" width="3.57421875" style="231" customWidth="1"/>
    <col min="7942" max="7942" width="5.7109375" style="231" customWidth="1"/>
    <col min="7943" max="7943" width="9.28125" style="231" customWidth="1"/>
    <col min="7944" max="7944" width="11.421875" style="231" customWidth="1"/>
    <col min="7945" max="7945" width="9.28125" style="231" customWidth="1"/>
    <col min="7946" max="7947" width="11.421875" style="231" customWidth="1"/>
    <col min="7948" max="8192" width="9.140625" style="231" customWidth="1"/>
    <col min="8193" max="8193" width="6.421875" style="231" customWidth="1"/>
    <col min="8194" max="8194" width="12.140625" style="231" customWidth="1"/>
    <col min="8195" max="8195" width="49.28125" style="231" customWidth="1"/>
    <col min="8196" max="8196" width="10.7109375" style="231" customWidth="1"/>
    <col min="8197" max="8197" width="3.57421875" style="231" customWidth="1"/>
    <col min="8198" max="8198" width="5.7109375" style="231" customWidth="1"/>
    <col min="8199" max="8199" width="9.28125" style="231" customWidth="1"/>
    <col min="8200" max="8200" width="11.421875" style="231" customWidth="1"/>
    <col min="8201" max="8201" width="9.28125" style="231" customWidth="1"/>
    <col min="8202" max="8203" width="11.421875" style="231" customWidth="1"/>
    <col min="8204" max="8448" width="9.140625" style="231" customWidth="1"/>
    <col min="8449" max="8449" width="6.421875" style="231" customWidth="1"/>
    <col min="8450" max="8450" width="12.140625" style="231" customWidth="1"/>
    <col min="8451" max="8451" width="49.28125" style="231" customWidth="1"/>
    <col min="8452" max="8452" width="10.7109375" style="231" customWidth="1"/>
    <col min="8453" max="8453" width="3.57421875" style="231" customWidth="1"/>
    <col min="8454" max="8454" width="5.7109375" style="231" customWidth="1"/>
    <col min="8455" max="8455" width="9.28125" style="231" customWidth="1"/>
    <col min="8456" max="8456" width="11.421875" style="231" customWidth="1"/>
    <col min="8457" max="8457" width="9.28125" style="231" customWidth="1"/>
    <col min="8458" max="8459" width="11.421875" style="231" customWidth="1"/>
    <col min="8460" max="8704" width="9.140625" style="231" customWidth="1"/>
    <col min="8705" max="8705" width="6.421875" style="231" customWidth="1"/>
    <col min="8706" max="8706" width="12.140625" style="231" customWidth="1"/>
    <col min="8707" max="8707" width="49.28125" style="231" customWidth="1"/>
    <col min="8708" max="8708" width="10.7109375" style="231" customWidth="1"/>
    <col min="8709" max="8709" width="3.57421875" style="231" customWidth="1"/>
    <col min="8710" max="8710" width="5.7109375" style="231" customWidth="1"/>
    <col min="8711" max="8711" width="9.28125" style="231" customWidth="1"/>
    <col min="8712" max="8712" width="11.421875" style="231" customWidth="1"/>
    <col min="8713" max="8713" width="9.28125" style="231" customWidth="1"/>
    <col min="8714" max="8715" width="11.421875" style="231" customWidth="1"/>
    <col min="8716" max="8960" width="9.140625" style="231" customWidth="1"/>
    <col min="8961" max="8961" width="6.421875" style="231" customWidth="1"/>
    <col min="8962" max="8962" width="12.140625" style="231" customWidth="1"/>
    <col min="8963" max="8963" width="49.28125" style="231" customWidth="1"/>
    <col min="8964" max="8964" width="10.7109375" style="231" customWidth="1"/>
    <col min="8965" max="8965" width="3.57421875" style="231" customWidth="1"/>
    <col min="8966" max="8966" width="5.7109375" style="231" customWidth="1"/>
    <col min="8967" max="8967" width="9.28125" style="231" customWidth="1"/>
    <col min="8968" max="8968" width="11.421875" style="231" customWidth="1"/>
    <col min="8969" max="8969" width="9.28125" style="231" customWidth="1"/>
    <col min="8970" max="8971" width="11.421875" style="231" customWidth="1"/>
    <col min="8972" max="9216" width="9.140625" style="231" customWidth="1"/>
    <col min="9217" max="9217" width="6.421875" style="231" customWidth="1"/>
    <col min="9218" max="9218" width="12.140625" style="231" customWidth="1"/>
    <col min="9219" max="9219" width="49.28125" style="231" customWidth="1"/>
    <col min="9220" max="9220" width="10.7109375" style="231" customWidth="1"/>
    <col min="9221" max="9221" width="3.57421875" style="231" customWidth="1"/>
    <col min="9222" max="9222" width="5.7109375" style="231" customWidth="1"/>
    <col min="9223" max="9223" width="9.28125" style="231" customWidth="1"/>
    <col min="9224" max="9224" width="11.421875" style="231" customWidth="1"/>
    <col min="9225" max="9225" width="9.28125" style="231" customWidth="1"/>
    <col min="9226" max="9227" width="11.421875" style="231" customWidth="1"/>
    <col min="9228" max="9472" width="9.140625" style="231" customWidth="1"/>
    <col min="9473" max="9473" width="6.421875" style="231" customWidth="1"/>
    <col min="9474" max="9474" width="12.140625" style="231" customWidth="1"/>
    <col min="9475" max="9475" width="49.28125" style="231" customWidth="1"/>
    <col min="9476" max="9476" width="10.7109375" style="231" customWidth="1"/>
    <col min="9477" max="9477" width="3.57421875" style="231" customWidth="1"/>
    <col min="9478" max="9478" width="5.7109375" style="231" customWidth="1"/>
    <col min="9479" max="9479" width="9.28125" style="231" customWidth="1"/>
    <col min="9480" max="9480" width="11.421875" style="231" customWidth="1"/>
    <col min="9481" max="9481" width="9.28125" style="231" customWidth="1"/>
    <col min="9482" max="9483" width="11.421875" style="231" customWidth="1"/>
    <col min="9484" max="9728" width="9.140625" style="231" customWidth="1"/>
    <col min="9729" max="9729" width="6.421875" style="231" customWidth="1"/>
    <col min="9730" max="9730" width="12.140625" style="231" customWidth="1"/>
    <col min="9731" max="9731" width="49.28125" style="231" customWidth="1"/>
    <col min="9732" max="9732" width="10.7109375" style="231" customWidth="1"/>
    <col min="9733" max="9733" width="3.57421875" style="231" customWidth="1"/>
    <col min="9734" max="9734" width="5.7109375" style="231" customWidth="1"/>
    <col min="9735" max="9735" width="9.28125" style="231" customWidth="1"/>
    <col min="9736" max="9736" width="11.421875" style="231" customWidth="1"/>
    <col min="9737" max="9737" width="9.28125" style="231" customWidth="1"/>
    <col min="9738" max="9739" width="11.421875" style="231" customWidth="1"/>
    <col min="9740" max="9984" width="9.140625" style="231" customWidth="1"/>
    <col min="9985" max="9985" width="6.421875" style="231" customWidth="1"/>
    <col min="9986" max="9986" width="12.140625" style="231" customWidth="1"/>
    <col min="9987" max="9987" width="49.28125" style="231" customWidth="1"/>
    <col min="9988" max="9988" width="10.7109375" style="231" customWidth="1"/>
    <col min="9989" max="9989" width="3.57421875" style="231" customWidth="1"/>
    <col min="9990" max="9990" width="5.7109375" style="231" customWidth="1"/>
    <col min="9991" max="9991" width="9.28125" style="231" customWidth="1"/>
    <col min="9992" max="9992" width="11.421875" style="231" customWidth="1"/>
    <col min="9993" max="9993" width="9.28125" style="231" customWidth="1"/>
    <col min="9994" max="9995" width="11.421875" style="231" customWidth="1"/>
    <col min="9996" max="10240" width="9.140625" style="231" customWidth="1"/>
    <col min="10241" max="10241" width="6.421875" style="231" customWidth="1"/>
    <col min="10242" max="10242" width="12.140625" style="231" customWidth="1"/>
    <col min="10243" max="10243" width="49.28125" style="231" customWidth="1"/>
    <col min="10244" max="10244" width="10.7109375" style="231" customWidth="1"/>
    <col min="10245" max="10245" width="3.57421875" style="231" customWidth="1"/>
    <col min="10246" max="10246" width="5.7109375" style="231" customWidth="1"/>
    <col min="10247" max="10247" width="9.28125" style="231" customWidth="1"/>
    <col min="10248" max="10248" width="11.421875" style="231" customWidth="1"/>
    <col min="10249" max="10249" width="9.28125" style="231" customWidth="1"/>
    <col min="10250" max="10251" width="11.421875" style="231" customWidth="1"/>
    <col min="10252" max="10496" width="9.140625" style="231" customWidth="1"/>
    <col min="10497" max="10497" width="6.421875" style="231" customWidth="1"/>
    <col min="10498" max="10498" width="12.140625" style="231" customWidth="1"/>
    <col min="10499" max="10499" width="49.28125" style="231" customWidth="1"/>
    <col min="10500" max="10500" width="10.7109375" style="231" customWidth="1"/>
    <col min="10501" max="10501" width="3.57421875" style="231" customWidth="1"/>
    <col min="10502" max="10502" width="5.7109375" style="231" customWidth="1"/>
    <col min="10503" max="10503" width="9.28125" style="231" customWidth="1"/>
    <col min="10504" max="10504" width="11.421875" style="231" customWidth="1"/>
    <col min="10505" max="10505" width="9.28125" style="231" customWidth="1"/>
    <col min="10506" max="10507" width="11.421875" style="231" customWidth="1"/>
    <col min="10508" max="10752" width="9.140625" style="231" customWidth="1"/>
    <col min="10753" max="10753" width="6.421875" style="231" customWidth="1"/>
    <col min="10754" max="10754" width="12.140625" style="231" customWidth="1"/>
    <col min="10755" max="10755" width="49.28125" style="231" customWidth="1"/>
    <col min="10756" max="10756" width="10.7109375" style="231" customWidth="1"/>
    <col min="10757" max="10757" width="3.57421875" style="231" customWidth="1"/>
    <col min="10758" max="10758" width="5.7109375" style="231" customWidth="1"/>
    <col min="10759" max="10759" width="9.28125" style="231" customWidth="1"/>
    <col min="10760" max="10760" width="11.421875" style="231" customWidth="1"/>
    <col min="10761" max="10761" width="9.28125" style="231" customWidth="1"/>
    <col min="10762" max="10763" width="11.421875" style="231" customWidth="1"/>
    <col min="10764" max="11008" width="9.140625" style="231" customWidth="1"/>
    <col min="11009" max="11009" width="6.421875" style="231" customWidth="1"/>
    <col min="11010" max="11010" width="12.140625" style="231" customWidth="1"/>
    <col min="11011" max="11011" width="49.28125" style="231" customWidth="1"/>
    <col min="11012" max="11012" width="10.7109375" style="231" customWidth="1"/>
    <col min="11013" max="11013" width="3.57421875" style="231" customWidth="1"/>
    <col min="11014" max="11014" width="5.7109375" style="231" customWidth="1"/>
    <col min="11015" max="11015" width="9.28125" style="231" customWidth="1"/>
    <col min="11016" max="11016" width="11.421875" style="231" customWidth="1"/>
    <col min="11017" max="11017" width="9.28125" style="231" customWidth="1"/>
    <col min="11018" max="11019" width="11.421875" style="231" customWidth="1"/>
    <col min="11020" max="11264" width="9.140625" style="231" customWidth="1"/>
    <col min="11265" max="11265" width="6.421875" style="231" customWidth="1"/>
    <col min="11266" max="11266" width="12.140625" style="231" customWidth="1"/>
    <col min="11267" max="11267" width="49.28125" style="231" customWidth="1"/>
    <col min="11268" max="11268" width="10.7109375" style="231" customWidth="1"/>
    <col min="11269" max="11269" width="3.57421875" style="231" customWidth="1"/>
    <col min="11270" max="11270" width="5.7109375" style="231" customWidth="1"/>
    <col min="11271" max="11271" width="9.28125" style="231" customWidth="1"/>
    <col min="11272" max="11272" width="11.421875" style="231" customWidth="1"/>
    <col min="11273" max="11273" width="9.28125" style="231" customWidth="1"/>
    <col min="11274" max="11275" width="11.421875" style="231" customWidth="1"/>
    <col min="11276" max="11520" width="9.140625" style="231" customWidth="1"/>
    <col min="11521" max="11521" width="6.421875" style="231" customWidth="1"/>
    <col min="11522" max="11522" width="12.140625" style="231" customWidth="1"/>
    <col min="11523" max="11523" width="49.28125" style="231" customWidth="1"/>
    <col min="11524" max="11524" width="10.7109375" style="231" customWidth="1"/>
    <col min="11525" max="11525" width="3.57421875" style="231" customWidth="1"/>
    <col min="11526" max="11526" width="5.7109375" style="231" customWidth="1"/>
    <col min="11527" max="11527" width="9.28125" style="231" customWidth="1"/>
    <col min="11528" max="11528" width="11.421875" style="231" customWidth="1"/>
    <col min="11529" max="11529" width="9.28125" style="231" customWidth="1"/>
    <col min="11530" max="11531" width="11.421875" style="231" customWidth="1"/>
    <col min="11532" max="11776" width="9.140625" style="231" customWidth="1"/>
    <col min="11777" max="11777" width="6.421875" style="231" customWidth="1"/>
    <col min="11778" max="11778" width="12.140625" style="231" customWidth="1"/>
    <col min="11779" max="11779" width="49.28125" style="231" customWidth="1"/>
    <col min="11780" max="11780" width="10.7109375" style="231" customWidth="1"/>
    <col min="11781" max="11781" width="3.57421875" style="231" customWidth="1"/>
    <col min="11782" max="11782" width="5.7109375" style="231" customWidth="1"/>
    <col min="11783" max="11783" width="9.28125" style="231" customWidth="1"/>
    <col min="11784" max="11784" width="11.421875" style="231" customWidth="1"/>
    <col min="11785" max="11785" width="9.28125" style="231" customWidth="1"/>
    <col min="11786" max="11787" width="11.421875" style="231" customWidth="1"/>
    <col min="11788" max="12032" width="9.140625" style="231" customWidth="1"/>
    <col min="12033" max="12033" width="6.421875" style="231" customWidth="1"/>
    <col min="12034" max="12034" width="12.140625" style="231" customWidth="1"/>
    <col min="12035" max="12035" width="49.28125" style="231" customWidth="1"/>
    <col min="12036" max="12036" width="10.7109375" style="231" customWidth="1"/>
    <col min="12037" max="12037" width="3.57421875" style="231" customWidth="1"/>
    <col min="12038" max="12038" width="5.7109375" style="231" customWidth="1"/>
    <col min="12039" max="12039" width="9.28125" style="231" customWidth="1"/>
    <col min="12040" max="12040" width="11.421875" style="231" customWidth="1"/>
    <col min="12041" max="12041" width="9.28125" style="231" customWidth="1"/>
    <col min="12042" max="12043" width="11.421875" style="231" customWidth="1"/>
    <col min="12044" max="12288" width="9.140625" style="231" customWidth="1"/>
    <col min="12289" max="12289" width="6.421875" style="231" customWidth="1"/>
    <col min="12290" max="12290" width="12.140625" style="231" customWidth="1"/>
    <col min="12291" max="12291" width="49.28125" style="231" customWidth="1"/>
    <col min="12292" max="12292" width="10.7109375" style="231" customWidth="1"/>
    <col min="12293" max="12293" width="3.57421875" style="231" customWidth="1"/>
    <col min="12294" max="12294" width="5.7109375" style="231" customWidth="1"/>
    <col min="12295" max="12295" width="9.28125" style="231" customWidth="1"/>
    <col min="12296" max="12296" width="11.421875" style="231" customWidth="1"/>
    <col min="12297" max="12297" width="9.28125" style="231" customWidth="1"/>
    <col min="12298" max="12299" width="11.421875" style="231" customWidth="1"/>
    <col min="12300" max="12544" width="9.140625" style="231" customWidth="1"/>
    <col min="12545" max="12545" width="6.421875" style="231" customWidth="1"/>
    <col min="12546" max="12546" width="12.140625" style="231" customWidth="1"/>
    <col min="12547" max="12547" width="49.28125" style="231" customWidth="1"/>
    <col min="12548" max="12548" width="10.7109375" style="231" customWidth="1"/>
    <col min="12549" max="12549" width="3.57421875" style="231" customWidth="1"/>
    <col min="12550" max="12550" width="5.7109375" style="231" customWidth="1"/>
    <col min="12551" max="12551" width="9.28125" style="231" customWidth="1"/>
    <col min="12552" max="12552" width="11.421875" style="231" customWidth="1"/>
    <col min="12553" max="12553" width="9.28125" style="231" customWidth="1"/>
    <col min="12554" max="12555" width="11.421875" style="231" customWidth="1"/>
    <col min="12556" max="12800" width="9.140625" style="231" customWidth="1"/>
    <col min="12801" max="12801" width="6.421875" style="231" customWidth="1"/>
    <col min="12802" max="12802" width="12.140625" style="231" customWidth="1"/>
    <col min="12803" max="12803" width="49.28125" style="231" customWidth="1"/>
    <col min="12804" max="12804" width="10.7109375" style="231" customWidth="1"/>
    <col min="12805" max="12805" width="3.57421875" style="231" customWidth="1"/>
    <col min="12806" max="12806" width="5.7109375" style="231" customWidth="1"/>
    <col min="12807" max="12807" width="9.28125" style="231" customWidth="1"/>
    <col min="12808" max="12808" width="11.421875" style="231" customWidth="1"/>
    <col min="12809" max="12809" width="9.28125" style="231" customWidth="1"/>
    <col min="12810" max="12811" width="11.421875" style="231" customWidth="1"/>
    <col min="12812" max="13056" width="9.140625" style="231" customWidth="1"/>
    <col min="13057" max="13057" width="6.421875" style="231" customWidth="1"/>
    <col min="13058" max="13058" width="12.140625" style="231" customWidth="1"/>
    <col min="13059" max="13059" width="49.28125" style="231" customWidth="1"/>
    <col min="13060" max="13060" width="10.7109375" style="231" customWidth="1"/>
    <col min="13061" max="13061" width="3.57421875" style="231" customWidth="1"/>
    <col min="13062" max="13062" width="5.7109375" style="231" customWidth="1"/>
    <col min="13063" max="13063" width="9.28125" style="231" customWidth="1"/>
    <col min="13064" max="13064" width="11.421875" style="231" customWidth="1"/>
    <col min="13065" max="13065" width="9.28125" style="231" customWidth="1"/>
    <col min="13066" max="13067" width="11.421875" style="231" customWidth="1"/>
    <col min="13068" max="13312" width="9.140625" style="231" customWidth="1"/>
    <col min="13313" max="13313" width="6.421875" style="231" customWidth="1"/>
    <col min="13314" max="13314" width="12.140625" style="231" customWidth="1"/>
    <col min="13315" max="13315" width="49.28125" style="231" customWidth="1"/>
    <col min="13316" max="13316" width="10.7109375" style="231" customWidth="1"/>
    <col min="13317" max="13317" width="3.57421875" style="231" customWidth="1"/>
    <col min="13318" max="13318" width="5.7109375" style="231" customWidth="1"/>
    <col min="13319" max="13319" width="9.28125" style="231" customWidth="1"/>
    <col min="13320" max="13320" width="11.421875" style="231" customWidth="1"/>
    <col min="13321" max="13321" width="9.28125" style="231" customWidth="1"/>
    <col min="13322" max="13323" width="11.421875" style="231" customWidth="1"/>
    <col min="13324" max="13568" width="9.140625" style="231" customWidth="1"/>
    <col min="13569" max="13569" width="6.421875" style="231" customWidth="1"/>
    <col min="13570" max="13570" width="12.140625" style="231" customWidth="1"/>
    <col min="13571" max="13571" width="49.28125" style="231" customWidth="1"/>
    <col min="13572" max="13572" width="10.7109375" style="231" customWidth="1"/>
    <col min="13573" max="13573" width="3.57421875" style="231" customWidth="1"/>
    <col min="13574" max="13574" width="5.7109375" style="231" customWidth="1"/>
    <col min="13575" max="13575" width="9.28125" style="231" customWidth="1"/>
    <col min="13576" max="13576" width="11.421875" style="231" customWidth="1"/>
    <col min="13577" max="13577" width="9.28125" style="231" customWidth="1"/>
    <col min="13578" max="13579" width="11.421875" style="231" customWidth="1"/>
    <col min="13580" max="13824" width="9.140625" style="231" customWidth="1"/>
    <col min="13825" max="13825" width="6.421875" style="231" customWidth="1"/>
    <col min="13826" max="13826" width="12.140625" style="231" customWidth="1"/>
    <col min="13827" max="13827" width="49.28125" style="231" customWidth="1"/>
    <col min="13828" max="13828" width="10.7109375" style="231" customWidth="1"/>
    <col min="13829" max="13829" width="3.57421875" style="231" customWidth="1"/>
    <col min="13830" max="13830" width="5.7109375" style="231" customWidth="1"/>
    <col min="13831" max="13831" width="9.28125" style="231" customWidth="1"/>
    <col min="13832" max="13832" width="11.421875" style="231" customWidth="1"/>
    <col min="13833" max="13833" width="9.28125" style="231" customWidth="1"/>
    <col min="13834" max="13835" width="11.421875" style="231" customWidth="1"/>
    <col min="13836" max="14080" width="9.140625" style="231" customWidth="1"/>
    <col min="14081" max="14081" width="6.421875" style="231" customWidth="1"/>
    <col min="14082" max="14082" width="12.140625" style="231" customWidth="1"/>
    <col min="14083" max="14083" width="49.28125" style="231" customWidth="1"/>
    <col min="14084" max="14084" width="10.7109375" style="231" customWidth="1"/>
    <col min="14085" max="14085" width="3.57421875" style="231" customWidth="1"/>
    <col min="14086" max="14086" width="5.7109375" style="231" customWidth="1"/>
    <col min="14087" max="14087" width="9.28125" style="231" customWidth="1"/>
    <col min="14088" max="14088" width="11.421875" style="231" customWidth="1"/>
    <col min="14089" max="14089" width="9.28125" style="231" customWidth="1"/>
    <col min="14090" max="14091" width="11.421875" style="231" customWidth="1"/>
    <col min="14092" max="14336" width="9.140625" style="231" customWidth="1"/>
    <col min="14337" max="14337" width="6.421875" style="231" customWidth="1"/>
    <col min="14338" max="14338" width="12.140625" style="231" customWidth="1"/>
    <col min="14339" max="14339" width="49.28125" style="231" customWidth="1"/>
    <col min="14340" max="14340" width="10.7109375" style="231" customWidth="1"/>
    <col min="14341" max="14341" width="3.57421875" style="231" customWidth="1"/>
    <col min="14342" max="14342" width="5.7109375" style="231" customWidth="1"/>
    <col min="14343" max="14343" width="9.28125" style="231" customWidth="1"/>
    <col min="14344" max="14344" width="11.421875" style="231" customWidth="1"/>
    <col min="14345" max="14345" width="9.28125" style="231" customWidth="1"/>
    <col min="14346" max="14347" width="11.421875" style="231" customWidth="1"/>
    <col min="14348" max="14592" width="9.140625" style="231" customWidth="1"/>
    <col min="14593" max="14593" width="6.421875" style="231" customWidth="1"/>
    <col min="14594" max="14594" width="12.140625" style="231" customWidth="1"/>
    <col min="14595" max="14595" width="49.28125" style="231" customWidth="1"/>
    <col min="14596" max="14596" width="10.7109375" style="231" customWidth="1"/>
    <col min="14597" max="14597" width="3.57421875" style="231" customWidth="1"/>
    <col min="14598" max="14598" width="5.7109375" style="231" customWidth="1"/>
    <col min="14599" max="14599" width="9.28125" style="231" customWidth="1"/>
    <col min="14600" max="14600" width="11.421875" style="231" customWidth="1"/>
    <col min="14601" max="14601" width="9.28125" style="231" customWidth="1"/>
    <col min="14602" max="14603" width="11.421875" style="231" customWidth="1"/>
    <col min="14604" max="14848" width="9.140625" style="231" customWidth="1"/>
    <col min="14849" max="14849" width="6.421875" style="231" customWidth="1"/>
    <col min="14850" max="14850" width="12.140625" style="231" customWidth="1"/>
    <col min="14851" max="14851" width="49.28125" style="231" customWidth="1"/>
    <col min="14852" max="14852" width="10.7109375" style="231" customWidth="1"/>
    <col min="14853" max="14853" width="3.57421875" style="231" customWidth="1"/>
    <col min="14854" max="14854" width="5.7109375" style="231" customWidth="1"/>
    <col min="14855" max="14855" width="9.28125" style="231" customWidth="1"/>
    <col min="14856" max="14856" width="11.421875" style="231" customWidth="1"/>
    <col min="14857" max="14857" width="9.28125" style="231" customWidth="1"/>
    <col min="14858" max="14859" width="11.421875" style="231" customWidth="1"/>
    <col min="14860" max="15104" width="9.140625" style="231" customWidth="1"/>
    <col min="15105" max="15105" width="6.421875" style="231" customWidth="1"/>
    <col min="15106" max="15106" width="12.140625" style="231" customWidth="1"/>
    <col min="15107" max="15107" width="49.28125" style="231" customWidth="1"/>
    <col min="15108" max="15108" width="10.7109375" style="231" customWidth="1"/>
    <col min="15109" max="15109" width="3.57421875" style="231" customWidth="1"/>
    <col min="15110" max="15110" width="5.7109375" style="231" customWidth="1"/>
    <col min="15111" max="15111" width="9.28125" style="231" customWidth="1"/>
    <col min="15112" max="15112" width="11.421875" style="231" customWidth="1"/>
    <col min="15113" max="15113" width="9.28125" style="231" customWidth="1"/>
    <col min="15114" max="15115" width="11.421875" style="231" customWidth="1"/>
    <col min="15116" max="15360" width="9.140625" style="231" customWidth="1"/>
    <col min="15361" max="15361" width="6.421875" style="231" customWidth="1"/>
    <col min="15362" max="15362" width="12.140625" style="231" customWidth="1"/>
    <col min="15363" max="15363" width="49.28125" style="231" customWidth="1"/>
    <col min="15364" max="15364" width="10.7109375" style="231" customWidth="1"/>
    <col min="15365" max="15365" width="3.57421875" style="231" customWidth="1"/>
    <col min="15366" max="15366" width="5.7109375" style="231" customWidth="1"/>
    <col min="15367" max="15367" width="9.28125" style="231" customWidth="1"/>
    <col min="15368" max="15368" width="11.421875" style="231" customWidth="1"/>
    <col min="15369" max="15369" width="9.28125" style="231" customWidth="1"/>
    <col min="15370" max="15371" width="11.421875" style="231" customWidth="1"/>
    <col min="15372" max="15616" width="9.140625" style="231" customWidth="1"/>
    <col min="15617" max="15617" width="6.421875" style="231" customWidth="1"/>
    <col min="15618" max="15618" width="12.140625" style="231" customWidth="1"/>
    <col min="15619" max="15619" width="49.28125" style="231" customWidth="1"/>
    <col min="15620" max="15620" width="10.7109375" style="231" customWidth="1"/>
    <col min="15621" max="15621" width="3.57421875" style="231" customWidth="1"/>
    <col min="15622" max="15622" width="5.7109375" style="231" customWidth="1"/>
    <col min="15623" max="15623" width="9.28125" style="231" customWidth="1"/>
    <col min="15624" max="15624" width="11.421875" style="231" customWidth="1"/>
    <col min="15625" max="15625" width="9.28125" style="231" customWidth="1"/>
    <col min="15626" max="15627" width="11.421875" style="231" customWidth="1"/>
    <col min="15628" max="15872" width="9.140625" style="231" customWidth="1"/>
    <col min="15873" max="15873" width="6.421875" style="231" customWidth="1"/>
    <col min="15874" max="15874" width="12.140625" style="231" customWidth="1"/>
    <col min="15875" max="15875" width="49.28125" style="231" customWidth="1"/>
    <col min="15876" max="15876" width="10.7109375" style="231" customWidth="1"/>
    <col min="15877" max="15877" width="3.57421875" style="231" customWidth="1"/>
    <col min="15878" max="15878" width="5.7109375" style="231" customWidth="1"/>
    <col min="15879" max="15879" width="9.28125" style="231" customWidth="1"/>
    <col min="15880" max="15880" width="11.421875" style="231" customWidth="1"/>
    <col min="15881" max="15881" width="9.28125" style="231" customWidth="1"/>
    <col min="15882" max="15883" width="11.421875" style="231" customWidth="1"/>
    <col min="15884" max="16128" width="9.140625" style="231" customWidth="1"/>
    <col min="16129" max="16129" width="6.421875" style="231" customWidth="1"/>
    <col min="16130" max="16130" width="12.140625" style="231" customWidth="1"/>
    <col min="16131" max="16131" width="49.28125" style="231" customWidth="1"/>
    <col min="16132" max="16132" width="10.7109375" style="231" customWidth="1"/>
    <col min="16133" max="16133" width="3.57421875" style="231" customWidth="1"/>
    <col min="16134" max="16134" width="5.7109375" style="231" customWidth="1"/>
    <col min="16135" max="16135" width="9.28125" style="231" customWidth="1"/>
    <col min="16136" max="16136" width="11.421875" style="231" customWidth="1"/>
    <col min="16137" max="16137" width="9.28125" style="231" customWidth="1"/>
    <col min="16138" max="16139" width="11.421875" style="231" customWidth="1"/>
    <col min="16140" max="16384" width="9.140625" style="231" customWidth="1"/>
  </cols>
  <sheetData>
    <row r="1" spans="1:11" s="236" customFormat="1" ht="18">
      <c r="A1" s="232" t="s">
        <v>2889</v>
      </c>
      <c r="B1" s="233"/>
      <c r="C1" s="233"/>
      <c r="D1" s="233"/>
      <c r="E1" s="233"/>
      <c r="F1" s="234"/>
      <c r="G1" s="235"/>
      <c r="H1" s="235"/>
      <c r="I1" s="235"/>
      <c r="J1" s="235"/>
      <c r="K1" s="235"/>
    </row>
    <row r="2" spans="1:11" s="241" customFormat="1" ht="11.25">
      <c r="A2" s="237" t="s">
        <v>2890</v>
      </c>
      <c r="B2" s="237"/>
      <c r="C2" s="237" t="s">
        <v>2891</v>
      </c>
      <c r="D2" s="238"/>
      <c r="E2" s="238"/>
      <c r="F2" s="239"/>
      <c r="G2" s="240"/>
      <c r="H2" s="240"/>
      <c r="I2" s="240"/>
      <c r="J2" s="240"/>
      <c r="K2" s="240"/>
    </row>
    <row r="3" spans="1:11" s="241" customFormat="1" ht="11.25">
      <c r="A3" s="237" t="s">
        <v>2892</v>
      </c>
      <c r="B3" s="237"/>
      <c r="C3" s="237"/>
      <c r="D3" s="238"/>
      <c r="E3" s="238"/>
      <c r="F3" s="242" t="s">
        <v>17</v>
      </c>
      <c r="G3" s="240"/>
      <c r="H3" s="240"/>
      <c r="I3" s="240"/>
      <c r="J3" s="240"/>
      <c r="K3" s="240"/>
    </row>
    <row r="4" spans="1:11" s="241" customFormat="1" ht="11.25" customHeight="1">
      <c r="A4" s="237" t="s">
        <v>2893</v>
      </c>
      <c r="B4" s="237"/>
      <c r="C4" s="237" t="s">
        <v>2940</v>
      </c>
      <c r="D4" s="238"/>
      <c r="E4" s="238"/>
      <c r="F4" s="514" t="s">
        <v>2524</v>
      </c>
      <c r="G4" s="515"/>
      <c r="H4" s="515"/>
      <c r="I4" s="515"/>
      <c r="J4" s="515"/>
      <c r="K4" s="515"/>
    </row>
    <row r="5" spans="1:11" s="241" customFormat="1" ht="11.25" customHeight="1">
      <c r="A5" s="238" t="s">
        <v>2</v>
      </c>
      <c r="B5" s="238"/>
      <c r="C5" s="238"/>
      <c r="D5" s="238"/>
      <c r="E5" s="238"/>
      <c r="F5" s="243" t="s">
        <v>18</v>
      </c>
      <c r="G5" s="240"/>
      <c r="H5" s="240"/>
      <c r="I5" s="240"/>
      <c r="J5" s="240"/>
      <c r="K5" s="240"/>
    </row>
    <row r="6" spans="1:11" s="241" customFormat="1" ht="11.25" customHeight="1">
      <c r="A6" s="238" t="s">
        <v>2896</v>
      </c>
      <c r="B6" s="238"/>
      <c r="C6" s="238"/>
      <c r="D6" s="238"/>
      <c r="E6" s="244"/>
      <c r="F6" s="516" t="s">
        <v>2524</v>
      </c>
      <c r="G6" s="517"/>
      <c r="H6" s="517"/>
      <c r="I6" s="517"/>
      <c r="J6" s="517"/>
      <c r="K6" s="517"/>
    </row>
    <row r="7" spans="1:11" s="241" customFormat="1" ht="11.25">
      <c r="A7" s="245"/>
      <c r="B7" s="245"/>
      <c r="C7" s="245"/>
      <c r="D7" s="245"/>
      <c r="E7" s="245"/>
      <c r="F7" s="246"/>
      <c r="G7" s="247"/>
      <c r="H7" s="247"/>
      <c r="I7" s="247"/>
      <c r="J7" s="247"/>
      <c r="K7" s="247"/>
    </row>
    <row r="8" spans="1:11" s="248" customFormat="1" ht="11.25" customHeight="1">
      <c r="A8" s="518"/>
      <c r="B8" s="519"/>
      <c r="C8" s="519"/>
      <c r="D8" s="519"/>
      <c r="E8" s="519"/>
      <c r="F8" s="519"/>
      <c r="G8" s="520"/>
      <c r="H8" s="519"/>
      <c r="I8" s="520"/>
      <c r="J8" s="519"/>
      <c r="K8" s="520"/>
    </row>
    <row r="9" spans="1:11" s="249" customFormat="1" ht="15" customHeight="1">
      <c r="A9" s="540" t="s">
        <v>2338</v>
      </c>
      <c r="B9" s="542" t="s">
        <v>2897</v>
      </c>
      <c r="C9" s="544" t="s">
        <v>2898</v>
      </c>
      <c r="D9" s="545"/>
      <c r="E9" s="544" t="s">
        <v>65</v>
      </c>
      <c r="F9" s="547" t="s">
        <v>2900</v>
      </c>
      <c r="G9" s="532" t="s">
        <v>2901</v>
      </c>
      <c r="H9" s="550"/>
      <c r="I9" s="532" t="s">
        <v>2902</v>
      </c>
      <c r="J9" s="533"/>
      <c r="K9" s="534" t="s">
        <v>73</v>
      </c>
    </row>
    <row r="10" spans="1:11" s="249" customFormat="1" ht="15" customHeight="1">
      <c r="A10" s="540"/>
      <c r="B10" s="542"/>
      <c r="C10" s="544"/>
      <c r="D10" s="545"/>
      <c r="E10" s="544"/>
      <c r="F10" s="548"/>
      <c r="G10" s="381" t="s">
        <v>2903</v>
      </c>
      <c r="H10" s="382" t="s">
        <v>73</v>
      </c>
      <c r="I10" s="381" t="s">
        <v>2903</v>
      </c>
      <c r="J10" s="382" t="s">
        <v>73</v>
      </c>
      <c r="K10" s="535"/>
    </row>
    <row r="11" spans="1:11" s="249" customFormat="1" ht="15" customHeight="1">
      <c r="A11" s="541"/>
      <c r="B11" s="543"/>
      <c r="C11" s="543"/>
      <c r="D11" s="546"/>
      <c r="E11" s="543"/>
      <c r="F11" s="549"/>
      <c r="G11" s="382" t="s">
        <v>2904</v>
      </c>
      <c r="H11" s="382" t="s">
        <v>1764</v>
      </c>
      <c r="I11" s="382" t="s">
        <v>2904</v>
      </c>
      <c r="J11" s="382" t="s">
        <v>1764</v>
      </c>
      <c r="K11" s="383" t="s">
        <v>1764</v>
      </c>
    </row>
    <row r="12" spans="1:11" ht="12.75">
      <c r="A12" s="253"/>
      <c r="B12" s="254" t="s">
        <v>50</v>
      </c>
      <c r="C12" s="255" t="s">
        <v>2905</v>
      </c>
      <c r="D12" s="256"/>
      <c r="E12" s="257"/>
      <c r="F12" s="258"/>
      <c r="G12" s="258"/>
      <c r="H12" s="258"/>
      <c r="I12" s="258"/>
      <c r="J12" s="258"/>
      <c r="K12" s="258"/>
    </row>
    <row r="13" spans="1:11" ht="12.75">
      <c r="A13" s="253"/>
      <c r="B13" s="254" t="s">
        <v>50</v>
      </c>
      <c r="C13" s="255" t="s">
        <v>2906</v>
      </c>
      <c r="D13" s="256"/>
      <c r="E13" s="257"/>
      <c r="F13" s="258"/>
      <c r="G13" s="258"/>
      <c r="H13" s="258"/>
      <c r="I13" s="258"/>
      <c r="J13" s="258"/>
      <c r="K13" s="258"/>
    </row>
    <row r="14" spans="1:11" ht="12.75">
      <c r="A14" s="253"/>
      <c r="B14" s="254" t="s">
        <v>50</v>
      </c>
      <c r="C14" s="255" t="s">
        <v>2907</v>
      </c>
      <c r="D14" s="256"/>
      <c r="E14" s="257"/>
      <c r="F14" s="258"/>
      <c r="G14" s="258"/>
      <c r="H14" s="258"/>
      <c r="I14" s="258"/>
      <c r="J14" s="258"/>
      <c r="K14" s="258"/>
    </row>
    <row r="15" spans="1:11" ht="12.75">
      <c r="A15" s="253"/>
      <c r="B15" s="254" t="s">
        <v>50</v>
      </c>
      <c r="C15" s="255" t="s">
        <v>2908</v>
      </c>
      <c r="D15" s="256"/>
      <c r="E15" s="257"/>
      <c r="F15" s="258"/>
      <c r="G15" s="258"/>
      <c r="H15" s="258"/>
      <c r="I15" s="258"/>
      <c r="J15" s="258"/>
      <c r="K15" s="258"/>
    </row>
    <row r="16" spans="1:11" s="241" customFormat="1" ht="6" customHeight="1">
      <c r="A16" s="259"/>
      <c r="B16" s="260"/>
      <c r="C16" s="260"/>
      <c r="D16" s="260"/>
      <c r="E16" s="261"/>
      <c r="F16" s="262"/>
      <c r="G16" s="262"/>
      <c r="H16" s="262"/>
      <c r="I16" s="262"/>
      <c r="J16" s="262"/>
      <c r="K16" s="262"/>
    </row>
    <row r="17" spans="1:11" s="266" customFormat="1" ht="12.75">
      <c r="A17" s="384"/>
      <c r="B17" s="384"/>
      <c r="C17" s="385" t="s">
        <v>2940</v>
      </c>
      <c r="D17" s="384"/>
      <c r="E17" s="384"/>
      <c r="F17" s="384"/>
      <c r="G17" s="384"/>
      <c r="H17" s="386">
        <f>SUM(H19:H35)</f>
        <v>0</v>
      </c>
      <c r="I17" s="384"/>
      <c r="J17" s="386">
        <f>SUM(J19:J35)</f>
        <v>0</v>
      </c>
      <c r="K17" s="386">
        <f>SUM(K19:K35)</f>
        <v>0</v>
      </c>
    </row>
    <row r="18" spans="1:11" ht="12.75">
      <c r="A18" s="253"/>
      <c r="B18" s="254" t="s">
        <v>50</v>
      </c>
      <c r="C18" s="255" t="s">
        <v>2941</v>
      </c>
      <c r="D18" s="256"/>
      <c r="E18" s="257"/>
      <c r="F18" s="258"/>
      <c r="G18" s="258"/>
      <c r="H18" s="258"/>
      <c r="I18" s="258"/>
      <c r="J18" s="258"/>
      <c r="K18" s="258"/>
    </row>
    <row r="19" spans="1:11" s="274" customFormat="1" ht="11.25">
      <c r="A19" s="267"/>
      <c r="B19" s="268" t="s">
        <v>2942</v>
      </c>
      <c r="C19" s="269" t="s">
        <v>2943</v>
      </c>
      <c r="D19" s="267"/>
      <c r="E19" s="270" t="s">
        <v>2107</v>
      </c>
      <c r="F19" s="271">
        <v>1</v>
      </c>
      <c r="G19" s="370"/>
      <c r="H19" s="272">
        <f>F19*G19</f>
        <v>0</v>
      </c>
      <c r="I19" s="370"/>
      <c r="J19" s="272">
        <f>F19*I19</f>
        <v>0</v>
      </c>
      <c r="K19" s="273">
        <f>H19+J19</f>
        <v>0</v>
      </c>
    </row>
    <row r="20" spans="1:11" s="274" customFormat="1" ht="22.5">
      <c r="A20" s="267"/>
      <c r="B20" s="268" t="s">
        <v>2921</v>
      </c>
      <c r="C20" s="269" t="s">
        <v>2922</v>
      </c>
      <c r="D20" s="267"/>
      <c r="E20" s="270" t="s">
        <v>2107</v>
      </c>
      <c r="F20" s="271">
        <v>1</v>
      </c>
      <c r="G20" s="370"/>
      <c r="H20" s="272">
        <f aca="true" t="shared" si="0" ref="H20:H35">F20*G20</f>
        <v>0</v>
      </c>
      <c r="I20" s="370"/>
      <c r="J20" s="272">
        <f aca="true" t="shared" si="1" ref="J20:J35">F20*I20</f>
        <v>0</v>
      </c>
      <c r="K20" s="273">
        <f aca="true" t="shared" si="2" ref="K20:K35">H20+J20</f>
        <v>0</v>
      </c>
    </row>
    <row r="21" spans="1:11" s="274" customFormat="1" ht="11.25">
      <c r="A21" s="267"/>
      <c r="B21" s="268" t="s">
        <v>2944</v>
      </c>
      <c r="C21" s="269" t="s">
        <v>2945</v>
      </c>
      <c r="D21" s="267"/>
      <c r="E21" s="270" t="s">
        <v>2107</v>
      </c>
      <c r="F21" s="271">
        <v>1</v>
      </c>
      <c r="G21" s="370"/>
      <c r="H21" s="272">
        <f t="shared" si="0"/>
        <v>0</v>
      </c>
      <c r="I21" s="370"/>
      <c r="J21" s="272">
        <f t="shared" si="1"/>
        <v>0</v>
      </c>
      <c r="K21" s="273">
        <f t="shared" si="2"/>
        <v>0</v>
      </c>
    </row>
    <row r="22" spans="1:11" s="274" customFormat="1" ht="11.25">
      <c r="A22" s="267"/>
      <c r="B22" s="268" t="s">
        <v>2946</v>
      </c>
      <c r="C22" s="269" t="s">
        <v>2947</v>
      </c>
      <c r="D22" s="267"/>
      <c r="E22" s="270" t="s">
        <v>2107</v>
      </c>
      <c r="F22" s="271">
        <v>1</v>
      </c>
      <c r="G22" s="370"/>
      <c r="H22" s="272">
        <f t="shared" si="0"/>
        <v>0</v>
      </c>
      <c r="I22" s="370"/>
      <c r="J22" s="272">
        <f t="shared" si="1"/>
        <v>0</v>
      </c>
      <c r="K22" s="273">
        <f t="shared" si="2"/>
        <v>0</v>
      </c>
    </row>
    <row r="23" spans="1:11" s="274" customFormat="1" ht="11.25">
      <c r="A23" s="267"/>
      <c r="B23" s="268" t="s">
        <v>2948</v>
      </c>
      <c r="C23" s="269" t="s">
        <v>2949</v>
      </c>
      <c r="D23" s="267"/>
      <c r="E23" s="270" t="s">
        <v>2107</v>
      </c>
      <c r="F23" s="271">
        <v>1</v>
      </c>
      <c r="G23" s="370"/>
      <c r="H23" s="272">
        <f t="shared" si="0"/>
        <v>0</v>
      </c>
      <c r="I23" s="370"/>
      <c r="J23" s="272">
        <f t="shared" si="1"/>
        <v>0</v>
      </c>
      <c r="K23" s="273">
        <f t="shared" si="2"/>
        <v>0</v>
      </c>
    </row>
    <row r="24" spans="1:11" s="274" customFormat="1" ht="11.25">
      <c r="A24" s="267"/>
      <c r="B24" s="268" t="s">
        <v>2950</v>
      </c>
      <c r="C24" s="269" t="s">
        <v>2951</v>
      </c>
      <c r="D24" s="267"/>
      <c r="E24" s="270" t="s">
        <v>2107</v>
      </c>
      <c r="F24" s="271">
        <v>1</v>
      </c>
      <c r="G24" s="370"/>
      <c r="H24" s="272">
        <f t="shared" si="0"/>
        <v>0</v>
      </c>
      <c r="I24" s="370"/>
      <c r="J24" s="272">
        <f t="shared" si="1"/>
        <v>0</v>
      </c>
      <c r="K24" s="273">
        <f t="shared" si="2"/>
        <v>0</v>
      </c>
    </row>
    <row r="25" spans="1:11" s="274" customFormat="1" ht="22.5">
      <c r="A25" s="267"/>
      <c r="B25" s="268" t="s">
        <v>2952</v>
      </c>
      <c r="C25" s="269" t="s">
        <v>2953</v>
      </c>
      <c r="D25" s="267"/>
      <c r="E25" s="270" t="s">
        <v>2107</v>
      </c>
      <c r="F25" s="271">
        <v>30</v>
      </c>
      <c r="G25" s="370"/>
      <c r="H25" s="272">
        <f t="shared" si="0"/>
        <v>0</v>
      </c>
      <c r="I25" s="370"/>
      <c r="J25" s="272">
        <f t="shared" si="1"/>
        <v>0</v>
      </c>
      <c r="K25" s="273">
        <f t="shared" si="2"/>
        <v>0</v>
      </c>
    </row>
    <row r="26" spans="1:11" s="274" customFormat="1" ht="33.75">
      <c r="A26" s="267"/>
      <c r="B26" s="268" t="s">
        <v>2954</v>
      </c>
      <c r="C26" s="269" t="s">
        <v>2955</v>
      </c>
      <c r="D26" s="267"/>
      <c r="E26" s="270" t="s">
        <v>2107</v>
      </c>
      <c r="F26" s="271">
        <v>1</v>
      </c>
      <c r="G26" s="370"/>
      <c r="H26" s="272">
        <f t="shared" si="0"/>
        <v>0</v>
      </c>
      <c r="I26" s="370"/>
      <c r="J26" s="272">
        <f t="shared" si="1"/>
        <v>0</v>
      </c>
      <c r="K26" s="273">
        <f t="shared" si="2"/>
        <v>0</v>
      </c>
    </row>
    <row r="27" spans="1:11" ht="12.75">
      <c r="A27" s="253"/>
      <c r="B27" s="254" t="s">
        <v>50</v>
      </c>
      <c r="C27" s="255" t="s">
        <v>2956</v>
      </c>
      <c r="D27" s="256"/>
      <c r="E27" s="257"/>
      <c r="F27" s="258"/>
      <c r="G27" s="371"/>
      <c r="H27" s="272">
        <f t="shared" si="0"/>
        <v>0</v>
      </c>
      <c r="I27" s="371"/>
      <c r="J27" s="272">
        <f t="shared" si="1"/>
        <v>0</v>
      </c>
      <c r="K27" s="273">
        <f t="shared" si="2"/>
        <v>0</v>
      </c>
    </row>
    <row r="28" spans="1:11" s="274" customFormat="1" ht="33.75">
      <c r="A28" s="267"/>
      <c r="B28" s="268" t="s">
        <v>2957</v>
      </c>
      <c r="C28" s="269" t="s">
        <v>2958</v>
      </c>
      <c r="D28" s="267"/>
      <c r="E28" s="270" t="s">
        <v>2107</v>
      </c>
      <c r="F28" s="271">
        <v>1</v>
      </c>
      <c r="G28" s="370"/>
      <c r="H28" s="272">
        <f t="shared" si="0"/>
        <v>0</v>
      </c>
      <c r="I28" s="370"/>
      <c r="J28" s="272">
        <f t="shared" si="1"/>
        <v>0</v>
      </c>
      <c r="K28" s="273">
        <f t="shared" si="2"/>
        <v>0</v>
      </c>
    </row>
    <row r="29" spans="1:11" s="274" customFormat="1" ht="33.75">
      <c r="A29" s="267"/>
      <c r="B29" s="268" t="s">
        <v>2959</v>
      </c>
      <c r="C29" s="269" t="s">
        <v>2960</v>
      </c>
      <c r="D29" s="267"/>
      <c r="E29" s="270" t="s">
        <v>2107</v>
      </c>
      <c r="F29" s="271">
        <v>1</v>
      </c>
      <c r="G29" s="370"/>
      <c r="H29" s="272">
        <f t="shared" si="0"/>
        <v>0</v>
      </c>
      <c r="I29" s="370"/>
      <c r="J29" s="272">
        <f t="shared" si="1"/>
        <v>0</v>
      </c>
      <c r="K29" s="273">
        <f t="shared" si="2"/>
        <v>0</v>
      </c>
    </row>
    <row r="30" spans="1:11" s="274" customFormat="1" ht="56.25">
      <c r="A30" s="267"/>
      <c r="B30" s="268" t="s">
        <v>2961</v>
      </c>
      <c r="C30" s="269" t="s">
        <v>2962</v>
      </c>
      <c r="D30" s="267"/>
      <c r="E30" s="270" t="s">
        <v>2107</v>
      </c>
      <c r="F30" s="271">
        <v>1</v>
      </c>
      <c r="G30" s="370"/>
      <c r="H30" s="272">
        <f t="shared" si="0"/>
        <v>0</v>
      </c>
      <c r="I30" s="370"/>
      <c r="J30" s="272">
        <f t="shared" si="1"/>
        <v>0</v>
      </c>
      <c r="K30" s="273">
        <f t="shared" si="2"/>
        <v>0</v>
      </c>
    </row>
    <row r="31" spans="1:11" s="274" customFormat="1" ht="11.25">
      <c r="A31" s="267"/>
      <c r="B31" s="268" t="s">
        <v>2963</v>
      </c>
      <c r="C31" s="269" t="s">
        <v>2964</v>
      </c>
      <c r="D31" s="267"/>
      <c r="E31" s="270" t="s">
        <v>2107</v>
      </c>
      <c r="F31" s="271">
        <v>1</v>
      </c>
      <c r="G31" s="370"/>
      <c r="H31" s="272">
        <f t="shared" si="0"/>
        <v>0</v>
      </c>
      <c r="I31" s="370"/>
      <c r="J31" s="272">
        <f t="shared" si="1"/>
        <v>0</v>
      </c>
      <c r="K31" s="273">
        <f t="shared" si="2"/>
        <v>0</v>
      </c>
    </row>
    <row r="32" spans="1:11" s="274" customFormat="1" ht="33.75">
      <c r="A32" s="267"/>
      <c r="B32" s="268" t="s">
        <v>2965</v>
      </c>
      <c r="C32" s="269" t="s">
        <v>2966</v>
      </c>
      <c r="D32" s="267"/>
      <c r="E32" s="270" t="s">
        <v>2107</v>
      </c>
      <c r="F32" s="271">
        <v>1</v>
      </c>
      <c r="G32" s="370"/>
      <c r="H32" s="272">
        <f t="shared" si="0"/>
        <v>0</v>
      </c>
      <c r="I32" s="370"/>
      <c r="J32" s="272">
        <f t="shared" si="1"/>
        <v>0</v>
      </c>
      <c r="K32" s="273">
        <f t="shared" si="2"/>
        <v>0</v>
      </c>
    </row>
    <row r="33" spans="1:11" s="274" customFormat="1" ht="22.5">
      <c r="A33" s="267"/>
      <c r="B33" s="268" t="s">
        <v>2967</v>
      </c>
      <c r="C33" s="269" t="s">
        <v>2968</v>
      </c>
      <c r="D33" s="267"/>
      <c r="E33" s="270" t="s">
        <v>2107</v>
      </c>
      <c r="F33" s="271">
        <v>2</v>
      </c>
      <c r="G33" s="370"/>
      <c r="H33" s="272">
        <f t="shared" si="0"/>
        <v>0</v>
      </c>
      <c r="I33" s="370"/>
      <c r="J33" s="272">
        <f t="shared" si="1"/>
        <v>0</v>
      </c>
      <c r="K33" s="273">
        <f t="shared" si="2"/>
        <v>0</v>
      </c>
    </row>
    <row r="34" spans="1:11" s="274" customFormat="1" ht="22.5">
      <c r="A34" s="267"/>
      <c r="B34" s="268" t="s">
        <v>2969</v>
      </c>
      <c r="C34" s="269" t="s">
        <v>2970</v>
      </c>
      <c r="D34" s="267"/>
      <c r="E34" s="270" t="s">
        <v>2107</v>
      </c>
      <c r="F34" s="271">
        <v>1</v>
      </c>
      <c r="G34" s="370"/>
      <c r="H34" s="272">
        <f t="shared" si="0"/>
        <v>0</v>
      </c>
      <c r="I34" s="370"/>
      <c r="J34" s="272">
        <f t="shared" si="1"/>
        <v>0</v>
      </c>
      <c r="K34" s="273">
        <f t="shared" si="2"/>
        <v>0</v>
      </c>
    </row>
    <row r="35" spans="1:11" s="274" customFormat="1" ht="22.5">
      <c r="A35" s="267"/>
      <c r="B35" s="268" t="s">
        <v>2971</v>
      </c>
      <c r="C35" s="269" t="s">
        <v>2972</v>
      </c>
      <c r="D35" s="267"/>
      <c r="E35" s="270" t="s">
        <v>2107</v>
      </c>
      <c r="F35" s="271">
        <v>1</v>
      </c>
      <c r="G35" s="370"/>
      <c r="H35" s="272">
        <f t="shared" si="0"/>
        <v>0</v>
      </c>
      <c r="I35" s="370"/>
      <c r="J35" s="272">
        <f t="shared" si="1"/>
        <v>0</v>
      </c>
      <c r="K35" s="273">
        <f t="shared" si="2"/>
        <v>0</v>
      </c>
    </row>
    <row r="36" spans="1:11" s="241" customFormat="1" ht="6" customHeight="1">
      <c r="A36" s="259"/>
      <c r="B36" s="260"/>
      <c r="C36" s="260"/>
      <c r="D36" s="260"/>
      <c r="E36" s="261"/>
      <c r="F36" s="262"/>
      <c r="G36" s="262"/>
      <c r="H36" s="262"/>
      <c r="I36" s="262"/>
      <c r="J36" s="262"/>
      <c r="K36" s="262"/>
    </row>
    <row r="37" spans="1:11" s="266" customFormat="1" ht="12.75">
      <c r="A37" s="384"/>
      <c r="B37" s="384"/>
      <c r="C37" s="385" t="s">
        <v>2973</v>
      </c>
      <c r="D37" s="384"/>
      <c r="E37" s="384"/>
      <c r="F37" s="384"/>
      <c r="G37" s="384"/>
      <c r="H37" s="386">
        <f>SUM(H38:H41)</f>
        <v>0</v>
      </c>
      <c r="I37" s="384"/>
      <c r="J37" s="386">
        <f>SUM(J38:J41)</f>
        <v>0</v>
      </c>
      <c r="K37" s="386">
        <f>SUM(K38:K41)</f>
        <v>0</v>
      </c>
    </row>
    <row r="38" spans="1:11" s="274" customFormat="1" ht="22.5">
      <c r="A38" s="267"/>
      <c r="B38" s="268" t="s">
        <v>2974</v>
      </c>
      <c r="C38" s="269" t="s">
        <v>2975</v>
      </c>
      <c r="D38" s="267"/>
      <c r="E38" s="270" t="s">
        <v>395</v>
      </c>
      <c r="F38" s="271">
        <v>100</v>
      </c>
      <c r="G38" s="370"/>
      <c r="H38" s="272">
        <f>F38*G38</f>
        <v>0</v>
      </c>
      <c r="I38" s="370"/>
      <c r="J38" s="272">
        <f>F38*I38</f>
        <v>0</v>
      </c>
      <c r="K38" s="273">
        <f>H38+J38</f>
        <v>0</v>
      </c>
    </row>
    <row r="39" spans="1:11" s="274" customFormat="1" ht="22.5">
      <c r="A39" s="267"/>
      <c r="B39" s="268"/>
      <c r="C39" s="269" t="s">
        <v>2932</v>
      </c>
      <c r="D39" s="267"/>
      <c r="E39" s="270" t="s">
        <v>395</v>
      </c>
      <c r="F39" s="271">
        <v>100</v>
      </c>
      <c r="G39" s="370"/>
      <c r="H39" s="272">
        <f>F39*G39</f>
        <v>0</v>
      </c>
      <c r="I39" s="370"/>
      <c r="J39" s="272">
        <f>F39*I39</f>
        <v>0</v>
      </c>
      <c r="K39" s="273">
        <f>H39+J39</f>
        <v>0</v>
      </c>
    </row>
    <row r="40" spans="1:11" s="274" customFormat="1" ht="22.5">
      <c r="A40" s="267"/>
      <c r="B40" s="268" t="s">
        <v>2976</v>
      </c>
      <c r="C40" s="269" t="s">
        <v>2977</v>
      </c>
      <c r="D40" s="267"/>
      <c r="E40" s="270" t="s">
        <v>395</v>
      </c>
      <c r="F40" s="271">
        <v>20</v>
      </c>
      <c r="G40" s="370"/>
      <c r="H40" s="272">
        <f>F40*G40</f>
        <v>0</v>
      </c>
      <c r="I40" s="370"/>
      <c r="J40" s="272">
        <f>F40*I40</f>
        <v>0</v>
      </c>
      <c r="K40" s="273">
        <f>H40+J40</f>
        <v>0</v>
      </c>
    </row>
    <row r="41" spans="1:11" s="274" customFormat="1" ht="11.25">
      <c r="A41" s="267"/>
      <c r="B41" s="268" t="s">
        <v>2978</v>
      </c>
      <c r="C41" s="269" t="s">
        <v>2979</v>
      </c>
      <c r="D41" s="267"/>
      <c r="E41" s="270" t="s">
        <v>395</v>
      </c>
      <c r="F41" s="271">
        <v>20</v>
      </c>
      <c r="G41" s="370"/>
      <c r="H41" s="272">
        <f>F41*G41</f>
        <v>0</v>
      </c>
      <c r="I41" s="370"/>
      <c r="J41" s="272">
        <f>F41*I41</f>
        <v>0</v>
      </c>
      <c r="K41" s="273">
        <f>H41+J41</f>
        <v>0</v>
      </c>
    </row>
    <row r="42" spans="1:11" s="241" customFormat="1" ht="6" customHeight="1">
      <c r="A42" s="259"/>
      <c r="B42" s="260"/>
      <c r="C42" s="260"/>
      <c r="D42" s="260"/>
      <c r="E42" s="261"/>
      <c r="F42" s="262"/>
      <c r="G42" s="262"/>
      <c r="H42" s="262"/>
      <c r="I42" s="262"/>
      <c r="J42" s="262"/>
      <c r="K42" s="262"/>
    </row>
    <row r="43" spans="1:11" s="266" customFormat="1" ht="12.75">
      <c r="A43" s="384"/>
      <c r="B43" s="384"/>
      <c r="C43" s="385" t="s">
        <v>2934</v>
      </c>
      <c r="D43" s="384"/>
      <c r="E43" s="384"/>
      <c r="F43" s="384"/>
      <c r="G43" s="384"/>
      <c r="H43" s="386">
        <f>SUM(H44:H50)</f>
        <v>0</v>
      </c>
      <c r="I43" s="384"/>
      <c r="J43" s="386">
        <f>SUM(J44:J50)</f>
        <v>0</v>
      </c>
      <c r="K43" s="386">
        <f>SUM(K44:K50)</f>
        <v>0</v>
      </c>
    </row>
    <row r="44" spans="1:11" s="274" customFormat="1" ht="33.75">
      <c r="A44" s="267"/>
      <c r="B44" s="268"/>
      <c r="C44" s="269" t="s">
        <v>2980</v>
      </c>
      <c r="D44" s="267"/>
      <c r="E44" s="270" t="s">
        <v>2064</v>
      </c>
      <c r="F44" s="271">
        <v>1</v>
      </c>
      <c r="G44" s="272">
        <v>0</v>
      </c>
      <c r="H44" s="272">
        <f aca="true" t="shared" si="3" ref="H44:H50">F44*G44</f>
        <v>0</v>
      </c>
      <c r="I44" s="370"/>
      <c r="J44" s="272">
        <f>F44*I44</f>
        <v>0</v>
      </c>
      <c r="K44" s="273">
        <f>H44+J44</f>
        <v>0</v>
      </c>
    </row>
    <row r="45" spans="1:11" s="274" customFormat="1" ht="11.25">
      <c r="A45" s="267"/>
      <c r="B45" s="268"/>
      <c r="C45" s="269" t="s">
        <v>2981</v>
      </c>
      <c r="D45" s="267"/>
      <c r="E45" s="270" t="s">
        <v>93</v>
      </c>
      <c r="F45" s="271">
        <v>4</v>
      </c>
      <c r="G45" s="272">
        <v>0</v>
      </c>
      <c r="H45" s="272">
        <f t="shared" si="3"/>
        <v>0</v>
      </c>
      <c r="I45" s="370"/>
      <c r="J45" s="272">
        <f aca="true" t="shared" si="4" ref="J45:J50">F45*I45</f>
        <v>0</v>
      </c>
      <c r="K45" s="273">
        <f aca="true" t="shared" si="5" ref="K45:K50">H45+J45</f>
        <v>0</v>
      </c>
    </row>
    <row r="46" spans="1:11" s="274" customFormat="1" ht="11.25">
      <c r="A46" s="267"/>
      <c r="B46" s="268"/>
      <c r="C46" s="269" t="s">
        <v>2982</v>
      </c>
      <c r="D46" s="267"/>
      <c r="E46" s="270" t="s">
        <v>93</v>
      </c>
      <c r="F46" s="271">
        <v>4</v>
      </c>
      <c r="G46" s="272">
        <v>0</v>
      </c>
      <c r="H46" s="272">
        <f t="shared" si="3"/>
        <v>0</v>
      </c>
      <c r="I46" s="370"/>
      <c r="J46" s="272">
        <f t="shared" si="4"/>
        <v>0</v>
      </c>
      <c r="K46" s="273">
        <f t="shared" si="5"/>
        <v>0</v>
      </c>
    </row>
    <row r="47" spans="1:11" s="274" customFormat="1" ht="11.25">
      <c r="A47" s="267"/>
      <c r="B47" s="268"/>
      <c r="C47" s="269" t="s">
        <v>2983</v>
      </c>
      <c r="D47" s="267"/>
      <c r="E47" s="270" t="s">
        <v>93</v>
      </c>
      <c r="F47" s="271">
        <v>4</v>
      </c>
      <c r="G47" s="272">
        <v>0</v>
      </c>
      <c r="H47" s="272">
        <f t="shared" si="3"/>
        <v>0</v>
      </c>
      <c r="I47" s="370"/>
      <c r="J47" s="272">
        <f t="shared" si="4"/>
        <v>0</v>
      </c>
      <c r="K47" s="273">
        <f t="shared" si="5"/>
        <v>0</v>
      </c>
    </row>
    <row r="48" spans="1:11" s="274" customFormat="1" ht="11.25">
      <c r="A48" s="267"/>
      <c r="B48" s="268"/>
      <c r="C48" s="269" t="s">
        <v>2937</v>
      </c>
      <c r="D48" s="267"/>
      <c r="E48" s="270" t="s">
        <v>93</v>
      </c>
      <c r="F48" s="271">
        <v>4</v>
      </c>
      <c r="G48" s="272">
        <v>0</v>
      </c>
      <c r="H48" s="272">
        <f t="shared" si="3"/>
        <v>0</v>
      </c>
      <c r="I48" s="370"/>
      <c r="J48" s="272">
        <f t="shared" si="4"/>
        <v>0</v>
      </c>
      <c r="K48" s="273">
        <f t="shared" si="5"/>
        <v>0</v>
      </c>
    </row>
    <row r="49" spans="1:11" s="274" customFormat="1" ht="22.5">
      <c r="A49" s="267"/>
      <c r="B49" s="268"/>
      <c r="C49" s="269" t="s">
        <v>2984</v>
      </c>
      <c r="D49" s="267"/>
      <c r="E49" s="270" t="s">
        <v>2064</v>
      </c>
      <c r="F49" s="271">
        <v>1</v>
      </c>
      <c r="G49" s="272">
        <v>0</v>
      </c>
      <c r="H49" s="272">
        <f t="shared" si="3"/>
        <v>0</v>
      </c>
      <c r="I49" s="370"/>
      <c r="J49" s="272">
        <f t="shared" si="4"/>
        <v>0</v>
      </c>
      <c r="K49" s="273">
        <f t="shared" si="5"/>
        <v>0</v>
      </c>
    </row>
    <row r="50" spans="1:11" s="274" customFormat="1" ht="11.25">
      <c r="A50" s="267"/>
      <c r="B50" s="268"/>
      <c r="C50" s="269" t="s">
        <v>2939</v>
      </c>
      <c r="D50" s="267"/>
      <c r="E50" s="270" t="s">
        <v>2064</v>
      </c>
      <c r="F50" s="271">
        <v>1</v>
      </c>
      <c r="G50" s="272">
        <v>0</v>
      </c>
      <c r="H50" s="272">
        <f t="shared" si="3"/>
        <v>0</v>
      </c>
      <c r="I50" s="370"/>
      <c r="J50" s="272">
        <f t="shared" si="4"/>
        <v>0</v>
      </c>
      <c r="K50" s="273">
        <f t="shared" si="5"/>
        <v>0</v>
      </c>
    </row>
    <row r="51" spans="1:11" s="241" customFormat="1" ht="6" customHeight="1">
      <c r="A51" s="259"/>
      <c r="B51" s="275"/>
      <c r="C51" s="275"/>
      <c r="D51" s="275"/>
      <c r="E51" s="276"/>
      <c r="F51" s="262"/>
      <c r="G51" s="262"/>
      <c r="H51" s="262"/>
      <c r="I51" s="262"/>
      <c r="J51" s="262"/>
      <c r="K51" s="262"/>
    </row>
    <row r="53" spans="3:11" ht="15.75">
      <c r="C53" s="277" t="s">
        <v>42</v>
      </c>
      <c r="H53" s="278">
        <f>SUM(H43+H37+H17)</f>
        <v>0</v>
      </c>
      <c r="I53" s="278"/>
      <c r="J53" s="278">
        <f>SUM(J43+J37+J17)</f>
        <v>0</v>
      </c>
      <c r="K53" s="352">
        <f>SUM(K43+K37+K17)</f>
        <v>0</v>
      </c>
    </row>
  </sheetData>
  <mergeCells count="12">
    <mergeCell ref="I9:J9"/>
    <mergeCell ref="K9:K10"/>
    <mergeCell ref="F4:K4"/>
    <mergeCell ref="F6:K6"/>
    <mergeCell ref="A8:K8"/>
    <mergeCell ref="A9:A11"/>
    <mergeCell ref="B9:B11"/>
    <mergeCell ref="C9:C11"/>
    <mergeCell ref="D9:D11"/>
    <mergeCell ref="E9:E11"/>
    <mergeCell ref="F9:F11"/>
    <mergeCell ref="G9:H9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2"/>
  <sheetViews>
    <sheetView workbookViewId="0" topLeftCell="A1">
      <selection activeCell="G26" sqref="G26"/>
    </sheetView>
  </sheetViews>
  <sheetFormatPr defaultColWidth="9.140625" defaultRowHeight="12.75"/>
  <cols>
    <col min="1" max="1" width="9.8515625" style="0" customWidth="1"/>
    <col min="2" max="2" width="46.57421875" style="0" customWidth="1"/>
    <col min="3" max="3" width="9.421875" style="0" customWidth="1"/>
    <col min="4" max="4" width="5.00390625" style="0" customWidth="1"/>
    <col min="5" max="5" width="5.57421875" style="0" customWidth="1"/>
    <col min="6" max="6" width="11.7109375" style="0" customWidth="1"/>
    <col min="7" max="7" width="16.57421875" style="191" customWidth="1"/>
    <col min="8" max="8" width="14.28125" style="0" customWidth="1"/>
    <col min="9" max="9" width="11.8515625" style="0" customWidth="1"/>
    <col min="255" max="255" width="9.8515625" style="0" customWidth="1"/>
    <col min="256" max="256" width="46.57421875" style="0" customWidth="1"/>
    <col min="257" max="257" width="9.421875" style="0" customWidth="1"/>
    <col min="258" max="258" width="5.00390625" style="0" customWidth="1"/>
    <col min="259" max="259" width="5.57421875" style="0" customWidth="1"/>
    <col min="260" max="260" width="11.7109375" style="0" customWidth="1"/>
    <col min="261" max="261" width="5.421875" style="0" customWidth="1"/>
    <col min="262" max="262" width="15.7109375" style="0" customWidth="1"/>
    <col min="263" max="263" width="16.57421875" style="0" customWidth="1"/>
    <col min="264" max="264" width="14.28125" style="0" customWidth="1"/>
    <col min="265" max="265" width="11.8515625" style="0" customWidth="1"/>
    <col min="511" max="511" width="9.8515625" style="0" customWidth="1"/>
    <col min="512" max="512" width="46.57421875" style="0" customWidth="1"/>
    <col min="513" max="513" width="9.421875" style="0" customWidth="1"/>
    <col min="514" max="514" width="5.00390625" style="0" customWidth="1"/>
    <col min="515" max="515" width="5.57421875" style="0" customWidth="1"/>
    <col min="516" max="516" width="11.7109375" style="0" customWidth="1"/>
    <col min="517" max="517" width="5.421875" style="0" customWidth="1"/>
    <col min="518" max="518" width="15.7109375" style="0" customWidth="1"/>
    <col min="519" max="519" width="16.57421875" style="0" customWidth="1"/>
    <col min="520" max="520" width="14.28125" style="0" customWidth="1"/>
    <col min="521" max="521" width="11.8515625" style="0" customWidth="1"/>
    <col min="767" max="767" width="9.8515625" style="0" customWidth="1"/>
    <col min="768" max="768" width="46.57421875" style="0" customWidth="1"/>
    <col min="769" max="769" width="9.421875" style="0" customWidth="1"/>
    <col min="770" max="770" width="5.00390625" style="0" customWidth="1"/>
    <col min="771" max="771" width="5.57421875" style="0" customWidth="1"/>
    <col min="772" max="772" width="11.7109375" style="0" customWidth="1"/>
    <col min="773" max="773" width="5.421875" style="0" customWidth="1"/>
    <col min="774" max="774" width="15.7109375" style="0" customWidth="1"/>
    <col min="775" max="775" width="16.57421875" style="0" customWidth="1"/>
    <col min="776" max="776" width="14.28125" style="0" customWidth="1"/>
    <col min="777" max="777" width="11.8515625" style="0" customWidth="1"/>
    <col min="1023" max="1023" width="9.8515625" style="0" customWidth="1"/>
    <col min="1024" max="1024" width="46.57421875" style="0" customWidth="1"/>
    <col min="1025" max="1025" width="9.421875" style="0" customWidth="1"/>
    <col min="1026" max="1026" width="5.00390625" style="0" customWidth="1"/>
    <col min="1027" max="1027" width="5.57421875" style="0" customWidth="1"/>
    <col min="1028" max="1028" width="11.7109375" style="0" customWidth="1"/>
    <col min="1029" max="1029" width="5.421875" style="0" customWidth="1"/>
    <col min="1030" max="1030" width="15.7109375" style="0" customWidth="1"/>
    <col min="1031" max="1031" width="16.57421875" style="0" customWidth="1"/>
    <col min="1032" max="1032" width="14.28125" style="0" customWidth="1"/>
    <col min="1033" max="1033" width="11.8515625" style="0" customWidth="1"/>
    <col min="1279" max="1279" width="9.8515625" style="0" customWidth="1"/>
    <col min="1280" max="1280" width="46.57421875" style="0" customWidth="1"/>
    <col min="1281" max="1281" width="9.421875" style="0" customWidth="1"/>
    <col min="1282" max="1282" width="5.00390625" style="0" customWidth="1"/>
    <col min="1283" max="1283" width="5.57421875" style="0" customWidth="1"/>
    <col min="1284" max="1284" width="11.7109375" style="0" customWidth="1"/>
    <col min="1285" max="1285" width="5.421875" style="0" customWidth="1"/>
    <col min="1286" max="1286" width="15.7109375" style="0" customWidth="1"/>
    <col min="1287" max="1287" width="16.57421875" style="0" customWidth="1"/>
    <col min="1288" max="1288" width="14.28125" style="0" customWidth="1"/>
    <col min="1289" max="1289" width="11.8515625" style="0" customWidth="1"/>
    <col min="1535" max="1535" width="9.8515625" style="0" customWidth="1"/>
    <col min="1536" max="1536" width="46.57421875" style="0" customWidth="1"/>
    <col min="1537" max="1537" width="9.421875" style="0" customWidth="1"/>
    <col min="1538" max="1538" width="5.00390625" style="0" customWidth="1"/>
    <col min="1539" max="1539" width="5.57421875" style="0" customWidth="1"/>
    <col min="1540" max="1540" width="11.7109375" style="0" customWidth="1"/>
    <col min="1541" max="1541" width="5.421875" style="0" customWidth="1"/>
    <col min="1542" max="1542" width="15.7109375" style="0" customWidth="1"/>
    <col min="1543" max="1543" width="16.57421875" style="0" customWidth="1"/>
    <col min="1544" max="1544" width="14.28125" style="0" customWidth="1"/>
    <col min="1545" max="1545" width="11.8515625" style="0" customWidth="1"/>
    <col min="1791" max="1791" width="9.8515625" style="0" customWidth="1"/>
    <col min="1792" max="1792" width="46.57421875" style="0" customWidth="1"/>
    <col min="1793" max="1793" width="9.421875" style="0" customWidth="1"/>
    <col min="1794" max="1794" width="5.00390625" style="0" customWidth="1"/>
    <col min="1795" max="1795" width="5.57421875" style="0" customWidth="1"/>
    <col min="1796" max="1796" width="11.7109375" style="0" customWidth="1"/>
    <col min="1797" max="1797" width="5.421875" style="0" customWidth="1"/>
    <col min="1798" max="1798" width="15.7109375" style="0" customWidth="1"/>
    <col min="1799" max="1799" width="16.57421875" style="0" customWidth="1"/>
    <col min="1800" max="1800" width="14.28125" style="0" customWidth="1"/>
    <col min="1801" max="1801" width="11.8515625" style="0" customWidth="1"/>
    <col min="2047" max="2047" width="9.8515625" style="0" customWidth="1"/>
    <col min="2048" max="2048" width="46.57421875" style="0" customWidth="1"/>
    <col min="2049" max="2049" width="9.421875" style="0" customWidth="1"/>
    <col min="2050" max="2050" width="5.00390625" style="0" customWidth="1"/>
    <col min="2051" max="2051" width="5.57421875" style="0" customWidth="1"/>
    <col min="2052" max="2052" width="11.7109375" style="0" customWidth="1"/>
    <col min="2053" max="2053" width="5.421875" style="0" customWidth="1"/>
    <col min="2054" max="2054" width="15.7109375" style="0" customWidth="1"/>
    <col min="2055" max="2055" width="16.57421875" style="0" customWidth="1"/>
    <col min="2056" max="2056" width="14.28125" style="0" customWidth="1"/>
    <col min="2057" max="2057" width="11.8515625" style="0" customWidth="1"/>
    <col min="2303" max="2303" width="9.8515625" style="0" customWidth="1"/>
    <col min="2304" max="2304" width="46.57421875" style="0" customWidth="1"/>
    <col min="2305" max="2305" width="9.421875" style="0" customWidth="1"/>
    <col min="2306" max="2306" width="5.00390625" style="0" customWidth="1"/>
    <col min="2307" max="2307" width="5.57421875" style="0" customWidth="1"/>
    <col min="2308" max="2308" width="11.7109375" style="0" customWidth="1"/>
    <col min="2309" max="2309" width="5.421875" style="0" customWidth="1"/>
    <col min="2310" max="2310" width="15.7109375" style="0" customWidth="1"/>
    <col min="2311" max="2311" width="16.57421875" style="0" customWidth="1"/>
    <col min="2312" max="2312" width="14.28125" style="0" customWidth="1"/>
    <col min="2313" max="2313" width="11.8515625" style="0" customWidth="1"/>
    <col min="2559" max="2559" width="9.8515625" style="0" customWidth="1"/>
    <col min="2560" max="2560" width="46.57421875" style="0" customWidth="1"/>
    <col min="2561" max="2561" width="9.421875" style="0" customWidth="1"/>
    <col min="2562" max="2562" width="5.00390625" style="0" customWidth="1"/>
    <col min="2563" max="2563" width="5.57421875" style="0" customWidth="1"/>
    <col min="2564" max="2564" width="11.7109375" style="0" customWidth="1"/>
    <col min="2565" max="2565" width="5.421875" style="0" customWidth="1"/>
    <col min="2566" max="2566" width="15.7109375" style="0" customWidth="1"/>
    <col min="2567" max="2567" width="16.57421875" style="0" customWidth="1"/>
    <col min="2568" max="2568" width="14.28125" style="0" customWidth="1"/>
    <col min="2569" max="2569" width="11.8515625" style="0" customWidth="1"/>
    <col min="2815" max="2815" width="9.8515625" style="0" customWidth="1"/>
    <col min="2816" max="2816" width="46.57421875" style="0" customWidth="1"/>
    <col min="2817" max="2817" width="9.421875" style="0" customWidth="1"/>
    <col min="2818" max="2818" width="5.00390625" style="0" customWidth="1"/>
    <col min="2819" max="2819" width="5.57421875" style="0" customWidth="1"/>
    <col min="2820" max="2820" width="11.7109375" style="0" customWidth="1"/>
    <col min="2821" max="2821" width="5.421875" style="0" customWidth="1"/>
    <col min="2822" max="2822" width="15.7109375" style="0" customWidth="1"/>
    <col min="2823" max="2823" width="16.57421875" style="0" customWidth="1"/>
    <col min="2824" max="2824" width="14.28125" style="0" customWidth="1"/>
    <col min="2825" max="2825" width="11.8515625" style="0" customWidth="1"/>
    <col min="3071" max="3071" width="9.8515625" style="0" customWidth="1"/>
    <col min="3072" max="3072" width="46.57421875" style="0" customWidth="1"/>
    <col min="3073" max="3073" width="9.421875" style="0" customWidth="1"/>
    <col min="3074" max="3074" width="5.00390625" style="0" customWidth="1"/>
    <col min="3075" max="3075" width="5.57421875" style="0" customWidth="1"/>
    <col min="3076" max="3076" width="11.7109375" style="0" customWidth="1"/>
    <col min="3077" max="3077" width="5.421875" style="0" customWidth="1"/>
    <col min="3078" max="3078" width="15.7109375" style="0" customWidth="1"/>
    <col min="3079" max="3079" width="16.57421875" style="0" customWidth="1"/>
    <col min="3080" max="3080" width="14.28125" style="0" customWidth="1"/>
    <col min="3081" max="3081" width="11.8515625" style="0" customWidth="1"/>
    <col min="3327" max="3327" width="9.8515625" style="0" customWidth="1"/>
    <col min="3328" max="3328" width="46.57421875" style="0" customWidth="1"/>
    <col min="3329" max="3329" width="9.421875" style="0" customWidth="1"/>
    <col min="3330" max="3330" width="5.00390625" style="0" customWidth="1"/>
    <col min="3331" max="3331" width="5.57421875" style="0" customWidth="1"/>
    <col min="3332" max="3332" width="11.7109375" style="0" customWidth="1"/>
    <col min="3333" max="3333" width="5.421875" style="0" customWidth="1"/>
    <col min="3334" max="3334" width="15.7109375" style="0" customWidth="1"/>
    <col min="3335" max="3335" width="16.57421875" style="0" customWidth="1"/>
    <col min="3336" max="3336" width="14.28125" style="0" customWidth="1"/>
    <col min="3337" max="3337" width="11.8515625" style="0" customWidth="1"/>
    <col min="3583" max="3583" width="9.8515625" style="0" customWidth="1"/>
    <col min="3584" max="3584" width="46.57421875" style="0" customWidth="1"/>
    <col min="3585" max="3585" width="9.421875" style="0" customWidth="1"/>
    <col min="3586" max="3586" width="5.00390625" style="0" customWidth="1"/>
    <col min="3587" max="3587" width="5.57421875" style="0" customWidth="1"/>
    <col min="3588" max="3588" width="11.7109375" style="0" customWidth="1"/>
    <col min="3589" max="3589" width="5.421875" style="0" customWidth="1"/>
    <col min="3590" max="3590" width="15.7109375" style="0" customWidth="1"/>
    <col min="3591" max="3591" width="16.57421875" style="0" customWidth="1"/>
    <col min="3592" max="3592" width="14.28125" style="0" customWidth="1"/>
    <col min="3593" max="3593" width="11.8515625" style="0" customWidth="1"/>
    <col min="3839" max="3839" width="9.8515625" style="0" customWidth="1"/>
    <col min="3840" max="3840" width="46.57421875" style="0" customWidth="1"/>
    <col min="3841" max="3841" width="9.421875" style="0" customWidth="1"/>
    <col min="3842" max="3842" width="5.00390625" style="0" customWidth="1"/>
    <col min="3843" max="3843" width="5.57421875" style="0" customWidth="1"/>
    <col min="3844" max="3844" width="11.7109375" style="0" customWidth="1"/>
    <col min="3845" max="3845" width="5.421875" style="0" customWidth="1"/>
    <col min="3846" max="3846" width="15.7109375" style="0" customWidth="1"/>
    <col min="3847" max="3847" width="16.57421875" style="0" customWidth="1"/>
    <col min="3848" max="3848" width="14.28125" style="0" customWidth="1"/>
    <col min="3849" max="3849" width="11.8515625" style="0" customWidth="1"/>
    <col min="4095" max="4095" width="9.8515625" style="0" customWidth="1"/>
    <col min="4096" max="4096" width="46.57421875" style="0" customWidth="1"/>
    <col min="4097" max="4097" width="9.421875" style="0" customWidth="1"/>
    <col min="4098" max="4098" width="5.00390625" style="0" customWidth="1"/>
    <col min="4099" max="4099" width="5.57421875" style="0" customWidth="1"/>
    <col min="4100" max="4100" width="11.7109375" style="0" customWidth="1"/>
    <col min="4101" max="4101" width="5.421875" style="0" customWidth="1"/>
    <col min="4102" max="4102" width="15.7109375" style="0" customWidth="1"/>
    <col min="4103" max="4103" width="16.57421875" style="0" customWidth="1"/>
    <col min="4104" max="4104" width="14.28125" style="0" customWidth="1"/>
    <col min="4105" max="4105" width="11.8515625" style="0" customWidth="1"/>
    <col min="4351" max="4351" width="9.8515625" style="0" customWidth="1"/>
    <col min="4352" max="4352" width="46.57421875" style="0" customWidth="1"/>
    <col min="4353" max="4353" width="9.421875" style="0" customWidth="1"/>
    <col min="4354" max="4354" width="5.00390625" style="0" customWidth="1"/>
    <col min="4355" max="4355" width="5.57421875" style="0" customWidth="1"/>
    <col min="4356" max="4356" width="11.7109375" style="0" customWidth="1"/>
    <col min="4357" max="4357" width="5.421875" style="0" customWidth="1"/>
    <col min="4358" max="4358" width="15.7109375" style="0" customWidth="1"/>
    <col min="4359" max="4359" width="16.57421875" style="0" customWidth="1"/>
    <col min="4360" max="4360" width="14.28125" style="0" customWidth="1"/>
    <col min="4361" max="4361" width="11.8515625" style="0" customWidth="1"/>
    <col min="4607" max="4607" width="9.8515625" style="0" customWidth="1"/>
    <col min="4608" max="4608" width="46.57421875" style="0" customWidth="1"/>
    <col min="4609" max="4609" width="9.421875" style="0" customWidth="1"/>
    <col min="4610" max="4610" width="5.00390625" style="0" customWidth="1"/>
    <col min="4611" max="4611" width="5.57421875" style="0" customWidth="1"/>
    <col min="4612" max="4612" width="11.7109375" style="0" customWidth="1"/>
    <col min="4613" max="4613" width="5.421875" style="0" customWidth="1"/>
    <col min="4614" max="4614" width="15.7109375" style="0" customWidth="1"/>
    <col min="4615" max="4615" width="16.57421875" style="0" customWidth="1"/>
    <col min="4616" max="4616" width="14.28125" style="0" customWidth="1"/>
    <col min="4617" max="4617" width="11.8515625" style="0" customWidth="1"/>
    <col min="4863" max="4863" width="9.8515625" style="0" customWidth="1"/>
    <col min="4864" max="4864" width="46.57421875" style="0" customWidth="1"/>
    <col min="4865" max="4865" width="9.421875" style="0" customWidth="1"/>
    <col min="4866" max="4866" width="5.00390625" style="0" customWidth="1"/>
    <col min="4867" max="4867" width="5.57421875" style="0" customWidth="1"/>
    <col min="4868" max="4868" width="11.7109375" style="0" customWidth="1"/>
    <col min="4869" max="4869" width="5.421875" style="0" customWidth="1"/>
    <col min="4870" max="4870" width="15.7109375" style="0" customWidth="1"/>
    <col min="4871" max="4871" width="16.57421875" style="0" customWidth="1"/>
    <col min="4872" max="4872" width="14.28125" style="0" customWidth="1"/>
    <col min="4873" max="4873" width="11.8515625" style="0" customWidth="1"/>
    <col min="5119" max="5119" width="9.8515625" style="0" customWidth="1"/>
    <col min="5120" max="5120" width="46.57421875" style="0" customWidth="1"/>
    <col min="5121" max="5121" width="9.421875" style="0" customWidth="1"/>
    <col min="5122" max="5122" width="5.00390625" style="0" customWidth="1"/>
    <col min="5123" max="5123" width="5.57421875" style="0" customWidth="1"/>
    <col min="5124" max="5124" width="11.7109375" style="0" customWidth="1"/>
    <col min="5125" max="5125" width="5.421875" style="0" customWidth="1"/>
    <col min="5126" max="5126" width="15.7109375" style="0" customWidth="1"/>
    <col min="5127" max="5127" width="16.57421875" style="0" customWidth="1"/>
    <col min="5128" max="5128" width="14.28125" style="0" customWidth="1"/>
    <col min="5129" max="5129" width="11.8515625" style="0" customWidth="1"/>
    <col min="5375" max="5375" width="9.8515625" style="0" customWidth="1"/>
    <col min="5376" max="5376" width="46.57421875" style="0" customWidth="1"/>
    <col min="5377" max="5377" width="9.421875" style="0" customWidth="1"/>
    <col min="5378" max="5378" width="5.00390625" style="0" customWidth="1"/>
    <col min="5379" max="5379" width="5.57421875" style="0" customWidth="1"/>
    <col min="5380" max="5380" width="11.7109375" style="0" customWidth="1"/>
    <col min="5381" max="5381" width="5.421875" style="0" customWidth="1"/>
    <col min="5382" max="5382" width="15.7109375" style="0" customWidth="1"/>
    <col min="5383" max="5383" width="16.57421875" style="0" customWidth="1"/>
    <col min="5384" max="5384" width="14.28125" style="0" customWidth="1"/>
    <col min="5385" max="5385" width="11.8515625" style="0" customWidth="1"/>
    <col min="5631" max="5631" width="9.8515625" style="0" customWidth="1"/>
    <col min="5632" max="5632" width="46.57421875" style="0" customWidth="1"/>
    <col min="5633" max="5633" width="9.421875" style="0" customWidth="1"/>
    <col min="5634" max="5634" width="5.00390625" style="0" customWidth="1"/>
    <col min="5635" max="5635" width="5.57421875" style="0" customWidth="1"/>
    <col min="5636" max="5636" width="11.7109375" style="0" customWidth="1"/>
    <col min="5637" max="5637" width="5.421875" style="0" customWidth="1"/>
    <col min="5638" max="5638" width="15.7109375" style="0" customWidth="1"/>
    <col min="5639" max="5639" width="16.57421875" style="0" customWidth="1"/>
    <col min="5640" max="5640" width="14.28125" style="0" customWidth="1"/>
    <col min="5641" max="5641" width="11.8515625" style="0" customWidth="1"/>
    <col min="5887" max="5887" width="9.8515625" style="0" customWidth="1"/>
    <col min="5888" max="5888" width="46.57421875" style="0" customWidth="1"/>
    <col min="5889" max="5889" width="9.421875" style="0" customWidth="1"/>
    <col min="5890" max="5890" width="5.00390625" style="0" customWidth="1"/>
    <col min="5891" max="5891" width="5.57421875" style="0" customWidth="1"/>
    <col min="5892" max="5892" width="11.7109375" style="0" customWidth="1"/>
    <col min="5893" max="5893" width="5.421875" style="0" customWidth="1"/>
    <col min="5894" max="5894" width="15.7109375" style="0" customWidth="1"/>
    <col min="5895" max="5895" width="16.57421875" style="0" customWidth="1"/>
    <col min="5896" max="5896" width="14.28125" style="0" customWidth="1"/>
    <col min="5897" max="5897" width="11.8515625" style="0" customWidth="1"/>
    <col min="6143" max="6143" width="9.8515625" style="0" customWidth="1"/>
    <col min="6144" max="6144" width="46.57421875" style="0" customWidth="1"/>
    <col min="6145" max="6145" width="9.421875" style="0" customWidth="1"/>
    <col min="6146" max="6146" width="5.00390625" style="0" customWidth="1"/>
    <col min="6147" max="6147" width="5.57421875" style="0" customWidth="1"/>
    <col min="6148" max="6148" width="11.7109375" style="0" customWidth="1"/>
    <col min="6149" max="6149" width="5.421875" style="0" customWidth="1"/>
    <col min="6150" max="6150" width="15.7109375" style="0" customWidth="1"/>
    <col min="6151" max="6151" width="16.57421875" style="0" customWidth="1"/>
    <col min="6152" max="6152" width="14.28125" style="0" customWidth="1"/>
    <col min="6153" max="6153" width="11.8515625" style="0" customWidth="1"/>
    <col min="6399" max="6399" width="9.8515625" style="0" customWidth="1"/>
    <col min="6400" max="6400" width="46.57421875" style="0" customWidth="1"/>
    <col min="6401" max="6401" width="9.421875" style="0" customWidth="1"/>
    <col min="6402" max="6402" width="5.00390625" style="0" customWidth="1"/>
    <col min="6403" max="6403" width="5.57421875" style="0" customWidth="1"/>
    <col min="6404" max="6404" width="11.7109375" style="0" customWidth="1"/>
    <col min="6405" max="6405" width="5.421875" style="0" customWidth="1"/>
    <col min="6406" max="6406" width="15.7109375" style="0" customWidth="1"/>
    <col min="6407" max="6407" width="16.57421875" style="0" customWidth="1"/>
    <col min="6408" max="6408" width="14.28125" style="0" customWidth="1"/>
    <col min="6409" max="6409" width="11.8515625" style="0" customWidth="1"/>
    <col min="6655" max="6655" width="9.8515625" style="0" customWidth="1"/>
    <col min="6656" max="6656" width="46.57421875" style="0" customWidth="1"/>
    <col min="6657" max="6657" width="9.421875" style="0" customWidth="1"/>
    <col min="6658" max="6658" width="5.00390625" style="0" customWidth="1"/>
    <col min="6659" max="6659" width="5.57421875" style="0" customWidth="1"/>
    <col min="6660" max="6660" width="11.7109375" style="0" customWidth="1"/>
    <col min="6661" max="6661" width="5.421875" style="0" customWidth="1"/>
    <col min="6662" max="6662" width="15.7109375" style="0" customWidth="1"/>
    <col min="6663" max="6663" width="16.57421875" style="0" customWidth="1"/>
    <col min="6664" max="6664" width="14.28125" style="0" customWidth="1"/>
    <col min="6665" max="6665" width="11.8515625" style="0" customWidth="1"/>
    <col min="6911" max="6911" width="9.8515625" style="0" customWidth="1"/>
    <col min="6912" max="6912" width="46.57421875" style="0" customWidth="1"/>
    <col min="6913" max="6913" width="9.421875" style="0" customWidth="1"/>
    <col min="6914" max="6914" width="5.00390625" style="0" customWidth="1"/>
    <col min="6915" max="6915" width="5.57421875" style="0" customWidth="1"/>
    <col min="6916" max="6916" width="11.7109375" style="0" customWidth="1"/>
    <col min="6917" max="6917" width="5.421875" style="0" customWidth="1"/>
    <col min="6918" max="6918" width="15.7109375" style="0" customWidth="1"/>
    <col min="6919" max="6919" width="16.57421875" style="0" customWidth="1"/>
    <col min="6920" max="6920" width="14.28125" style="0" customWidth="1"/>
    <col min="6921" max="6921" width="11.8515625" style="0" customWidth="1"/>
    <col min="7167" max="7167" width="9.8515625" style="0" customWidth="1"/>
    <col min="7168" max="7168" width="46.57421875" style="0" customWidth="1"/>
    <col min="7169" max="7169" width="9.421875" style="0" customWidth="1"/>
    <col min="7170" max="7170" width="5.00390625" style="0" customWidth="1"/>
    <col min="7171" max="7171" width="5.57421875" style="0" customWidth="1"/>
    <col min="7172" max="7172" width="11.7109375" style="0" customWidth="1"/>
    <col min="7173" max="7173" width="5.421875" style="0" customWidth="1"/>
    <col min="7174" max="7174" width="15.7109375" style="0" customWidth="1"/>
    <col min="7175" max="7175" width="16.57421875" style="0" customWidth="1"/>
    <col min="7176" max="7176" width="14.28125" style="0" customWidth="1"/>
    <col min="7177" max="7177" width="11.8515625" style="0" customWidth="1"/>
    <col min="7423" max="7423" width="9.8515625" style="0" customWidth="1"/>
    <col min="7424" max="7424" width="46.57421875" style="0" customWidth="1"/>
    <col min="7425" max="7425" width="9.421875" style="0" customWidth="1"/>
    <col min="7426" max="7426" width="5.00390625" style="0" customWidth="1"/>
    <col min="7427" max="7427" width="5.57421875" style="0" customWidth="1"/>
    <col min="7428" max="7428" width="11.7109375" style="0" customWidth="1"/>
    <col min="7429" max="7429" width="5.421875" style="0" customWidth="1"/>
    <col min="7430" max="7430" width="15.7109375" style="0" customWidth="1"/>
    <col min="7431" max="7431" width="16.57421875" style="0" customWidth="1"/>
    <col min="7432" max="7432" width="14.28125" style="0" customWidth="1"/>
    <col min="7433" max="7433" width="11.8515625" style="0" customWidth="1"/>
    <col min="7679" max="7679" width="9.8515625" style="0" customWidth="1"/>
    <col min="7680" max="7680" width="46.57421875" style="0" customWidth="1"/>
    <col min="7681" max="7681" width="9.421875" style="0" customWidth="1"/>
    <col min="7682" max="7682" width="5.00390625" style="0" customWidth="1"/>
    <col min="7683" max="7683" width="5.57421875" style="0" customWidth="1"/>
    <col min="7684" max="7684" width="11.7109375" style="0" customWidth="1"/>
    <col min="7685" max="7685" width="5.421875" style="0" customWidth="1"/>
    <col min="7686" max="7686" width="15.7109375" style="0" customWidth="1"/>
    <col min="7687" max="7687" width="16.57421875" style="0" customWidth="1"/>
    <col min="7688" max="7688" width="14.28125" style="0" customWidth="1"/>
    <col min="7689" max="7689" width="11.8515625" style="0" customWidth="1"/>
    <col min="7935" max="7935" width="9.8515625" style="0" customWidth="1"/>
    <col min="7936" max="7936" width="46.57421875" style="0" customWidth="1"/>
    <col min="7937" max="7937" width="9.421875" style="0" customWidth="1"/>
    <col min="7938" max="7938" width="5.00390625" style="0" customWidth="1"/>
    <col min="7939" max="7939" width="5.57421875" style="0" customWidth="1"/>
    <col min="7940" max="7940" width="11.7109375" style="0" customWidth="1"/>
    <col min="7941" max="7941" width="5.421875" style="0" customWidth="1"/>
    <col min="7942" max="7942" width="15.7109375" style="0" customWidth="1"/>
    <col min="7943" max="7943" width="16.57421875" style="0" customWidth="1"/>
    <col min="7944" max="7944" width="14.28125" style="0" customWidth="1"/>
    <col min="7945" max="7945" width="11.8515625" style="0" customWidth="1"/>
    <col min="8191" max="8191" width="9.8515625" style="0" customWidth="1"/>
    <col min="8192" max="8192" width="46.57421875" style="0" customWidth="1"/>
    <col min="8193" max="8193" width="9.421875" style="0" customWidth="1"/>
    <col min="8194" max="8194" width="5.00390625" style="0" customWidth="1"/>
    <col min="8195" max="8195" width="5.57421875" style="0" customWidth="1"/>
    <col min="8196" max="8196" width="11.7109375" style="0" customWidth="1"/>
    <col min="8197" max="8197" width="5.421875" style="0" customWidth="1"/>
    <col min="8198" max="8198" width="15.7109375" style="0" customWidth="1"/>
    <col min="8199" max="8199" width="16.57421875" style="0" customWidth="1"/>
    <col min="8200" max="8200" width="14.28125" style="0" customWidth="1"/>
    <col min="8201" max="8201" width="11.8515625" style="0" customWidth="1"/>
    <col min="8447" max="8447" width="9.8515625" style="0" customWidth="1"/>
    <col min="8448" max="8448" width="46.57421875" style="0" customWidth="1"/>
    <col min="8449" max="8449" width="9.421875" style="0" customWidth="1"/>
    <col min="8450" max="8450" width="5.00390625" style="0" customWidth="1"/>
    <col min="8451" max="8451" width="5.57421875" style="0" customWidth="1"/>
    <col min="8452" max="8452" width="11.7109375" style="0" customWidth="1"/>
    <col min="8453" max="8453" width="5.421875" style="0" customWidth="1"/>
    <col min="8454" max="8454" width="15.7109375" style="0" customWidth="1"/>
    <col min="8455" max="8455" width="16.57421875" style="0" customWidth="1"/>
    <col min="8456" max="8456" width="14.28125" style="0" customWidth="1"/>
    <col min="8457" max="8457" width="11.8515625" style="0" customWidth="1"/>
    <col min="8703" max="8703" width="9.8515625" style="0" customWidth="1"/>
    <col min="8704" max="8704" width="46.57421875" style="0" customWidth="1"/>
    <col min="8705" max="8705" width="9.421875" style="0" customWidth="1"/>
    <col min="8706" max="8706" width="5.00390625" style="0" customWidth="1"/>
    <col min="8707" max="8707" width="5.57421875" style="0" customWidth="1"/>
    <col min="8708" max="8708" width="11.7109375" style="0" customWidth="1"/>
    <col min="8709" max="8709" width="5.421875" style="0" customWidth="1"/>
    <col min="8710" max="8710" width="15.7109375" style="0" customWidth="1"/>
    <col min="8711" max="8711" width="16.57421875" style="0" customWidth="1"/>
    <col min="8712" max="8712" width="14.28125" style="0" customWidth="1"/>
    <col min="8713" max="8713" width="11.8515625" style="0" customWidth="1"/>
    <col min="8959" max="8959" width="9.8515625" style="0" customWidth="1"/>
    <col min="8960" max="8960" width="46.57421875" style="0" customWidth="1"/>
    <col min="8961" max="8961" width="9.421875" style="0" customWidth="1"/>
    <col min="8962" max="8962" width="5.00390625" style="0" customWidth="1"/>
    <col min="8963" max="8963" width="5.57421875" style="0" customWidth="1"/>
    <col min="8964" max="8964" width="11.7109375" style="0" customWidth="1"/>
    <col min="8965" max="8965" width="5.421875" style="0" customWidth="1"/>
    <col min="8966" max="8966" width="15.7109375" style="0" customWidth="1"/>
    <col min="8967" max="8967" width="16.57421875" style="0" customWidth="1"/>
    <col min="8968" max="8968" width="14.28125" style="0" customWidth="1"/>
    <col min="8969" max="8969" width="11.8515625" style="0" customWidth="1"/>
    <col min="9215" max="9215" width="9.8515625" style="0" customWidth="1"/>
    <col min="9216" max="9216" width="46.57421875" style="0" customWidth="1"/>
    <col min="9217" max="9217" width="9.421875" style="0" customWidth="1"/>
    <col min="9218" max="9218" width="5.00390625" style="0" customWidth="1"/>
    <col min="9219" max="9219" width="5.57421875" style="0" customWidth="1"/>
    <col min="9220" max="9220" width="11.7109375" style="0" customWidth="1"/>
    <col min="9221" max="9221" width="5.421875" style="0" customWidth="1"/>
    <col min="9222" max="9222" width="15.7109375" style="0" customWidth="1"/>
    <col min="9223" max="9223" width="16.57421875" style="0" customWidth="1"/>
    <col min="9224" max="9224" width="14.28125" style="0" customWidth="1"/>
    <col min="9225" max="9225" width="11.8515625" style="0" customWidth="1"/>
    <col min="9471" max="9471" width="9.8515625" style="0" customWidth="1"/>
    <col min="9472" max="9472" width="46.57421875" style="0" customWidth="1"/>
    <col min="9473" max="9473" width="9.421875" style="0" customWidth="1"/>
    <col min="9474" max="9474" width="5.00390625" style="0" customWidth="1"/>
    <col min="9475" max="9475" width="5.57421875" style="0" customWidth="1"/>
    <col min="9476" max="9476" width="11.7109375" style="0" customWidth="1"/>
    <col min="9477" max="9477" width="5.421875" style="0" customWidth="1"/>
    <col min="9478" max="9478" width="15.7109375" style="0" customWidth="1"/>
    <col min="9479" max="9479" width="16.57421875" style="0" customWidth="1"/>
    <col min="9480" max="9480" width="14.28125" style="0" customWidth="1"/>
    <col min="9481" max="9481" width="11.8515625" style="0" customWidth="1"/>
    <col min="9727" max="9727" width="9.8515625" style="0" customWidth="1"/>
    <col min="9728" max="9728" width="46.57421875" style="0" customWidth="1"/>
    <col min="9729" max="9729" width="9.421875" style="0" customWidth="1"/>
    <col min="9730" max="9730" width="5.00390625" style="0" customWidth="1"/>
    <col min="9731" max="9731" width="5.57421875" style="0" customWidth="1"/>
    <col min="9732" max="9732" width="11.7109375" style="0" customWidth="1"/>
    <col min="9733" max="9733" width="5.421875" style="0" customWidth="1"/>
    <col min="9734" max="9734" width="15.7109375" style="0" customWidth="1"/>
    <col min="9735" max="9735" width="16.57421875" style="0" customWidth="1"/>
    <col min="9736" max="9736" width="14.28125" style="0" customWidth="1"/>
    <col min="9737" max="9737" width="11.8515625" style="0" customWidth="1"/>
    <col min="9983" max="9983" width="9.8515625" style="0" customWidth="1"/>
    <col min="9984" max="9984" width="46.57421875" style="0" customWidth="1"/>
    <col min="9985" max="9985" width="9.421875" style="0" customWidth="1"/>
    <col min="9986" max="9986" width="5.00390625" style="0" customWidth="1"/>
    <col min="9987" max="9987" width="5.57421875" style="0" customWidth="1"/>
    <col min="9988" max="9988" width="11.7109375" style="0" customWidth="1"/>
    <col min="9989" max="9989" width="5.421875" style="0" customWidth="1"/>
    <col min="9990" max="9990" width="15.7109375" style="0" customWidth="1"/>
    <col min="9991" max="9991" width="16.57421875" style="0" customWidth="1"/>
    <col min="9992" max="9992" width="14.28125" style="0" customWidth="1"/>
    <col min="9993" max="9993" width="11.8515625" style="0" customWidth="1"/>
    <col min="10239" max="10239" width="9.8515625" style="0" customWidth="1"/>
    <col min="10240" max="10240" width="46.57421875" style="0" customWidth="1"/>
    <col min="10241" max="10241" width="9.421875" style="0" customWidth="1"/>
    <col min="10242" max="10242" width="5.00390625" style="0" customWidth="1"/>
    <col min="10243" max="10243" width="5.57421875" style="0" customWidth="1"/>
    <col min="10244" max="10244" width="11.7109375" style="0" customWidth="1"/>
    <col min="10245" max="10245" width="5.421875" style="0" customWidth="1"/>
    <col min="10246" max="10246" width="15.7109375" style="0" customWidth="1"/>
    <col min="10247" max="10247" width="16.57421875" style="0" customWidth="1"/>
    <col min="10248" max="10248" width="14.28125" style="0" customWidth="1"/>
    <col min="10249" max="10249" width="11.8515625" style="0" customWidth="1"/>
    <col min="10495" max="10495" width="9.8515625" style="0" customWidth="1"/>
    <col min="10496" max="10496" width="46.57421875" style="0" customWidth="1"/>
    <col min="10497" max="10497" width="9.421875" style="0" customWidth="1"/>
    <col min="10498" max="10498" width="5.00390625" style="0" customWidth="1"/>
    <col min="10499" max="10499" width="5.57421875" style="0" customWidth="1"/>
    <col min="10500" max="10500" width="11.7109375" style="0" customWidth="1"/>
    <col min="10501" max="10501" width="5.421875" style="0" customWidth="1"/>
    <col min="10502" max="10502" width="15.7109375" style="0" customWidth="1"/>
    <col min="10503" max="10503" width="16.57421875" style="0" customWidth="1"/>
    <col min="10504" max="10504" width="14.28125" style="0" customWidth="1"/>
    <col min="10505" max="10505" width="11.8515625" style="0" customWidth="1"/>
    <col min="10751" max="10751" width="9.8515625" style="0" customWidth="1"/>
    <col min="10752" max="10752" width="46.57421875" style="0" customWidth="1"/>
    <col min="10753" max="10753" width="9.421875" style="0" customWidth="1"/>
    <col min="10754" max="10754" width="5.00390625" style="0" customWidth="1"/>
    <col min="10755" max="10755" width="5.57421875" style="0" customWidth="1"/>
    <col min="10756" max="10756" width="11.7109375" style="0" customWidth="1"/>
    <col min="10757" max="10757" width="5.421875" style="0" customWidth="1"/>
    <col min="10758" max="10758" width="15.7109375" style="0" customWidth="1"/>
    <col min="10759" max="10759" width="16.57421875" style="0" customWidth="1"/>
    <col min="10760" max="10760" width="14.28125" style="0" customWidth="1"/>
    <col min="10761" max="10761" width="11.8515625" style="0" customWidth="1"/>
    <col min="11007" max="11007" width="9.8515625" style="0" customWidth="1"/>
    <col min="11008" max="11008" width="46.57421875" style="0" customWidth="1"/>
    <col min="11009" max="11009" width="9.421875" style="0" customWidth="1"/>
    <col min="11010" max="11010" width="5.00390625" style="0" customWidth="1"/>
    <col min="11011" max="11011" width="5.57421875" style="0" customWidth="1"/>
    <col min="11012" max="11012" width="11.7109375" style="0" customWidth="1"/>
    <col min="11013" max="11013" width="5.421875" style="0" customWidth="1"/>
    <col min="11014" max="11014" width="15.7109375" style="0" customWidth="1"/>
    <col min="11015" max="11015" width="16.57421875" style="0" customWidth="1"/>
    <col min="11016" max="11016" width="14.28125" style="0" customWidth="1"/>
    <col min="11017" max="11017" width="11.8515625" style="0" customWidth="1"/>
    <col min="11263" max="11263" width="9.8515625" style="0" customWidth="1"/>
    <col min="11264" max="11264" width="46.57421875" style="0" customWidth="1"/>
    <col min="11265" max="11265" width="9.421875" style="0" customWidth="1"/>
    <col min="11266" max="11266" width="5.00390625" style="0" customWidth="1"/>
    <col min="11267" max="11267" width="5.57421875" style="0" customWidth="1"/>
    <col min="11268" max="11268" width="11.7109375" style="0" customWidth="1"/>
    <col min="11269" max="11269" width="5.421875" style="0" customWidth="1"/>
    <col min="11270" max="11270" width="15.7109375" style="0" customWidth="1"/>
    <col min="11271" max="11271" width="16.57421875" style="0" customWidth="1"/>
    <col min="11272" max="11272" width="14.28125" style="0" customWidth="1"/>
    <col min="11273" max="11273" width="11.8515625" style="0" customWidth="1"/>
    <col min="11519" max="11519" width="9.8515625" style="0" customWidth="1"/>
    <col min="11520" max="11520" width="46.57421875" style="0" customWidth="1"/>
    <col min="11521" max="11521" width="9.421875" style="0" customWidth="1"/>
    <col min="11522" max="11522" width="5.00390625" style="0" customWidth="1"/>
    <col min="11523" max="11523" width="5.57421875" style="0" customWidth="1"/>
    <col min="11524" max="11524" width="11.7109375" style="0" customWidth="1"/>
    <col min="11525" max="11525" width="5.421875" style="0" customWidth="1"/>
    <col min="11526" max="11526" width="15.7109375" style="0" customWidth="1"/>
    <col min="11527" max="11527" width="16.57421875" style="0" customWidth="1"/>
    <col min="11528" max="11528" width="14.28125" style="0" customWidth="1"/>
    <col min="11529" max="11529" width="11.8515625" style="0" customWidth="1"/>
    <col min="11775" max="11775" width="9.8515625" style="0" customWidth="1"/>
    <col min="11776" max="11776" width="46.57421875" style="0" customWidth="1"/>
    <col min="11777" max="11777" width="9.421875" style="0" customWidth="1"/>
    <col min="11778" max="11778" width="5.00390625" style="0" customWidth="1"/>
    <col min="11779" max="11779" width="5.57421875" style="0" customWidth="1"/>
    <col min="11780" max="11780" width="11.7109375" style="0" customWidth="1"/>
    <col min="11781" max="11781" width="5.421875" style="0" customWidth="1"/>
    <col min="11782" max="11782" width="15.7109375" style="0" customWidth="1"/>
    <col min="11783" max="11783" width="16.57421875" style="0" customWidth="1"/>
    <col min="11784" max="11784" width="14.28125" style="0" customWidth="1"/>
    <col min="11785" max="11785" width="11.8515625" style="0" customWidth="1"/>
    <col min="12031" max="12031" width="9.8515625" style="0" customWidth="1"/>
    <col min="12032" max="12032" width="46.57421875" style="0" customWidth="1"/>
    <col min="12033" max="12033" width="9.421875" style="0" customWidth="1"/>
    <col min="12034" max="12034" width="5.00390625" style="0" customWidth="1"/>
    <col min="12035" max="12035" width="5.57421875" style="0" customWidth="1"/>
    <col min="12036" max="12036" width="11.7109375" style="0" customWidth="1"/>
    <col min="12037" max="12037" width="5.421875" style="0" customWidth="1"/>
    <col min="12038" max="12038" width="15.7109375" style="0" customWidth="1"/>
    <col min="12039" max="12039" width="16.57421875" style="0" customWidth="1"/>
    <col min="12040" max="12040" width="14.28125" style="0" customWidth="1"/>
    <col min="12041" max="12041" width="11.8515625" style="0" customWidth="1"/>
    <col min="12287" max="12287" width="9.8515625" style="0" customWidth="1"/>
    <col min="12288" max="12288" width="46.57421875" style="0" customWidth="1"/>
    <col min="12289" max="12289" width="9.421875" style="0" customWidth="1"/>
    <col min="12290" max="12290" width="5.00390625" style="0" customWidth="1"/>
    <col min="12291" max="12291" width="5.57421875" style="0" customWidth="1"/>
    <col min="12292" max="12292" width="11.7109375" style="0" customWidth="1"/>
    <col min="12293" max="12293" width="5.421875" style="0" customWidth="1"/>
    <col min="12294" max="12294" width="15.7109375" style="0" customWidth="1"/>
    <col min="12295" max="12295" width="16.57421875" style="0" customWidth="1"/>
    <col min="12296" max="12296" width="14.28125" style="0" customWidth="1"/>
    <col min="12297" max="12297" width="11.8515625" style="0" customWidth="1"/>
    <col min="12543" max="12543" width="9.8515625" style="0" customWidth="1"/>
    <col min="12544" max="12544" width="46.57421875" style="0" customWidth="1"/>
    <col min="12545" max="12545" width="9.421875" style="0" customWidth="1"/>
    <col min="12546" max="12546" width="5.00390625" style="0" customWidth="1"/>
    <col min="12547" max="12547" width="5.57421875" style="0" customWidth="1"/>
    <col min="12548" max="12548" width="11.7109375" style="0" customWidth="1"/>
    <col min="12549" max="12549" width="5.421875" style="0" customWidth="1"/>
    <col min="12550" max="12550" width="15.7109375" style="0" customWidth="1"/>
    <col min="12551" max="12551" width="16.57421875" style="0" customWidth="1"/>
    <col min="12552" max="12552" width="14.28125" style="0" customWidth="1"/>
    <col min="12553" max="12553" width="11.8515625" style="0" customWidth="1"/>
    <col min="12799" max="12799" width="9.8515625" style="0" customWidth="1"/>
    <col min="12800" max="12800" width="46.57421875" style="0" customWidth="1"/>
    <col min="12801" max="12801" width="9.421875" style="0" customWidth="1"/>
    <col min="12802" max="12802" width="5.00390625" style="0" customWidth="1"/>
    <col min="12803" max="12803" width="5.57421875" style="0" customWidth="1"/>
    <col min="12804" max="12804" width="11.7109375" style="0" customWidth="1"/>
    <col min="12805" max="12805" width="5.421875" style="0" customWidth="1"/>
    <col min="12806" max="12806" width="15.7109375" style="0" customWidth="1"/>
    <col min="12807" max="12807" width="16.57421875" style="0" customWidth="1"/>
    <col min="12808" max="12808" width="14.28125" style="0" customWidth="1"/>
    <col min="12809" max="12809" width="11.8515625" style="0" customWidth="1"/>
    <col min="13055" max="13055" width="9.8515625" style="0" customWidth="1"/>
    <col min="13056" max="13056" width="46.57421875" style="0" customWidth="1"/>
    <col min="13057" max="13057" width="9.421875" style="0" customWidth="1"/>
    <col min="13058" max="13058" width="5.00390625" style="0" customWidth="1"/>
    <col min="13059" max="13059" width="5.57421875" style="0" customWidth="1"/>
    <col min="13060" max="13060" width="11.7109375" style="0" customWidth="1"/>
    <col min="13061" max="13061" width="5.421875" style="0" customWidth="1"/>
    <col min="13062" max="13062" width="15.7109375" style="0" customWidth="1"/>
    <col min="13063" max="13063" width="16.57421875" style="0" customWidth="1"/>
    <col min="13064" max="13064" width="14.28125" style="0" customWidth="1"/>
    <col min="13065" max="13065" width="11.8515625" style="0" customWidth="1"/>
    <col min="13311" max="13311" width="9.8515625" style="0" customWidth="1"/>
    <col min="13312" max="13312" width="46.57421875" style="0" customWidth="1"/>
    <col min="13313" max="13313" width="9.421875" style="0" customWidth="1"/>
    <col min="13314" max="13314" width="5.00390625" style="0" customWidth="1"/>
    <col min="13315" max="13315" width="5.57421875" style="0" customWidth="1"/>
    <col min="13316" max="13316" width="11.7109375" style="0" customWidth="1"/>
    <col min="13317" max="13317" width="5.421875" style="0" customWidth="1"/>
    <col min="13318" max="13318" width="15.7109375" style="0" customWidth="1"/>
    <col min="13319" max="13319" width="16.57421875" style="0" customWidth="1"/>
    <col min="13320" max="13320" width="14.28125" style="0" customWidth="1"/>
    <col min="13321" max="13321" width="11.8515625" style="0" customWidth="1"/>
    <col min="13567" max="13567" width="9.8515625" style="0" customWidth="1"/>
    <col min="13568" max="13568" width="46.57421875" style="0" customWidth="1"/>
    <col min="13569" max="13569" width="9.421875" style="0" customWidth="1"/>
    <col min="13570" max="13570" width="5.00390625" style="0" customWidth="1"/>
    <col min="13571" max="13571" width="5.57421875" style="0" customWidth="1"/>
    <col min="13572" max="13572" width="11.7109375" style="0" customWidth="1"/>
    <col min="13573" max="13573" width="5.421875" style="0" customWidth="1"/>
    <col min="13574" max="13574" width="15.7109375" style="0" customWidth="1"/>
    <col min="13575" max="13575" width="16.57421875" style="0" customWidth="1"/>
    <col min="13576" max="13576" width="14.28125" style="0" customWidth="1"/>
    <col min="13577" max="13577" width="11.8515625" style="0" customWidth="1"/>
    <col min="13823" max="13823" width="9.8515625" style="0" customWidth="1"/>
    <col min="13824" max="13824" width="46.57421875" style="0" customWidth="1"/>
    <col min="13825" max="13825" width="9.421875" style="0" customWidth="1"/>
    <col min="13826" max="13826" width="5.00390625" style="0" customWidth="1"/>
    <col min="13827" max="13827" width="5.57421875" style="0" customWidth="1"/>
    <col min="13828" max="13828" width="11.7109375" style="0" customWidth="1"/>
    <col min="13829" max="13829" width="5.421875" style="0" customWidth="1"/>
    <col min="13830" max="13830" width="15.7109375" style="0" customWidth="1"/>
    <col min="13831" max="13831" width="16.57421875" style="0" customWidth="1"/>
    <col min="13832" max="13832" width="14.28125" style="0" customWidth="1"/>
    <col min="13833" max="13833" width="11.8515625" style="0" customWidth="1"/>
    <col min="14079" max="14079" width="9.8515625" style="0" customWidth="1"/>
    <col min="14080" max="14080" width="46.57421875" style="0" customWidth="1"/>
    <col min="14081" max="14081" width="9.421875" style="0" customWidth="1"/>
    <col min="14082" max="14082" width="5.00390625" style="0" customWidth="1"/>
    <col min="14083" max="14083" width="5.57421875" style="0" customWidth="1"/>
    <col min="14084" max="14084" width="11.7109375" style="0" customWidth="1"/>
    <col min="14085" max="14085" width="5.421875" style="0" customWidth="1"/>
    <col min="14086" max="14086" width="15.7109375" style="0" customWidth="1"/>
    <col min="14087" max="14087" width="16.57421875" style="0" customWidth="1"/>
    <col min="14088" max="14088" width="14.28125" style="0" customWidth="1"/>
    <col min="14089" max="14089" width="11.8515625" style="0" customWidth="1"/>
    <col min="14335" max="14335" width="9.8515625" style="0" customWidth="1"/>
    <col min="14336" max="14336" width="46.57421875" style="0" customWidth="1"/>
    <col min="14337" max="14337" width="9.421875" style="0" customWidth="1"/>
    <col min="14338" max="14338" width="5.00390625" style="0" customWidth="1"/>
    <col min="14339" max="14339" width="5.57421875" style="0" customWidth="1"/>
    <col min="14340" max="14340" width="11.7109375" style="0" customWidth="1"/>
    <col min="14341" max="14341" width="5.421875" style="0" customWidth="1"/>
    <col min="14342" max="14342" width="15.7109375" style="0" customWidth="1"/>
    <col min="14343" max="14343" width="16.57421875" style="0" customWidth="1"/>
    <col min="14344" max="14344" width="14.28125" style="0" customWidth="1"/>
    <col min="14345" max="14345" width="11.8515625" style="0" customWidth="1"/>
    <col min="14591" max="14591" width="9.8515625" style="0" customWidth="1"/>
    <col min="14592" max="14592" width="46.57421875" style="0" customWidth="1"/>
    <col min="14593" max="14593" width="9.421875" style="0" customWidth="1"/>
    <col min="14594" max="14594" width="5.00390625" style="0" customWidth="1"/>
    <col min="14595" max="14595" width="5.57421875" style="0" customWidth="1"/>
    <col min="14596" max="14596" width="11.7109375" style="0" customWidth="1"/>
    <col min="14597" max="14597" width="5.421875" style="0" customWidth="1"/>
    <col min="14598" max="14598" width="15.7109375" style="0" customWidth="1"/>
    <col min="14599" max="14599" width="16.57421875" style="0" customWidth="1"/>
    <col min="14600" max="14600" width="14.28125" style="0" customWidth="1"/>
    <col min="14601" max="14601" width="11.8515625" style="0" customWidth="1"/>
    <col min="14847" max="14847" width="9.8515625" style="0" customWidth="1"/>
    <col min="14848" max="14848" width="46.57421875" style="0" customWidth="1"/>
    <col min="14849" max="14849" width="9.421875" style="0" customWidth="1"/>
    <col min="14850" max="14850" width="5.00390625" style="0" customWidth="1"/>
    <col min="14851" max="14851" width="5.57421875" style="0" customWidth="1"/>
    <col min="14852" max="14852" width="11.7109375" style="0" customWidth="1"/>
    <col min="14853" max="14853" width="5.421875" style="0" customWidth="1"/>
    <col min="14854" max="14854" width="15.7109375" style="0" customWidth="1"/>
    <col min="14855" max="14855" width="16.57421875" style="0" customWidth="1"/>
    <col min="14856" max="14856" width="14.28125" style="0" customWidth="1"/>
    <col min="14857" max="14857" width="11.8515625" style="0" customWidth="1"/>
    <col min="15103" max="15103" width="9.8515625" style="0" customWidth="1"/>
    <col min="15104" max="15104" width="46.57421875" style="0" customWidth="1"/>
    <col min="15105" max="15105" width="9.421875" style="0" customWidth="1"/>
    <col min="15106" max="15106" width="5.00390625" style="0" customWidth="1"/>
    <col min="15107" max="15107" width="5.57421875" style="0" customWidth="1"/>
    <col min="15108" max="15108" width="11.7109375" style="0" customWidth="1"/>
    <col min="15109" max="15109" width="5.421875" style="0" customWidth="1"/>
    <col min="15110" max="15110" width="15.7109375" style="0" customWidth="1"/>
    <col min="15111" max="15111" width="16.57421875" style="0" customWidth="1"/>
    <col min="15112" max="15112" width="14.28125" style="0" customWidth="1"/>
    <col min="15113" max="15113" width="11.8515625" style="0" customWidth="1"/>
    <col min="15359" max="15359" width="9.8515625" style="0" customWidth="1"/>
    <col min="15360" max="15360" width="46.57421875" style="0" customWidth="1"/>
    <col min="15361" max="15361" width="9.421875" style="0" customWidth="1"/>
    <col min="15362" max="15362" width="5.00390625" style="0" customWidth="1"/>
    <col min="15363" max="15363" width="5.57421875" style="0" customWidth="1"/>
    <col min="15364" max="15364" width="11.7109375" style="0" customWidth="1"/>
    <col min="15365" max="15365" width="5.421875" style="0" customWidth="1"/>
    <col min="15366" max="15366" width="15.7109375" style="0" customWidth="1"/>
    <col min="15367" max="15367" width="16.57421875" style="0" customWidth="1"/>
    <col min="15368" max="15368" width="14.28125" style="0" customWidth="1"/>
    <col min="15369" max="15369" width="11.8515625" style="0" customWidth="1"/>
    <col min="15615" max="15615" width="9.8515625" style="0" customWidth="1"/>
    <col min="15616" max="15616" width="46.57421875" style="0" customWidth="1"/>
    <col min="15617" max="15617" width="9.421875" style="0" customWidth="1"/>
    <col min="15618" max="15618" width="5.00390625" style="0" customWidth="1"/>
    <col min="15619" max="15619" width="5.57421875" style="0" customWidth="1"/>
    <col min="15620" max="15620" width="11.7109375" style="0" customWidth="1"/>
    <col min="15621" max="15621" width="5.421875" style="0" customWidth="1"/>
    <col min="15622" max="15622" width="15.7109375" style="0" customWidth="1"/>
    <col min="15623" max="15623" width="16.57421875" style="0" customWidth="1"/>
    <col min="15624" max="15624" width="14.28125" style="0" customWidth="1"/>
    <col min="15625" max="15625" width="11.8515625" style="0" customWidth="1"/>
    <col min="15871" max="15871" width="9.8515625" style="0" customWidth="1"/>
    <col min="15872" max="15872" width="46.57421875" style="0" customWidth="1"/>
    <col min="15873" max="15873" width="9.421875" style="0" customWidth="1"/>
    <col min="15874" max="15874" width="5.00390625" style="0" customWidth="1"/>
    <col min="15875" max="15875" width="5.57421875" style="0" customWidth="1"/>
    <col min="15876" max="15876" width="11.7109375" style="0" customWidth="1"/>
    <col min="15877" max="15877" width="5.421875" style="0" customWidth="1"/>
    <col min="15878" max="15878" width="15.7109375" style="0" customWidth="1"/>
    <col min="15879" max="15879" width="16.57421875" style="0" customWidth="1"/>
    <col min="15880" max="15880" width="14.28125" style="0" customWidth="1"/>
    <col min="15881" max="15881" width="11.8515625" style="0" customWidth="1"/>
    <col min="16127" max="16127" width="9.8515625" style="0" customWidth="1"/>
    <col min="16128" max="16128" width="46.57421875" style="0" customWidth="1"/>
    <col min="16129" max="16129" width="9.421875" style="0" customWidth="1"/>
    <col min="16130" max="16130" width="5.00390625" style="0" customWidth="1"/>
    <col min="16131" max="16131" width="5.57421875" style="0" customWidth="1"/>
    <col min="16132" max="16132" width="11.7109375" style="0" customWidth="1"/>
    <col min="16133" max="16133" width="5.421875" style="0" customWidth="1"/>
    <col min="16134" max="16134" width="15.7109375" style="0" customWidth="1"/>
    <col min="16135" max="16135" width="16.57421875" style="0" customWidth="1"/>
    <col min="16136" max="16136" width="14.28125" style="0" customWidth="1"/>
    <col min="16137" max="16137" width="11.8515625" style="0" customWidth="1"/>
  </cols>
  <sheetData>
    <row r="1" spans="1:7" ht="20.25">
      <c r="A1" s="279"/>
      <c r="B1" s="279"/>
      <c r="C1" s="279"/>
      <c r="D1" s="279"/>
      <c r="E1" s="279"/>
      <c r="F1" s="279"/>
      <c r="G1" s="311" t="s">
        <v>2524</v>
      </c>
    </row>
    <row r="2" spans="1:8" ht="12.75">
      <c r="A2" s="165" t="s">
        <v>2985</v>
      </c>
      <c r="B2" s="165" t="s">
        <v>2986</v>
      </c>
      <c r="C2" s="284"/>
      <c r="D2" s="142"/>
      <c r="E2" s="142"/>
      <c r="F2" s="142"/>
      <c r="G2" s="174"/>
      <c r="H2" s="285"/>
    </row>
    <row r="3" spans="1:8" ht="12.75">
      <c r="A3" s="165" t="s">
        <v>2987</v>
      </c>
      <c r="B3" s="165" t="s">
        <v>2988</v>
      </c>
      <c r="C3" s="284"/>
      <c r="D3" s="142"/>
      <c r="E3" s="142"/>
      <c r="F3" s="142"/>
      <c r="G3" s="174"/>
      <c r="H3" s="285"/>
    </row>
    <row r="4" spans="1:8" ht="23.85" customHeight="1">
      <c r="A4" s="286" t="s">
        <v>50</v>
      </c>
      <c r="B4" s="551" t="s">
        <v>2989</v>
      </c>
      <c r="C4" s="551"/>
      <c r="D4" s="551"/>
      <c r="E4" s="551"/>
      <c r="F4" s="551"/>
      <c r="G4" s="551"/>
      <c r="H4" s="142"/>
    </row>
    <row r="5" spans="1:8" ht="13.5" thickBot="1">
      <c r="A5" s="165"/>
      <c r="B5" s="287"/>
      <c r="C5" s="288"/>
      <c r="D5" s="142"/>
      <c r="E5" s="142"/>
      <c r="F5" s="142"/>
      <c r="G5" s="312"/>
      <c r="H5" s="289"/>
    </row>
    <row r="6" spans="1:9" s="191" customFormat="1" ht="24.75" thickBot="1">
      <c r="A6" s="326" t="s">
        <v>2990</v>
      </c>
      <c r="B6" s="327" t="s">
        <v>2515</v>
      </c>
      <c r="C6" s="327" t="s">
        <v>66</v>
      </c>
      <c r="D6" s="327" t="s">
        <v>2991</v>
      </c>
      <c r="E6" s="344"/>
      <c r="F6" s="363" t="s">
        <v>2992</v>
      </c>
      <c r="G6" s="313" t="s">
        <v>2993</v>
      </c>
      <c r="H6" s="290"/>
      <c r="I6" s="174"/>
    </row>
    <row r="7" spans="1:9" ht="12.75">
      <c r="A7" s="331"/>
      <c r="B7" s="379" t="s">
        <v>2994</v>
      </c>
      <c r="C7" s="345"/>
      <c r="D7" s="346"/>
      <c r="E7" s="347"/>
      <c r="F7" s="348"/>
      <c r="G7" s="335"/>
      <c r="H7" s="295"/>
      <c r="I7" s="142"/>
    </row>
    <row r="8" spans="1:9" ht="12.75">
      <c r="A8" s="336" t="s">
        <v>2995</v>
      </c>
      <c r="B8" s="296" t="s">
        <v>2996</v>
      </c>
      <c r="C8" s="291">
        <v>1</v>
      </c>
      <c r="D8" s="292" t="s">
        <v>2107</v>
      </c>
      <c r="E8" s="293"/>
      <c r="F8" s="372"/>
      <c r="G8" s="337">
        <f>SUM(C8*F8)</f>
        <v>0</v>
      </c>
      <c r="H8" s="297"/>
      <c r="I8" s="142"/>
    </row>
    <row r="9" spans="1:9" ht="12.75">
      <c r="A9" s="336" t="s">
        <v>2997</v>
      </c>
      <c r="B9" s="296" t="s">
        <v>2998</v>
      </c>
      <c r="C9" s="291">
        <v>1</v>
      </c>
      <c r="D9" s="292" t="s">
        <v>2107</v>
      </c>
      <c r="E9" s="293"/>
      <c r="F9" s="372"/>
      <c r="G9" s="337">
        <f>SUM(C9*F9)</f>
        <v>0</v>
      </c>
      <c r="H9" s="297"/>
      <c r="I9" s="142"/>
    </row>
    <row r="10" spans="1:9" ht="12.75">
      <c r="A10" s="336" t="s">
        <v>2999</v>
      </c>
      <c r="B10" s="296" t="s">
        <v>3000</v>
      </c>
      <c r="C10" s="291">
        <v>1</v>
      </c>
      <c r="D10" s="292" t="s">
        <v>2107</v>
      </c>
      <c r="E10" s="293"/>
      <c r="F10" s="372"/>
      <c r="G10" s="337">
        <f>SUM(C10*F10)</f>
        <v>0</v>
      </c>
      <c r="H10" s="297"/>
      <c r="I10" s="142"/>
    </row>
    <row r="11" spans="1:9" ht="12.75">
      <c r="A11" s="336" t="s">
        <v>3001</v>
      </c>
      <c r="B11" s="296" t="s">
        <v>3002</v>
      </c>
      <c r="C11" s="291">
        <v>1</v>
      </c>
      <c r="D11" s="292" t="s">
        <v>2107</v>
      </c>
      <c r="E11" s="293"/>
      <c r="F11" s="372"/>
      <c r="G11" s="337">
        <f>SUM(C11*F11)</f>
        <v>0</v>
      </c>
      <c r="H11" s="297"/>
      <c r="I11" s="142"/>
    </row>
    <row r="12" spans="1:9" ht="12.75">
      <c r="A12" s="336" t="s">
        <v>3003</v>
      </c>
      <c r="B12" s="296" t="s">
        <v>3004</v>
      </c>
      <c r="C12" s="291">
        <v>1</v>
      </c>
      <c r="D12" s="292" t="s">
        <v>2107</v>
      </c>
      <c r="E12" s="293"/>
      <c r="F12" s="372"/>
      <c r="G12" s="337">
        <f>SUM(C12*F12)</f>
        <v>0</v>
      </c>
      <c r="H12" s="297"/>
      <c r="I12" s="142"/>
    </row>
    <row r="13" spans="1:9" ht="12.75">
      <c r="A13" s="336"/>
      <c r="B13" s="296" t="s">
        <v>3005</v>
      </c>
      <c r="C13" s="291"/>
      <c r="D13" s="292"/>
      <c r="E13" s="293"/>
      <c r="F13" s="294"/>
      <c r="G13" s="337" t="s">
        <v>2524</v>
      </c>
      <c r="H13" s="297"/>
      <c r="I13" s="142"/>
    </row>
    <row r="14" spans="1:9" ht="12.75">
      <c r="A14" s="336"/>
      <c r="B14" s="380" t="s">
        <v>3006</v>
      </c>
      <c r="C14" s="291"/>
      <c r="D14" s="292"/>
      <c r="E14" s="293"/>
      <c r="F14" s="294"/>
      <c r="G14" s="337" t="s">
        <v>2524</v>
      </c>
      <c r="H14" s="297"/>
      <c r="I14" s="142"/>
    </row>
    <row r="15" spans="1:9" ht="12.75">
      <c r="A15" s="336">
        <v>210011</v>
      </c>
      <c r="B15" s="296" t="s">
        <v>3007</v>
      </c>
      <c r="C15" s="291">
        <v>8</v>
      </c>
      <c r="D15" s="292" t="s">
        <v>2107</v>
      </c>
      <c r="E15" s="293"/>
      <c r="F15" s="372"/>
      <c r="G15" s="337">
        <f>SUM(C15*F15)</f>
        <v>0</v>
      </c>
      <c r="H15" s="297"/>
      <c r="I15" s="142"/>
    </row>
    <row r="16" spans="1:9" ht="12.75">
      <c r="A16" s="336"/>
      <c r="B16" s="296" t="s">
        <v>3005</v>
      </c>
      <c r="C16" s="291"/>
      <c r="D16" s="292"/>
      <c r="E16" s="293"/>
      <c r="F16" s="294"/>
      <c r="G16" s="337" t="s">
        <v>2524</v>
      </c>
      <c r="H16" s="297"/>
      <c r="I16" s="142"/>
    </row>
    <row r="17" spans="1:9" ht="12.75">
      <c r="A17" s="336"/>
      <c r="B17" s="380" t="s">
        <v>3008</v>
      </c>
      <c r="C17" s="291"/>
      <c r="D17" s="292"/>
      <c r="E17" s="293"/>
      <c r="F17" s="294"/>
      <c r="G17" s="337" t="s">
        <v>2524</v>
      </c>
      <c r="H17" s="297"/>
      <c r="I17" s="142"/>
    </row>
    <row r="18" spans="1:9" ht="12.75">
      <c r="A18" s="336">
        <v>210019</v>
      </c>
      <c r="B18" s="296" t="s">
        <v>3009</v>
      </c>
      <c r="C18" s="291">
        <v>6</v>
      </c>
      <c r="D18" s="292" t="s">
        <v>2107</v>
      </c>
      <c r="E18" s="293"/>
      <c r="F18" s="372"/>
      <c r="G18" s="337">
        <f>SUM(C18*F18)</f>
        <v>0</v>
      </c>
      <c r="H18" s="297"/>
      <c r="I18" s="142"/>
    </row>
    <row r="19" spans="1:9" ht="12.75">
      <c r="A19" s="336" t="s">
        <v>3010</v>
      </c>
      <c r="B19" s="296" t="s">
        <v>3011</v>
      </c>
      <c r="C19" s="291">
        <v>6</v>
      </c>
      <c r="D19" s="292" t="s">
        <v>2107</v>
      </c>
      <c r="E19" s="293"/>
      <c r="F19" s="372"/>
      <c r="G19" s="337">
        <f>SUM(C19*F19)</f>
        <v>0</v>
      </c>
      <c r="H19" s="297"/>
      <c r="I19" s="142"/>
    </row>
    <row r="20" spans="1:9" ht="12.75">
      <c r="A20" s="336" t="s">
        <v>3012</v>
      </c>
      <c r="B20" s="296" t="s">
        <v>3013</v>
      </c>
      <c r="C20" s="291">
        <v>1</v>
      </c>
      <c r="D20" s="292" t="s">
        <v>2107</v>
      </c>
      <c r="E20" s="293"/>
      <c r="F20" s="372"/>
      <c r="G20" s="337">
        <f>SUM(C20*F20)</f>
        <v>0</v>
      </c>
      <c r="H20" s="297"/>
      <c r="I20" s="142"/>
    </row>
    <row r="21" spans="1:9" ht="12.75">
      <c r="A21" s="336"/>
      <c r="B21" s="296" t="s">
        <v>3005</v>
      </c>
      <c r="C21" s="291"/>
      <c r="D21" s="292"/>
      <c r="E21" s="293"/>
      <c r="F21" s="294"/>
      <c r="G21" s="337" t="s">
        <v>2524</v>
      </c>
      <c r="H21" s="297"/>
      <c r="I21" s="142"/>
    </row>
    <row r="22" spans="1:9" ht="12.75">
      <c r="A22" s="336"/>
      <c r="B22" s="380" t="s">
        <v>3014</v>
      </c>
      <c r="C22" s="291"/>
      <c r="D22" s="292"/>
      <c r="E22" s="293"/>
      <c r="F22" s="294"/>
      <c r="G22" s="337" t="s">
        <v>2524</v>
      </c>
      <c r="H22" s="297"/>
      <c r="I22" s="142"/>
    </row>
    <row r="23" spans="1:9" ht="12.75">
      <c r="A23" s="336" t="s">
        <v>3015</v>
      </c>
      <c r="B23" s="296" t="s">
        <v>3016</v>
      </c>
      <c r="C23" s="291">
        <v>8</v>
      </c>
      <c r="D23" s="292" t="s">
        <v>2107</v>
      </c>
      <c r="E23" s="293"/>
      <c r="F23" s="372"/>
      <c r="G23" s="337">
        <f>SUM(C23*F23)</f>
        <v>0</v>
      </c>
      <c r="H23" s="297"/>
      <c r="I23" s="142"/>
    </row>
    <row r="24" spans="1:9" ht="12.75">
      <c r="A24" s="336"/>
      <c r="B24" s="296" t="s">
        <v>3005</v>
      </c>
      <c r="C24" s="291"/>
      <c r="D24" s="292"/>
      <c r="E24" s="293"/>
      <c r="F24" s="294"/>
      <c r="G24" s="337" t="s">
        <v>2524</v>
      </c>
      <c r="H24" s="297"/>
      <c r="I24" s="142"/>
    </row>
    <row r="25" spans="1:9" ht="12.75">
      <c r="A25" s="336"/>
      <c r="B25" s="380" t="s">
        <v>3017</v>
      </c>
      <c r="C25" s="291"/>
      <c r="D25" s="292"/>
      <c r="E25" s="293"/>
      <c r="F25" s="294"/>
      <c r="G25" s="337" t="s">
        <v>2524</v>
      </c>
      <c r="H25" s="297"/>
      <c r="I25" s="142"/>
    </row>
    <row r="26" spans="1:9" ht="12.75">
      <c r="A26" s="336">
        <v>210014</v>
      </c>
      <c r="B26" s="296" t="s">
        <v>3018</v>
      </c>
      <c r="C26" s="291">
        <v>4</v>
      </c>
      <c r="D26" s="292" t="s">
        <v>2107</v>
      </c>
      <c r="E26" s="293"/>
      <c r="F26" s="372"/>
      <c r="G26" s="337">
        <f>SUM(C26*F26)</f>
        <v>0</v>
      </c>
      <c r="H26" s="297"/>
      <c r="I26" s="142"/>
    </row>
    <row r="27" spans="1:9" ht="12.75">
      <c r="A27" s="336"/>
      <c r="B27" s="296" t="s">
        <v>3005</v>
      </c>
      <c r="C27" s="291"/>
      <c r="D27" s="292"/>
      <c r="E27" s="293"/>
      <c r="F27" s="294"/>
      <c r="G27" s="337" t="s">
        <v>2524</v>
      </c>
      <c r="H27" s="297"/>
      <c r="I27" s="142"/>
    </row>
    <row r="28" spans="1:9" ht="12.75">
      <c r="A28" s="336"/>
      <c r="B28" s="380" t="s">
        <v>3019</v>
      </c>
      <c r="C28" s="291"/>
      <c r="D28" s="292"/>
      <c r="E28" s="293"/>
      <c r="F28" s="294"/>
      <c r="G28" s="337" t="s">
        <v>2524</v>
      </c>
      <c r="H28" s="297"/>
      <c r="I28" s="142"/>
    </row>
    <row r="29" spans="1:9" ht="12.75">
      <c r="A29" s="336">
        <v>210014</v>
      </c>
      <c r="B29" s="296" t="s">
        <v>3018</v>
      </c>
      <c r="C29" s="291">
        <v>2</v>
      </c>
      <c r="D29" s="292" t="s">
        <v>2107</v>
      </c>
      <c r="E29" s="293"/>
      <c r="F29" s="372"/>
      <c r="G29" s="337">
        <f>SUM(C29*F29)</f>
        <v>0</v>
      </c>
      <c r="H29" s="297"/>
      <c r="I29" s="142"/>
    </row>
    <row r="30" spans="1:9" ht="12.75">
      <c r="A30" s="336"/>
      <c r="B30" s="296" t="s">
        <v>3005</v>
      </c>
      <c r="C30" s="291"/>
      <c r="D30" s="292"/>
      <c r="E30" s="293"/>
      <c r="F30" s="294"/>
      <c r="G30" s="337" t="s">
        <v>2524</v>
      </c>
      <c r="H30" s="297"/>
      <c r="I30" s="142"/>
    </row>
    <row r="31" spans="1:9" ht="12.75">
      <c r="A31" s="336"/>
      <c r="B31" s="380" t="s">
        <v>3020</v>
      </c>
      <c r="C31" s="291"/>
      <c r="D31" s="292"/>
      <c r="E31" s="293"/>
      <c r="F31" s="294"/>
      <c r="G31" s="337" t="s">
        <v>2524</v>
      </c>
      <c r="I31" s="142"/>
    </row>
    <row r="32" spans="1:9" ht="13.5">
      <c r="A32" s="336">
        <v>12962</v>
      </c>
      <c r="B32" s="296" t="s">
        <v>3021</v>
      </c>
      <c r="C32" s="291">
        <v>150</v>
      </c>
      <c r="D32" s="292" t="s">
        <v>2216</v>
      </c>
      <c r="E32" s="293"/>
      <c r="F32" s="372"/>
      <c r="G32" s="337">
        <f>SUM(C32*F32)</f>
        <v>0</v>
      </c>
      <c r="I32" s="142"/>
    </row>
    <row r="33" spans="1:9" ht="13.5">
      <c r="A33" s="336">
        <v>12963</v>
      </c>
      <c r="B33" s="296" t="s">
        <v>3021</v>
      </c>
      <c r="C33" s="291">
        <v>150</v>
      </c>
      <c r="D33" s="292" t="s">
        <v>2216</v>
      </c>
      <c r="E33" s="293"/>
      <c r="F33" s="372"/>
      <c r="G33" s="337">
        <f>SUM(C33*F33)</f>
        <v>0</v>
      </c>
      <c r="H33" s="298"/>
      <c r="I33" s="142"/>
    </row>
    <row r="34" spans="1:9" ht="36">
      <c r="A34" s="336"/>
      <c r="B34" s="299" t="s">
        <v>2932</v>
      </c>
      <c r="C34" s="291">
        <v>300</v>
      </c>
      <c r="D34" s="292" t="s">
        <v>2216</v>
      </c>
      <c r="E34" s="293"/>
      <c r="F34" s="372"/>
      <c r="G34" s="337">
        <f>SUM(C34*F34)</f>
        <v>0</v>
      </c>
      <c r="H34" s="298"/>
      <c r="I34" s="142"/>
    </row>
    <row r="35" spans="1:9" ht="12.75">
      <c r="A35" s="336"/>
      <c r="B35" s="296" t="s">
        <v>3005</v>
      </c>
      <c r="C35" s="291"/>
      <c r="D35" s="292"/>
      <c r="E35" s="293"/>
      <c r="F35" s="294"/>
      <c r="G35" s="337" t="s">
        <v>2524</v>
      </c>
      <c r="H35" s="298"/>
      <c r="I35" s="142"/>
    </row>
    <row r="36" spans="1:9" ht="12.75">
      <c r="A36" s="336"/>
      <c r="B36" s="380" t="s">
        <v>3022</v>
      </c>
      <c r="C36" s="291"/>
      <c r="D36" s="292"/>
      <c r="E36" s="293"/>
      <c r="F36" s="294"/>
      <c r="G36" s="337" t="s">
        <v>2524</v>
      </c>
      <c r="H36" s="298"/>
      <c r="I36" s="142"/>
    </row>
    <row r="37" spans="1:9" ht="12.75">
      <c r="A37" s="336"/>
      <c r="B37" s="296" t="s">
        <v>3023</v>
      </c>
      <c r="C37" s="291">
        <v>1</v>
      </c>
      <c r="D37" s="292" t="s">
        <v>2064</v>
      </c>
      <c r="E37" s="293"/>
      <c r="F37" s="372"/>
      <c r="G37" s="337">
        <f>SUM(C37*F37)</f>
        <v>0</v>
      </c>
      <c r="H37" s="298"/>
      <c r="I37" s="142"/>
    </row>
    <row r="38" spans="1:9" ht="12.75">
      <c r="A38" s="336"/>
      <c r="B38" s="296" t="s">
        <v>3024</v>
      </c>
      <c r="C38" s="291">
        <v>1</v>
      </c>
      <c r="D38" s="292" t="s">
        <v>2064</v>
      </c>
      <c r="E38" s="293"/>
      <c r="F38" s="372"/>
      <c r="G38" s="337">
        <f>SUM(C38*F38)</f>
        <v>0</v>
      </c>
      <c r="H38" s="298"/>
      <c r="I38" s="142"/>
    </row>
    <row r="39" spans="1:9" ht="12.75">
      <c r="A39" s="336"/>
      <c r="B39" s="296" t="s">
        <v>3025</v>
      </c>
      <c r="C39" s="291">
        <v>1</v>
      </c>
      <c r="D39" s="292" t="s">
        <v>2064</v>
      </c>
      <c r="E39" s="293"/>
      <c r="F39" s="372"/>
      <c r="G39" s="337">
        <f>SUM(C39*F39)</f>
        <v>0</v>
      </c>
      <c r="H39" s="298"/>
      <c r="I39" s="142"/>
    </row>
    <row r="40" spans="1:9" ht="13.5" thickBot="1">
      <c r="A40" s="338"/>
      <c r="B40" s="339" t="s">
        <v>3026</v>
      </c>
      <c r="C40" s="349">
        <v>1</v>
      </c>
      <c r="D40" s="350" t="s">
        <v>2064</v>
      </c>
      <c r="E40" s="351"/>
      <c r="F40" s="373"/>
      <c r="G40" s="342">
        <f>SUM(C40*F40)</f>
        <v>0</v>
      </c>
      <c r="I40" s="142"/>
    </row>
    <row r="41" spans="1:9" ht="12.75">
      <c r="A41" s="300"/>
      <c r="B41" s="284"/>
      <c r="C41" s="301"/>
      <c r="D41" s="302"/>
      <c r="E41" s="303"/>
      <c r="F41" s="304"/>
      <c r="G41" s="306"/>
      <c r="I41" s="142"/>
    </row>
    <row r="42" spans="1:9" ht="12.75">
      <c r="A42" s="284"/>
      <c r="B42" s="282" t="s">
        <v>42</v>
      </c>
      <c r="C42" s="284"/>
      <c r="D42" s="284"/>
      <c r="E42" s="307"/>
      <c r="F42" s="307"/>
      <c r="G42" s="314">
        <f>SUM(G8:G40)</f>
        <v>0</v>
      </c>
      <c r="H42" s="309"/>
      <c r="I42" s="310"/>
    </row>
  </sheetData>
  <mergeCells count="1">
    <mergeCell ref="B4:G4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workbookViewId="0" topLeftCell="A1">
      <selection activeCell="E6" sqref="E6:E22"/>
    </sheetView>
  </sheetViews>
  <sheetFormatPr defaultColWidth="9.140625" defaultRowHeight="12.75"/>
  <cols>
    <col min="1" max="1" width="9.8515625" style="0" customWidth="1"/>
    <col min="2" max="2" width="46.57421875" style="0" customWidth="1"/>
    <col min="3" max="3" width="9.421875" style="0" customWidth="1"/>
    <col min="4" max="4" width="5.00390625" style="0" customWidth="1"/>
    <col min="5" max="5" width="5.57421875" style="0" customWidth="1"/>
    <col min="6" max="6" width="11.7109375" style="0" customWidth="1"/>
    <col min="7" max="7" width="16.57421875" style="191" customWidth="1"/>
    <col min="8" max="8" width="14.28125" style="0" customWidth="1"/>
    <col min="9" max="9" width="11.8515625" style="0" customWidth="1"/>
    <col min="255" max="255" width="9.8515625" style="0" customWidth="1"/>
    <col min="256" max="256" width="46.57421875" style="0" customWidth="1"/>
    <col min="257" max="257" width="9.421875" style="0" customWidth="1"/>
    <col min="258" max="258" width="5.00390625" style="0" customWidth="1"/>
    <col min="259" max="259" width="5.57421875" style="0" customWidth="1"/>
    <col min="260" max="260" width="11.7109375" style="0" customWidth="1"/>
    <col min="261" max="261" width="5.421875" style="0" customWidth="1"/>
    <col min="262" max="262" width="15.7109375" style="0" customWidth="1"/>
    <col min="263" max="263" width="16.57421875" style="0" customWidth="1"/>
    <col min="264" max="264" width="14.28125" style="0" customWidth="1"/>
    <col min="265" max="265" width="11.8515625" style="0" customWidth="1"/>
    <col min="511" max="511" width="9.8515625" style="0" customWidth="1"/>
    <col min="512" max="512" width="46.57421875" style="0" customWidth="1"/>
    <col min="513" max="513" width="9.421875" style="0" customWidth="1"/>
    <col min="514" max="514" width="5.00390625" style="0" customWidth="1"/>
    <col min="515" max="515" width="5.57421875" style="0" customWidth="1"/>
    <col min="516" max="516" width="11.7109375" style="0" customWidth="1"/>
    <col min="517" max="517" width="5.421875" style="0" customWidth="1"/>
    <col min="518" max="518" width="15.7109375" style="0" customWidth="1"/>
    <col min="519" max="519" width="16.57421875" style="0" customWidth="1"/>
    <col min="520" max="520" width="14.28125" style="0" customWidth="1"/>
    <col min="521" max="521" width="11.8515625" style="0" customWidth="1"/>
    <col min="767" max="767" width="9.8515625" style="0" customWidth="1"/>
    <col min="768" max="768" width="46.57421875" style="0" customWidth="1"/>
    <col min="769" max="769" width="9.421875" style="0" customWidth="1"/>
    <col min="770" max="770" width="5.00390625" style="0" customWidth="1"/>
    <col min="771" max="771" width="5.57421875" style="0" customWidth="1"/>
    <col min="772" max="772" width="11.7109375" style="0" customWidth="1"/>
    <col min="773" max="773" width="5.421875" style="0" customWidth="1"/>
    <col min="774" max="774" width="15.7109375" style="0" customWidth="1"/>
    <col min="775" max="775" width="16.57421875" style="0" customWidth="1"/>
    <col min="776" max="776" width="14.28125" style="0" customWidth="1"/>
    <col min="777" max="777" width="11.8515625" style="0" customWidth="1"/>
    <col min="1023" max="1023" width="9.8515625" style="0" customWidth="1"/>
    <col min="1024" max="1024" width="46.57421875" style="0" customWidth="1"/>
    <col min="1025" max="1025" width="9.421875" style="0" customWidth="1"/>
    <col min="1026" max="1026" width="5.00390625" style="0" customWidth="1"/>
    <col min="1027" max="1027" width="5.57421875" style="0" customWidth="1"/>
    <col min="1028" max="1028" width="11.7109375" style="0" customWidth="1"/>
    <col min="1029" max="1029" width="5.421875" style="0" customWidth="1"/>
    <col min="1030" max="1030" width="15.7109375" style="0" customWidth="1"/>
    <col min="1031" max="1031" width="16.57421875" style="0" customWidth="1"/>
    <col min="1032" max="1032" width="14.28125" style="0" customWidth="1"/>
    <col min="1033" max="1033" width="11.8515625" style="0" customWidth="1"/>
    <col min="1279" max="1279" width="9.8515625" style="0" customWidth="1"/>
    <col min="1280" max="1280" width="46.57421875" style="0" customWidth="1"/>
    <col min="1281" max="1281" width="9.421875" style="0" customWidth="1"/>
    <col min="1282" max="1282" width="5.00390625" style="0" customWidth="1"/>
    <col min="1283" max="1283" width="5.57421875" style="0" customWidth="1"/>
    <col min="1284" max="1284" width="11.7109375" style="0" customWidth="1"/>
    <col min="1285" max="1285" width="5.421875" style="0" customWidth="1"/>
    <col min="1286" max="1286" width="15.7109375" style="0" customWidth="1"/>
    <col min="1287" max="1287" width="16.57421875" style="0" customWidth="1"/>
    <col min="1288" max="1288" width="14.28125" style="0" customWidth="1"/>
    <col min="1289" max="1289" width="11.8515625" style="0" customWidth="1"/>
    <col min="1535" max="1535" width="9.8515625" style="0" customWidth="1"/>
    <col min="1536" max="1536" width="46.57421875" style="0" customWidth="1"/>
    <col min="1537" max="1537" width="9.421875" style="0" customWidth="1"/>
    <col min="1538" max="1538" width="5.00390625" style="0" customWidth="1"/>
    <col min="1539" max="1539" width="5.57421875" style="0" customWidth="1"/>
    <col min="1540" max="1540" width="11.7109375" style="0" customWidth="1"/>
    <col min="1541" max="1541" width="5.421875" style="0" customWidth="1"/>
    <col min="1542" max="1542" width="15.7109375" style="0" customWidth="1"/>
    <col min="1543" max="1543" width="16.57421875" style="0" customWidth="1"/>
    <col min="1544" max="1544" width="14.28125" style="0" customWidth="1"/>
    <col min="1545" max="1545" width="11.8515625" style="0" customWidth="1"/>
    <col min="1791" max="1791" width="9.8515625" style="0" customWidth="1"/>
    <col min="1792" max="1792" width="46.57421875" style="0" customWidth="1"/>
    <col min="1793" max="1793" width="9.421875" style="0" customWidth="1"/>
    <col min="1794" max="1794" width="5.00390625" style="0" customWidth="1"/>
    <col min="1795" max="1795" width="5.57421875" style="0" customWidth="1"/>
    <col min="1796" max="1796" width="11.7109375" style="0" customWidth="1"/>
    <col min="1797" max="1797" width="5.421875" style="0" customWidth="1"/>
    <col min="1798" max="1798" width="15.7109375" style="0" customWidth="1"/>
    <col min="1799" max="1799" width="16.57421875" style="0" customWidth="1"/>
    <col min="1800" max="1800" width="14.28125" style="0" customWidth="1"/>
    <col min="1801" max="1801" width="11.8515625" style="0" customWidth="1"/>
    <col min="2047" max="2047" width="9.8515625" style="0" customWidth="1"/>
    <col min="2048" max="2048" width="46.57421875" style="0" customWidth="1"/>
    <col min="2049" max="2049" width="9.421875" style="0" customWidth="1"/>
    <col min="2050" max="2050" width="5.00390625" style="0" customWidth="1"/>
    <col min="2051" max="2051" width="5.57421875" style="0" customWidth="1"/>
    <col min="2052" max="2052" width="11.7109375" style="0" customWidth="1"/>
    <col min="2053" max="2053" width="5.421875" style="0" customWidth="1"/>
    <col min="2054" max="2054" width="15.7109375" style="0" customWidth="1"/>
    <col min="2055" max="2055" width="16.57421875" style="0" customWidth="1"/>
    <col min="2056" max="2056" width="14.28125" style="0" customWidth="1"/>
    <col min="2057" max="2057" width="11.8515625" style="0" customWidth="1"/>
    <col min="2303" max="2303" width="9.8515625" style="0" customWidth="1"/>
    <col min="2304" max="2304" width="46.57421875" style="0" customWidth="1"/>
    <col min="2305" max="2305" width="9.421875" style="0" customWidth="1"/>
    <col min="2306" max="2306" width="5.00390625" style="0" customWidth="1"/>
    <col min="2307" max="2307" width="5.57421875" style="0" customWidth="1"/>
    <col min="2308" max="2308" width="11.7109375" style="0" customWidth="1"/>
    <col min="2309" max="2309" width="5.421875" style="0" customWidth="1"/>
    <col min="2310" max="2310" width="15.7109375" style="0" customWidth="1"/>
    <col min="2311" max="2311" width="16.57421875" style="0" customWidth="1"/>
    <col min="2312" max="2312" width="14.28125" style="0" customWidth="1"/>
    <col min="2313" max="2313" width="11.8515625" style="0" customWidth="1"/>
    <col min="2559" max="2559" width="9.8515625" style="0" customWidth="1"/>
    <col min="2560" max="2560" width="46.57421875" style="0" customWidth="1"/>
    <col min="2561" max="2561" width="9.421875" style="0" customWidth="1"/>
    <col min="2562" max="2562" width="5.00390625" style="0" customWidth="1"/>
    <col min="2563" max="2563" width="5.57421875" style="0" customWidth="1"/>
    <col min="2564" max="2564" width="11.7109375" style="0" customWidth="1"/>
    <col min="2565" max="2565" width="5.421875" style="0" customWidth="1"/>
    <col min="2566" max="2566" width="15.7109375" style="0" customWidth="1"/>
    <col min="2567" max="2567" width="16.57421875" style="0" customWidth="1"/>
    <col min="2568" max="2568" width="14.28125" style="0" customWidth="1"/>
    <col min="2569" max="2569" width="11.8515625" style="0" customWidth="1"/>
    <col min="2815" max="2815" width="9.8515625" style="0" customWidth="1"/>
    <col min="2816" max="2816" width="46.57421875" style="0" customWidth="1"/>
    <col min="2817" max="2817" width="9.421875" style="0" customWidth="1"/>
    <col min="2818" max="2818" width="5.00390625" style="0" customWidth="1"/>
    <col min="2819" max="2819" width="5.57421875" style="0" customWidth="1"/>
    <col min="2820" max="2820" width="11.7109375" style="0" customWidth="1"/>
    <col min="2821" max="2821" width="5.421875" style="0" customWidth="1"/>
    <col min="2822" max="2822" width="15.7109375" style="0" customWidth="1"/>
    <col min="2823" max="2823" width="16.57421875" style="0" customWidth="1"/>
    <col min="2824" max="2824" width="14.28125" style="0" customWidth="1"/>
    <col min="2825" max="2825" width="11.8515625" style="0" customWidth="1"/>
    <col min="3071" max="3071" width="9.8515625" style="0" customWidth="1"/>
    <col min="3072" max="3072" width="46.57421875" style="0" customWidth="1"/>
    <col min="3073" max="3073" width="9.421875" style="0" customWidth="1"/>
    <col min="3074" max="3074" width="5.00390625" style="0" customWidth="1"/>
    <col min="3075" max="3075" width="5.57421875" style="0" customWidth="1"/>
    <col min="3076" max="3076" width="11.7109375" style="0" customWidth="1"/>
    <col min="3077" max="3077" width="5.421875" style="0" customWidth="1"/>
    <col min="3078" max="3078" width="15.7109375" style="0" customWidth="1"/>
    <col min="3079" max="3079" width="16.57421875" style="0" customWidth="1"/>
    <col min="3080" max="3080" width="14.28125" style="0" customWidth="1"/>
    <col min="3081" max="3081" width="11.8515625" style="0" customWidth="1"/>
    <col min="3327" max="3327" width="9.8515625" style="0" customWidth="1"/>
    <col min="3328" max="3328" width="46.57421875" style="0" customWidth="1"/>
    <col min="3329" max="3329" width="9.421875" style="0" customWidth="1"/>
    <col min="3330" max="3330" width="5.00390625" style="0" customWidth="1"/>
    <col min="3331" max="3331" width="5.57421875" style="0" customWidth="1"/>
    <col min="3332" max="3332" width="11.7109375" style="0" customWidth="1"/>
    <col min="3333" max="3333" width="5.421875" style="0" customWidth="1"/>
    <col min="3334" max="3334" width="15.7109375" style="0" customWidth="1"/>
    <col min="3335" max="3335" width="16.57421875" style="0" customWidth="1"/>
    <col min="3336" max="3336" width="14.28125" style="0" customWidth="1"/>
    <col min="3337" max="3337" width="11.8515625" style="0" customWidth="1"/>
    <col min="3583" max="3583" width="9.8515625" style="0" customWidth="1"/>
    <col min="3584" max="3584" width="46.57421875" style="0" customWidth="1"/>
    <col min="3585" max="3585" width="9.421875" style="0" customWidth="1"/>
    <col min="3586" max="3586" width="5.00390625" style="0" customWidth="1"/>
    <col min="3587" max="3587" width="5.57421875" style="0" customWidth="1"/>
    <col min="3588" max="3588" width="11.7109375" style="0" customWidth="1"/>
    <col min="3589" max="3589" width="5.421875" style="0" customWidth="1"/>
    <col min="3590" max="3590" width="15.7109375" style="0" customWidth="1"/>
    <col min="3591" max="3591" width="16.57421875" style="0" customWidth="1"/>
    <col min="3592" max="3592" width="14.28125" style="0" customWidth="1"/>
    <col min="3593" max="3593" width="11.8515625" style="0" customWidth="1"/>
    <col min="3839" max="3839" width="9.8515625" style="0" customWidth="1"/>
    <col min="3840" max="3840" width="46.57421875" style="0" customWidth="1"/>
    <col min="3841" max="3841" width="9.421875" style="0" customWidth="1"/>
    <col min="3842" max="3842" width="5.00390625" style="0" customWidth="1"/>
    <col min="3843" max="3843" width="5.57421875" style="0" customWidth="1"/>
    <col min="3844" max="3844" width="11.7109375" style="0" customWidth="1"/>
    <col min="3845" max="3845" width="5.421875" style="0" customWidth="1"/>
    <col min="3846" max="3846" width="15.7109375" style="0" customWidth="1"/>
    <col min="3847" max="3847" width="16.57421875" style="0" customWidth="1"/>
    <col min="3848" max="3848" width="14.28125" style="0" customWidth="1"/>
    <col min="3849" max="3849" width="11.8515625" style="0" customWidth="1"/>
    <col min="4095" max="4095" width="9.8515625" style="0" customWidth="1"/>
    <col min="4096" max="4096" width="46.57421875" style="0" customWidth="1"/>
    <col min="4097" max="4097" width="9.421875" style="0" customWidth="1"/>
    <col min="4098" max="4098" width="5.00390625" style="0" customWidth="1"/>
    <col min="4099" max="4099" width="5.57421875" style="0" customWidth="1"/>
    <col min="4100" max="4100" width="11.7109375" style="0" customWidth="1"/>
    <col min="4101" max="4101" width="5.421875" style="0" customWidth="1"/>
    <col min="4102" max="4102" width="15.7109375" style="0" customWidth="1"/>
    <col min="4103" max="4103" width="16.57421875" style="0" customWidth="1"/>
    <col min="4104" max="4104" width="14.28125" style="0" customWidth="1"/>
    <col min="4105" max="4105" width="11.8515625" style="0" customWidth="1"/>
    <col min="4351" max="4351" width="9.8515625" style="0" customWidth="1"/>
    <col min="4352" max="4352" width="46.57421875" style="0" customWidth="1"/>
    <col min="4353" max="4353" width="9.421875" style="0" customWidth="1"/>
    <col min="4354" max="4354" width="5.00390625" style="0" customWidth="1"/>
    <col min="4355" max="4355" width="5.57421875" style="0" customWidth="1"/>
    <col min="4356" max="4356" width="11.7109375" style="0" customWidth="1"/>
    <col min="4357" max="4357" width="5.421875" style="0" customWidth="1"/>
    <col min="4358" max="4358" width="15.7109375" style="0" customWidth="1"/>
    <col min="4359" max="4359" width="16.57421875" style="0" customWidth="1"/>
    <col min="4360" max="4360" width="14.28125" style="0" customWidth="1"/>
    <col min="4361" max="4361" width="11.8515625" style="0" customWidth="1"/>
    <col min="4607" max="4607" width="9.8515625" style="0" customWidth="1"/>
    <col min="4608" max="4608" width="46.57421875" style="0" customWidth="1"/>
    <col min="4609" max="4609" width="9.421875" style="0" customWidth="1"/>
    <col min="4610" max="4610" width="5.00390625" style="0" customWidth="1"/>
    <col min="4611" max="4611" width="5.57421875" style="0" customWidth="1"/>
    <col min="4612" max="4612" width="11.7109375" style="0" customWidth="1"/>
    <col min="4613" max="4613" width="5.421875" style="0" customWidth="1"/>
    <col min="4614" max="4614" width="15.7109375" style="0" customWidth="1"/>
    <col min="4615" max="4615" width="16.57421875" style="0" customWidth="1"/>
    <col min="4616" max="4616" width="14.28125" style="0" customWidth="1"/>
    <col min="4617" max="4617" width="11.8515625" style="0" customWidth="1"/>
    <col min="4863" max="4863" width="9.8515625" style="0" customWidth="1"/>
    <col min="4864" max="4864" width="46.57421875" style="0" customWidth="1"/>
    <col min="4865" max="4865" width="9.421875" style="0" customWidth="1"/>
    <col min="4866" max="4866" width="5.00390625" style="0" customWidth="1"/>
    <col min="4867" max="4867" width="5.57421875" style="0" customWidth="1"/>
    <col min="4868" max="4868" width="11.7109375" style="0" customWidth="1"/>
    <col min="4869" max="4869" width="5.421875" style="0" customWidth="1"/>
    <col min="4870" max="4870" width="15.7109375" style="0" customWidth="1"/>
    <col min="4871" max="4871" width="16.57421875" style="0" customWidth="1"/>
    <col min="4872" max="4872" width="14.28125" style="0" customWidth="1"/>
    <col min="4873" max="4873" width="11.8515625" style="0" customWidth="1"/>
    <col min="5119" max="5119" width="9.8515625" style="0" customWidth="1"/>
    <col min="5120" max="5120" width="46.57421875" style="0" customWidth="1"/>
    <col min="5121" max="5121" width="9.421875" style="0" customWidth="1"/>
    <col min="5122" max="5122" width="5.00390625" style="0" customWidth="1"/>
    <col min="5123" max="5123" width="5.57421875" style="0" customWidth="1"/>
    <col min="5124" max="5124" width="11.7109375" style="0" customWidth="1"/>
    <col min="5125" max="5125" width="5.421875" style="0" customWidth="1"/>
    <col min="5126" max="5126" width="15.7109375" style="0" customWidth="1"/>
    <col min="5127" max="5127" width="16.57421875" style="0" customWidth="1"/>
    <col min="5128" max="5128" width="14.28125" style="0" customWidth="1"/>
    <col min="5129" max="5129" width="11.8515625" style="0" customWidth="1"/>
    <col min="5375" max="5375" width="9.8515625" style="0" customWidth="1"/>
    <col min="5376" max="5376" width="46.57421875" style="0" customWidth="1"/>
    <col min="5377" max="5377" width="9.421875" style="0" customWidth="1"/>
    <col min="5378" max="5378" width="5.00390625" style="0" customWidth="1"/>
    <col min="5379" max="5379" width="5.57421875" style="0" customWidth="1"/>
    <col min="5380" max="5380" width="11.7109375" style="0" customWidth="1"/>
    <col min="5381" max="5381" width="5.421875" style="0" customWidth="1"/>
    <col min="5382" max="5382" width="15.7109375" style="0" customWidth="1"/>
    <col min="5383" max="5383" width="16.57421875" style="0" customWidth="1"/>
    <col min="5384" max="5384" width="14.28125" style="0" customWidth="1"/>
    <col min="5385" max="5385" width="11.8515625" style="0" customWidth="1"/>
    <col min="5631" max="5631" width="9.8515625" style="0" customWidth="1"/>
    <col min="5632" max="5632" width="46.57421875" style="0" customWidth="1"/>
    <col min="5633" max="5633" width="9.421875" style="0" customWidth="1"/>
    <col min="5634" max="5634" width="5.00390625" style="0" customWidth="1"/>
    <col min="5635" max="5635" width="5.57421875" style="0" customWidth="1"/>
    <col min="5636" max="5636" width="11.7109375" style="0" customWidth="1"/>
    <col min="5637" max="5637" width="5.421875" style="0" customWidth="1"/>
    <col min="5638" max="5638" width="15.7109375" style="0" customWidth="1"/>
    <col min="5639" max="5639" width="16.57421875" style="0" customWidth="1"/>
    <col min="5640" max="5640" width="14.28125" style="0" customWidth="1"/>
    <col min="5641" max="5641" width="11.8515625" style="0" customWidth="1"/>
    <col min="5887" max="5887" width="9.8515625" style="0" customWidth="1"/>
    <col min="5888" max="5888" width="46.57421875" style="0" customWidth="1"/>
    <col min="5889" max="5889" width="9.421875" style="0" customWidth="1"/>
    <col min="5890" max="5890" width="5.00390625" style="0" customWidth="1"/>
    <col min="5891" max="5891" width="5.57421875" style="0" customWidth="1"/>
    <col min="5892" max="5892" width="11.7109375" style="0" customWidth="1"/>
    <col min="5893" max="5893" width="5.421875" style="0" customWidth="1"/>
    <col min="5894" max="5894" width="15.7109375" style="0" customWidth="1"/>
    <col min="5895" max="5895" width="16.57421875" style="0" customWidth="1"/>
    <col min="5896" max="5896" width="14.28125" style="0" customWidth="1"/>
    <col min="5897" max="5897" width="11.8515625" style="0" customWidth="1"/>
    <col min="6143" max="6143" width="9.8515625" style="0" customWidth="1"/>
    <col min="6144" max="6144" width="46.57421875" style="0" customWidth="1"/>
    <col min="6145" max="6145" width="9.421875" style="0" customWidth="1"/>
    <col min="6146" max="6146" width="5.00390625" style="0" customWidth="1"/>
    <col min="6147" max="6147" width="5.57421875" style="0" customWidth="1"/>
    <col min="6148" max="6148" width="11.7109375" style="0" customWidth="1"/>
    <col min="6149" max="6149" width="5.421875" style="0" customWidth="1"/>
    <col min="6150" max="6150" width="15.7109375" style="0" customWidth="1"/>
    <col min="6151" max="6151" width="16.57421875" style="0" customWidth="1"/>
    <col min="6152" max="6152" width="14.28125" style="0" customWidth="1"/>
    <col min="6153" max="6153" width="11.8515625" style="0" customWidth="1"/>
    <col min="6399" max="6399" width="9.8515625" style="0" customWidth="1"/>
    <col min="6400" max="6400" width="46.57421875" style="0" customWidth="1"/>
    <col min="6401" max="6401" width="9.421875" style="0" customWidth="1"/>
    <col min="6402" max="6402" width="5.00390625" style="0" customWidth="1"/>
    <col min="6403" max="6403" width="5.57421875" style="0" customWidth="1"/>
    <col min="6404" max="6404" width="11.7109375" style="0" customWidth="1"/>
    <col min="6405" max="6405" width="5.421875" style="0" customWidth="1"/>
    <col min="6406" max="6406" width="15.7109375" style="0" customWidth="1"/>
    <col min="6407" max="6407" width="16.57421875" style="0" customWidth="1"/>
    <col min="6408" max="6408" width="14.28125" style="0" customWidth="1"/>
    <col min="6409" max="6409" width="11.8515625" style="0" customWidth="1"/>
    <col min="6655" max="6655" width="9.8515625" style="0" customWidth="1"/>
    <col min="6656" max="6656" width="46.57421875" style="0" customWidth="1"/>
    <col min="6657" max="6657" width="9.421875" style="0" customWidth="1"/>
    <col min="6658" max="6658" width="5.00390625" style="0" customWidth="1"/>
    <col min="6659" max="6659" width="5.57421875" style="0" customWidth="1"/>
    <col min="6660" max="6660" width="11.7109375" style="0" customWidth="1"/>
    <col min="6661" max="6661" width="5.421875" style="0" customWidth="1"/>
    <col min="6662" max="6662" width="15.7109375" style="0" customWidth="1"/>
    <col min="6663" max="6663" width="16.57421875" style="0" customWidth="1"/>
    <col min="6664" max="6664" width="14.28125" style="0" customWidth="1"/>
    <col min="6665" max="6665" width="11.8515625" style="0" customWidth="1"/>
    <col min="6911" max="6911" width="9.8515625" style="0" customWidth="1"/>
    <col min="6912" max="6912" width="46.57421875" style="0" customWidth="1"/>
    <col min="6913" max="6913" width="9.421875" style="0" customWidth="1"/>
    <col min="6914" max="6914" width="5.00390625" style="0" customWidth="1"/>
    <col min="6915" max="6915" width="5.57421875" style="0" customWidth="1"/>
    <col min="6916" max="6916" width="11.7109375" style="0" customWidth="1"/>
    <col min="6917" max="6917" width="5.421875" style="0" customWidth="1"/>
    <col min="6918" max="6918" width="15.7109375" style="0" customWidth="1"/>
    <col min="6919" max="6919" width="16.57421875" style="0" customWidth="1"/>
    <col min="6920" max="6920" width="14.28125" style="0" customWidth="1"/>
    <col min="6921" max="6921" width="11.8515625" style="0" customWidth="1"/>
    <col min="7167" max="7167" width="9.8515625" style="0" customWidth="1"/>
    <col min="7168" max="7168" width="46.57421875" style="0" customWidth="1"/>
    <col min="7169" max="7169" width="9.421875" style="0" customWidth="1"/>
    <col min="7170" max="7170" width="5.00390625" style="0" customWidth="1"/>
    <col min="7171" max="7171" width="5.57421875" style="0" customWidth="1"/>
    <col min="7172" max="7172" width="11.7109375" style="0" customWidth="1"/>
    <col min="7173" max="7173" width="5.421875" style="0" customWidth="1"/>
    <col min="7174" max="7174" width="15.7109375" style="0" customWidth="1"/>
    <col min="7175" max="7175" width="16.57421875" style="0" customWidth="1"/>
    <col min="7176" max="7176" width="14.28125" style="0" customWidth="1"/>
    <col min="7177" max="7177" width="11.8515625" style="0" customWidth="1"/>
    <col min="7423" max="7423" width="9.8515625" style="0" customWidth="1"/>
    <col min="7424" max="7424" width="46.57421875" style="0" customWidth="1"/>
    <col min="7425" max="7425" width="9.421875" style="0" customWidth="1"/>
    <col min="7426" max="7426" width="5.00390625" style="0" customWidth="1"/>
    <col min="7427" max="7427" width="5.57421875" style="0" customWidth="1"/>
    <col min="7428" max="7428" width="11.7109375" style="0" customWidth="1"/>
    <col min="7429" max="7429" width="5.421875" style="0" customWidth="1"/>
    <col min="7430" max="7430" width="15.7109375" style="0" customWidth="1"/>
    <col min="7431" max="7431" width="16.57421875" style="0" customWidth="1"/>
    <col min="7432" max="7432" width="14.28125" style="0" customWidth="1"/>
    <col min="7433" max="7433" width="11.8515625" style="0" customWidth="1"/>
    <col min="7679" max="7679" width="9.8515625" style="0" customWidth="1"/>
    <col min="7680" max="7680" width="46.57421875" style="0" customWidth="1"/>
    <col min="7681" max="7681" width="9.421875" style="0" customWidth="1"/>
    <col min="7682" max="7682" width="5.00390625" style="0" customWidth="1"/>
    <col min="7683" max="7683" width="5.57421875" style="0" customWidth="1"/>
    <col min="7684" max="7684" width="11.7109375" style="0" customWidth="1"/>
    <col min="7685" max="7685" width="5.421875" style="0" customWidth="1"/>
    <col min="7686" max="7686" width="15.7109375" style="0" customWidth="1"/>
    <col min="7687" max="7687" width="16.57421875" style="0" customWidth="1"/>
    <col min="7688" max="7688" width="14.28125" style="0" customWidth="1"/>
    <col min="7689" max="7689" width="11.8515625" style="0" customWidth="1"/>
    <col min="7935" max="7935" width="9.8515625" style="0" customWidth="1"/>
    <col min="7936" max="7936" width="46.57421875" style="0" customWidth="1"/>
    <col min="7937" max="7937" width="9.421875" style="0" customWidth="1"/>
    <col min="7938" max="7938" width="5.00390625" style="0" customWidth="1"/>
    <col min="7939" max="7939" width="5.57421875" style="0" customWidth="1"/>
    <col min="7940" max="7940" width="11.7109375" style="0" customWidth="1"/>
    <col min="7941" max="7941" width="5.421875" style="0" customWidth="1"/>
    <col min="7942" max="7942" width="15.7109375" style="0" customWidth="1"/>
    <col min="7943" max="7943" width="16.57421875" style="0" customWidth="1"/>
    <col min="7944" max="7944" width="14.28125" style="0" customWidth="1"/>
    <col min="7945" max="7945" width="11.8515625" style="0" customWidth="1"/>
    <col min="8191" max="8191" width="9.8515625" style="0" customWidth="1"/>
    <col min="8192" max="8192" width="46.57421875" style="0" customWidth="1"/>
    <col min="8193" max="8193" width="9.421875" style="0" customWidth="1"/>
    <col min="8194" max="8194" width="5.00390625" style="0" customWidth="1"/>
    <col min="8195" max="8195" width="5.57421875" style="0" customWidth="1"/>
    <col min="8196" max="8196" width="11.7109375" style="0" customWidth="1"/>
    <col min="8197" max="8197" width="5.421875" style="0" customWidth="1"/>
    <col min="8198" max="8198" width="15.7109375" style="0" customWidth="1"/>
    <col min="8199" max="8199" width="16.57421875" style="0" customWidth="1"/>
    <col min="8200" max="8200" width="14.28125" style="0" customWidth="1"/>
    <col min="8201" max="8201" width="11.8515625" style="0" customWidth="1"/>
    <col min="8447" max="8447" width="9.8515625" style="0" customWidth="1"/>
    <col min="8448" max="8448" width="46.57421875" style="0" customWidth="1"/>
    <col min="8449" max="8449" width="9.421875" style="0" customWidth="1"/>
    <col min="8450" max="8450" width="5.00390625" style="0" customWidth="1"/>
    <col min="8451" max="8451" width="5.57421875" style="0" customWidth="1"/>
    <col min="8452" max="8452" width="11.7109375" style="0" customWidth="1"/>
    <col min="8453" max="8453" width="5.421875" style="0" customWidth="1"/>
    <col min="8454" max="8454" width="15.7109375" style="0" customWidth="1"/>
    <col min="8455" max="8455" width="16.57421875" style="0" customWidth="1"/>
    <col min="8456" max="8456" width="14.28125" style="0" customWidth="1"/>
    <col min="8457" max="8457" width="11.8515625" style="0" customWidth="1"/>
    <col min="8703" max="8703" width="9.8515625" style="0" customWidth="1"/>
    <col min="8704" max="8704" width="46.57421875" style="0" customWidth="1"/>
    <col min="8705" max="8705" width="9.421875" style="0" customWidth="1"/>
    <col min="8706" max="8706" width="5.00390625" style="0" customWidth="1"/>
    <col min="8707" max="8707" width="5.57421875" style="0" customWidth="1"/>
    <col min="8708" max="8708" width="11.7109375" style="0" customWidth="1"/>
    <col min="8709" max="8709" width="5.421875" style="0" customWidth="1"/>
    <col min="8710" max="8710" width="15.7109375" style="0" customWidth="1"/>
    <col min="8711" max="8711" width="16.57421875" style="0" customWidth="1"/>
    <col min="8712" max="8712" width="14.28125" style="0" customWidth="1"/>
    <col min="8713" max="8713" width="11.8515625" style="0" customWidth="1"/>
    <col min="8959" max="8959" width="9.8515625" style="0" customWidth="1"/>
    <col min="8960" max="8960" width="46.57421875" style="0" customWidth="1"/>
    <col min="8961" max="8961" width="9.421875" style="0" customWidth="1"/>
    <col min="8962" max="8962" width="5.00390625" style="0" customWidth="1"/>
    <col min="8963" max="8963" width="5.57421875" style="0" customWidth="1"/>
    <col min="8964" max="8964" width="11.7109375" style="0" customWidth="1"/>
    <col min="8965" max="8965" width="5.421875" style="0" customWidth="1"/>
    <col min="8966" max="8966" width="15.7109375" style="0" customWidth="1"/>
    <col min="8967" max="8967" width="16.57421875" style="0" customWidth="1"/>
    <col min="8968" max="8968" width="14.28125" style="0" customWidth="1"/>
    <col min="8969" max="8969" width="11.8515625" style="0" customWidth="1"/>
    <col min="9215" max="9215" width="9.8515625" style="0" customWidth="1"/>
    <col min="9216" max="9216" width="46.57421875" style="0" customWidth="1"/>
    <col min="9217" max="9217" width="9.421875" style="0" customWidth="1"/>
    <col min="9218" max="9218" width="5.00390625" style="0" customWidth="1"/>
    <col min="9219" max="9219" width="5.57421875" style="0" customWidth="1"/>
    <col min="9220" max="9220" width="11.7109375" style="0" customWidth="1"/>
    <col min="9221" max="9221" width="5.421875" style="0" customWidth="1"/>
    <col min="9222" max="9222" width="15.7109375" style="0" customWidth="1"/>
    <col min="9223" max="9223" width="16.57421875" style="0" customWidth="1"/>
    <col min="9224" max="9224" width="14.28125" style="0" customWidth="1"/>
    <col min="9225" max="9225" width="11.8515625" style="0" customWidth="1"/>
    <col min="9471" max="9471" width="9.8515625" style="0" customWidth="1"/>
    <col min="9472" max="9472" width="46.57421875" style="0" customWidth="1"/>
    <col min="9473" max="9473" width="9.421875" style="0" customWidth="1"/>
    <col min="9474" max="9474" width="5.00390625" style="0" customWidth="1"/>
    <col min="9475" max="9475" width="5.57421875" style="0" customWidth="1"/>
    <col min="9476" max="9476" width="11.7109375" style="0" customWidth="1"/>
    <col min="9477" max="9477" width="5.421875" style="0" customWidth="1"/>
    <col min="9478" max="9478" width="15.7109375" style="0" customWidth="1"/>
    <col min="9479" max="9479" width="16.57421875" style="0" customWidth="1"/>
    <col min="9480" max="9480" width="14.28125" style="0" customWidth="1"/>
    <col min="9481" max="9481" width="11.8515625" style="0" customWidth="1"/>
    <col min="9727" max="9727" width="9.8515625" style="0" customWidth="1"/>
    <col min="9728" max="9728" width="46.57421875" style="0" customWidth="1"/>
    <col min="9729" max="9729" width="9.421875" style="0" customWidth="1"/>
    <col min="9730" max="9730" width="5.00390625" style="0" customWidth="1"/>
    <col min="9731" max="9731" width="5.57421875" style="0" customWidth="1"/>
    <col min="9732" max="9732" width="11.7109375" style="0" customWidth="1"/>
    <col min="9733" max="9733" width="5.421875" style="0" customWidth="1"/>
    <col min="9734" max="9734" width="15.7109375" style="0" customWidth="1"/>
    <col min="9735" max="9735" width="16.57421875" style="0" customWidth="1"/>
    <col min="9736" max="9736" width="14.28125" style="0" customWidth="1"/>
    <col min="9737" max="9737" width="11.8515625" style="0" customWidth="1"/>
    <col min="9983" max="9983" width="9.8515625" style="0" customWidth="1"/>
    <col min="9984" max="9984" width="46.57421875" style="0" customWidth="1"/>
    <col min="9985" max="9985" width="9.421875" style="0" customWidth="1"/>
    <col min="9986" max="9986" width="5.00390625" style="0" customWidth="1"/>
    <col min="9987" max="9987" width="5.57421875" style="0" customWidth="1"/>
    <col min="9988" max="9988" width="11.7109375" style="0" customWidth="1"/>
    <col min="9989" max="9989" width="5.421875" style="0" customWidth="1"/>
    <col min="9990" max="9990" width="15.7109375" style="0" customWidth="1"/>
    <col min="9991" max="9991" width="16.57421875" style="0" customWidth="1"/>
    <col min="9992" max="9992" width="14.28125" style="0" customWidth="1"/>
    <col min="9993" max="9993" width="11.8515625" style="0" customWidth="1"/>
    <col min="10239" max="10239" width="9.8515625" style="0" customWidth="1"/>
    <col min="10240" max="10240" width="46.57421875" style="0" customWidth="1"/>
    <col min="10241" max="10241" width="9.421875" style="0" customWidth="1"/>
    <col min="10242" max="10242" width="5.00390625" style="0" customWidth="1"/>
    <col min="10243" max="10243" width="5.57421875" style="0" customWidth="1"/>
    <col min="10244" max="10244" width="11.7109375" style="0" customWidth="1"/>
    <col min="10245" max="10245" width="5.421875" style="0" customWidth="1"/>
    <col min="10246" max="10246" width="15.7109375" style="0" customWidth="1"/>
    <col min="10247" max="10247" width="16.57421875" style="0" customWidth="1"/>
    <col min="10248" max="10248" width="14.28125" style="0" customWidth="1"/>
    <col min="10249" max="10249" width="11.8515625" style="0" customWidth="1"/>
    <col min="10495" max="10495" width="9.8515625" style="0" customWidth="1"/>
    <col min="10496" max="10496" width="46.57421875" style="0" customWidth="1"/>
    <col min="10497" max="10497" width="9.421875" style="0" customWidth="1"/>
    <col min="10498" max="10498" width="5.00390625" style="0" customWidth="1"/>
    <col min="10499" max="10499" width="5.57421875" style="0" customWidth="1"/>
    <col min="10500" max="10500" width="11.7109375" style="0" customWidth="1"/>
    <col min="10501" max="10501" width="5.421875" style="0" customWidth="1"/>
    <col min="10502" max="10502" width="15.7109375" style="0" customWidth="1"/>
    <col min="10503" max="10503" width="16.57421875" style="0" customWidth="1"/>
    <col min="10504" max="10504" width="14.28125" style="0" customWidth="1"/>
    <col min="10505" max="10505" width="11.8515625" style="0" customWidth="1"/>
    <col min="10751" max="10751" width="9.8515625" style="0" customWidth="1"/>
    <col min="10752" max="10752" width="46.57421875" style="0" customWidth="1"/>
    <col min="10753" max="10753" width="9.421875" style="0" customWidth="1"/>
    <col min="10754" max="10754" width="5.00390625" style="0" customWidth="1"/>
    <col min="10755" max="10755" width="5.57421875" style="0" customWidth="1"/>
    <col min="10756" max="10756" width="11.7109375" style="0" customWidth="1"/>
    <col min="10757" max="10757" width="5.421875" style="0" customWidth="1"/>
    <col min="10758" max="10758" width="15.7109375" style="0" customWidth="1"/>
    <col min="10759" max="10759" width="16.57421875" style="0" customWidth="1"/>
    <col min="10760" max="10760" width="14.28125" style="0" customWidth="1"/>
    <col min="10761" max="10761" width="11.8515625" style="0" customWidth="1"/>
    <col min="11007" max="11007" width="9.8515625" style="0" customWidth="1"/>
    <col min="11008" max="11008" width="46.57421875" style="0" customWidth="1"/>
    <col min="11009" max="11009" width="9.421875" style="0" customWidth="1"/>
    <col min="11010" max="11010" width="5.00390625" style="0" customWidth="1"/>
    <col min="11011" max="11011" width="5.57421875" style="0" customWidth="1"/>
    <col min="11012" max="11012" width="11.7109375" style="0" customWidth="1"/>
    <col min="11013" max="11013" width="5.421875" style="0" customWidth="1"/>
    <col min="11014" max="11014" width="15.7109375" style="0" customWidth="1"/>
    <col min="11015" max="11015" width="16.57421875" style="0" customWidth="1"/>
    <col min="11016" max="11016" width="14.28125" style="0" customWidth="1"/>
    <col min="11017" max="11017" width="11.8515625" style="0" customWidth="1"/>
    <col min="11263" max="11263" width="9.8515625" style="0" customWidth="1"/>
    <col min="11264" max="11264" width="46.57421875" style="0" customWidth="1"/>
    <col min="11265" max="11265" width="9.421875" style="0" customWidth="1"/>
    <col min="11266" max="11266" width="5.00390625" style="0" customWidth="1"/>
    <col min="11267" max="11267" width="5.57421875" style="0" customWidth="1"/>
    <col min="11268" max="11268" width="11.7109375" style="0" customWidth="1"/>
    <col min="11269" max="11269" width="5.421875" style="0" customWidth="1"/>
    <col min="11270" max="11270" width="15.7109375" style="0" customWidth="1"/>
    <col min="11271" max="11271" width="16.57421875" style="0" customWidth="1"/>
    <col min="11272" max="11272" width="14.28125" style="0" customWidth="1"/>
    <col min="11273" max="11273" width="11.8515625" style="0" customWidth="1"/>
    <col min="11519" max="11519" width="9.8515625" style="0" customWidth="1"/>
    <col min="11520" max="11520" width="46.57421875" style="0" customWidth="1"/>
    <col min="11521" max="11521" width="9.421875" style="0" customWidth="1"/>
    <col min="11522" max="11522" width="5.00390625" style="0" customWidth="1"/>
    <col min="11523" max="11523" width="5.57421875" style="0" customWidth="1"/>
    <col min="11524" max="11524" width="11.7109375" style="0" customWidth="1"/>
    <col min="11525" max="11525" width="5.421875" style="0" customWidth="1"/>
    <col min="11526" max="11526" width="15.7109375" style="0" customWidth="1"/>
    <col min="11527" max="11527" width="16.57421875" style="0" customWidth="1"/>
    <col min="11528" max="11528" width="14.28125" style="0" customWidth="1"/>
    <col min="11529" max="11529" width="11.8515625" style="0" customWidth="1"/>
    <col min="11775" max="11775" width="9.8515625" style="0" customWidth="1"/>
    <col min="11776" max="11776" width="46.57421875" style="0" customWidth="1"/>
    <col min="11777" max="11777" width="9.421875" style="0" customWidth="1"/>
    <col min="11778" max="11778" width="5.00390625" style="0" customWidth="1"/>
    <col min="11779" max="11779" width="5.57421875" style="0" customWidth="1"/>
    <col min="11780" max="11780" width="11.7109375" style="0" customWidth="1"/>
    <col min="11781" max="11781" width="5.421875" style="0" customWidth="1"/>
    <col min="11782" max="11782" width="15.7109375" style="0" customWidth="1"/>
    <col min="11783" max="11783" width="16.57421875" style="0" customWidth="1"/>
    <col min="11784" max="11784" width="14.28125" style="0" customWidth="1"/>
    <col min="11785" max="11785" width="11.8515625" style="0" customWidth="1"/>
    <col min="12031" max="12031" width="9.8515625" style="0" customWidth="1"/>
    <col min="12032" max="12032" width="46.57421875" style="0" customWidth="1"/>
    <col min="12033" max="12033" width="9.421875" style="0" customWidth="1"/>
    <col min="12034" max="12034" width="5.00390625" style="0" customWidth="1"/>
    <col min="12035" max="12035" width="5.57421875" style="0" customWidth="1"/>
    <col min="12036" max="12036" width="11.7109375" style="0" customWidth="1"/>
    <col min="12037" max="12037" width="5.421875" style="0" customWidth="1"/>
    <col min="12038" max="12038" width="15.7109375" style="0" customWidth="1"/>
    <col min="12039" max="12039" width="16.57421875" style="0" customWidth="1"/>
    <col min="12040" max="12040" width="14.28125" style="0" customWidth="1"/>
    <col min="12041" max="12041" width="11.8515625" style="0" customWidth="1"/>
    <col min="12287" max="12287" width="9.8515625" style="0" customWidth="1"/>
    <col min="12288" max="12288" width="46.57421875" style="0" customWidth="1"/>
    <col min="12289" max="12289" width="9.421875" style="0" customWidth="1"/>
    <col min="12290" max="12290" width="5.00390625" style="0" customWidth="1"/>
    <col min="12291" max="12291" width="5.57421875" style="0" customWidth="1"/>
    <col min="12292" max="12292" width="11.7109375" style="0" customWidth="1"/>
    <col min="12293" max="12293" width="5.421875" style="0" customWidth="1"/>
    <col min="12294" max="12294" width="15.7109375" style="0" customWidth="1"/>
    <col min="12295" max="12295" width="16.57421875" style="0" customWidth="1"/>
    <col min="12296" max="12296" width="14.28125" style="0" customWidth="1"/>
    <col min="12297" max="12297" width="11.8515625" style="0" customWidth="1"/>
    <col min="12543" max="12543" width="9.8515625" style="0" customWidth="1"/>
    <col min="12544" max="12544" width="46.57421875" style="0" customWidth="1"/>
    <col min="12545" max="12545" width="9.421875" style="0" customWidth="1"/>
    <col min="12546" max="12546" width="5.00390625" style="0" customWidth="1"/>
    <col min="12547" max="12547" width="5.57421875" style="0" customWidth="1"/>
    <col min="12548" max="12548" width="11.7109375" style="0" customWidth="1"/>
    <col min="12549" max="12549" width="5.421875" style="0" customWidth="1"/>
    <col min="12550" max="12550" width="15.7109375" style="0" customWidth="1"/>
    <col min="12551" max="12551" width="16.57421875" style="0" customWidth="1"/>
    <col min="12552" max="12552" width="14.28125" style="0" customWidth="1"/>
    <col min="12553" max="12553" width="11.8515625" style="0" customWidth="1"/>
    <col min="12799" max="12799" width="9.8515625" style="0" customWidth="1"/>
    <col min="12800" max="12800" width="46.57421875" style="0" customWidth="1"/>
    <col min="12801" max="12801" width="9.421875" style="0" customWidth="1"/>
    <col min="12802" max="12802" width="5.00390625" style="0" customWidth="1"/>
    <col min="12803" max="12803" width="5.57421875" style="0" customWidth="1"/>
    <col min="12804" max="12804" width="11.7109375" style="0" customWidth="1"/>
    <col min="12805" max="12805" width="5.421875" style="0" customWidth="1"/>
    <col min="12806" max="12806" width="15.7109375" style="0" customWidth="1"/>
    <col min="12807" max="12807" width="16.57421875" style="0" customWidth="1"/>
    <col min="12808" max="12808" width="14.28125" style="0" customWidth="1"/>
    <col min="12809" max="12809" width="11.8515625" style="0" customWidth="1"/>
    <col min="13055" max="13055" width="9.8515625" style="0" customWidth="1"/>
    <col min="13056" max="13056" width="46.57421875" style="0" customWidth="1"/>
    <col min="13057" max="13057" width="9.421875" style="0" customWidth="1"/>
    <col min="13058" max="13058" width="5.00390625" style="0" customWidth="1"/>
    <col min="13059" max="13059" width="5.57421875" style="0" customWidth="1"/>
    <col min="13060" max="13060" width="11.7109375" style="0" customWidth="1"/>
    <col min="13061" max="13061" width="5.421875" style="0" customWidth="1"/>
    <col min="13062" max="13062" width="15.7109375" style="0" customWidth="1"/>
    <col min="13063" max="13063" width="16.57421875" style="0" customWidth="1"/>
    <col min="13064" max="13064" width="14.28125" style="0" customWidth="1"/>
    <col min="13065" max="13065" width="11.8515625" style="0" customWidth="1"/>
    <col min="13311" max="13311" width="9.8515625" style="0" customWidth="1"/>
    <col min="13312" max="13312" width="46.57421875" style="0" customWidth="1"/>
    <col min="13313" max="13313" width="9.421875" style="0" customWidth="1"/>
    <col min="13314" max="13314" width="5.00390625" style="0" customWidth="1"/>
    <col min="13315" max="13315" width="5.57421875" style="0" customWidth="1"/>
    <col min="13316" max="13316" width="11.7109375" style="0" customWidth="1"/>
    <col min="13317" max="13317" width="5.421875" style="0" customWidth="1"/>
    <col min="13318" max="13318" width="15.7109375" style="0" customWidth="1"/>
    <col min="13319" max="13319" width="16.57421875" style="0" customWidth="1"/>
    <col min="13320" max="13320" width="14.28125" style="0" customWidth="1"/>
    <col min="13321" max="13321" width="11.8515625" style="0" customWidth="1"/>
    <col min="13567" max="13567" width="9.8515625" style="0" customWidth="1"/>
    <col min="13568" max="13568" width="46.57421875" style="0" customWidth="1"/>
    <col min="13569" max="13569" width="9.421875" style="0" customWidth="1"/>
    <col min="13570" max="13570" width="5.00390625" style="0" customWidth="1"/>
    <col min="13571" max="13571" width="5.57421875" style="0" customWidth="1"/>
    <col min="13572" max="13572" width="11.7109375" style="0" customWidth="1"/>
    <col min="13573" max="13573" width="5.421875" style="0" customWidth="1"/>
    <col min="13574" max="13574" width="15.7109375" style="0" customWidth="1"/>
    <col min="13575" max="13575" width="16.57421875" style="0" customWidth="1"/>
    <col min="13576" max="13576" width="14.28125" style="0" customWidth="1"/>
    <col min="13577" max="13577" width="11.8515625" style="0" customWidth="1"/>
    <col min="13823" max="13823" width="9.8515625" style="0" customWidth="1"/>
    <col min="13824" max="13824" width="46.57421875" style="0" customWidth="1"/>
    <col min="13825" max="13825" width="9.421875" style="0" customWidth="1"/>
    <col min="13826" max="13826" width="5.00390625" style="0" customWidth="1"/>
    <col min="13827" max="13827" width="5.57421875" style="0" customWidth="1"/>
    <col min="13828" max="13828" width="11.7109375" style="0" customWidth="1"/>
    <col min="13829" max="13829" width="5.421875" style="0" customWidth="1"/>
    <col min="13830" max="13830" width="15.7109375" style="0" customWidth="1"/>
    <col min="13831" max="13831" width="16.57421875" style="0" customWidth="1"/>
    <col min="13832" max="13832" width="14.28125" style="0" customWidth="1"/>
    <col min="13833" max="13833" width="11.8515625" style="0" customWidth="1"/>
    <col min="14079" max="14079" width="9.8515625" style="0" customWidth="1"/>
    <col min="14080" max="14080" width="46.57421875" style="0" customWidth="1"/>
    <col min="14081" max="14081" width="9.421875" style="0" customWidth="1"/>
    <col min="14082" max="14082" width="5.00390625" style="0" customWidth="1"/>
    <col min="14083" max="14083" width="5.57421875" style="0" customWidth="1"/>
    <col min="14084" max="14084" width="11.7109375" style="0" customWidth="1"/>
    <col min="14085" max="14085" width="5.421875" style="0" customWidth="1"/>
    <col min="14086" max="14086" width="15.7109375" style="0" customWidth="1"/>
    <col min="14087" max="14087" width="16.57421875" style="0" customWidth="1"/>
    <col min="14088" max="14088" width="14.28125" style="0" customWidth="1"/>
    <col min="14089" max="14089" width="11.8515625" style="0" customWidth="1"/>
    <col min="14335" max="14335" width="9.8515625" style="0" customWidth="1"/>
    <col min="14336" max="14336" width="46.57421875" style="0" customWidth="1"/>
    <col min="14337" max="14337" width="9.421875" style="0" customWidth="1"/>
    <col min="14338" max="14338" width="5.00390625" style="0" customWidth="1"/>
    <col min="14339" max="14339" width="5.57421875" style="0" customWidth="1"/>
    <col min="14340" max="14340" width="11.7109375" style="0" customWidth="1"/>
    <col min="14341" max="14341" width="5.421875" style="0" customWidth="1"/>
    <col min="14342" max="14342" width="15.7109375" style="0" customWidth="1"/>
    <col min="14343" max="14343" width="16.57421875" style="0" customWidth="1"/>
    <col min="14344" max="14344" width="14.28125" style="0" customWidth="1"/>
    <col min="14345" max="14345" width="11.8515625" style="0" customWidth="1"/>
    <col min="14591" max="14591" width="9.8515625" style="0" customWidth="1"/>
    <col min="14592" max="14592" width="46.57421875" style="0" customWidth="1"/>
    <col min="14593" max="14593" width="9.421875" style="0" customWidth="1"/>
    <col min="14594" max="14594" width="5.00390625" style="0" customWidth="1"/>
    <col min="14595" max="14595" width="5.57421875" style="0" customWidth="1"/>
    <col min="14596" max="14596" width="11.7109375" style="0" customWidth="1"/>
    <col min="14597" max="14597" width="5.421875" style="0" customWidth="1"/>
    <col min="14598" max="14598" width="15.7109375" style="0" customWidth="1"/>
    <col min="14599" max="14599" width="16.57421875" style="0" customWidth="1"/>
    <col min="14600" max="14600" width="14.28125" style="0" customWidth="1"/>
    <col min="14601" max="14601" width="11.8515625" style="0" customWidth="1"/>
    <col min="14847" max="14847" width="9.8515625" style="0" customWidth="1"/>
    <col min="14848" max="14848" width="46.57421875" style="0" customWidth="1"/>
    <col min="14849" max="14849" width="9.421875" style="0" customWidth="1"/>
    <col min="14850" max="14850" width="5.00390625" style="0" customWidth="1"/>
    <col min="14851" max="14851" width="5.57421875" style="0" customWidth="1"/>
    <col min="14852" max="14852" width="11.7109375" style="0" customWidth="1"/>
    <col min="14853" max="14853" width="5.421875" style="0" customWidth="1"/>
    <col min="14854" max="14854" width="15.7109375" style="0" customWidth="1"/>
    <col min="14855" max="14855" width="16.57421875" style="0" customWidth="1"/>
    <col min="14856" max="14856" width="14.28125" style="0" customWidth="1"/>
    <col min="14857" max="14857" width="11.8515625" style="0" customWidth="1"/>
    <col min="15103" max="15103" width="9.8515625" style="0" customWidth="1"/>
    <col min="15104" max="15104" width="46.57421875" style="0" customWidth="1"/>
    <col min="15105" max="15105" width="9.421875" style="0" customWidth="1"/>
    <col min="15106" max="15106" width="5.00390625" style="0" customWidth="1"/>
    <col min="15107" max="15107" width="5.57421875" style="0" customWidth="1"/>
    <col min="15108" max="15108" width="11.7109375" style="0" customWidth="1"/>
    <col min="15109" max="15109" width="5.421875" style="0" customWidth="1"/>
    <col min="15110" max="15110" width="15.7109375" style="0" customWidth="1"/>
    <col min="15111" max="15111" width="16.57421875" style="0" customWidth="1"/>
    <col min="15112" max="15112" width="14.28125" style="0" customWidth="1"/>
    <col min="15113" max="15113" width="11.8515625" style="0" customWidth="1"/>
    <col min="15359" max="15359" width="9.8515625" style="0" customWidth="1"/>
    <col min="15360" max="15360" width="46.57421875" style="0" customWidth="1"/>
    <col min="15361" max="15361" width="9.421875" style="0" customWidth="1"/>
    <col min="15362" max="15362" width="5.00390625" style="0" customWidth="1"/>
    <col min="15363" max="15363" width="5.57421875" style="0" customWidth="1"/>
    <col min="15364" max="15364" width="11.7109375" style="0" customWidth="1"/>
    <col min="15365" max="15365" width="5.421875" style="0" customWidth="1"/>
    <col min="15366" max="15366" width="15.7109375" style="0" customWidth="1"/>
    <col min="15367" max="15367" width="16.57421875" style="0" customWidth="1"/>
    <col min="15368" max="15368" width="14.28125" style="0" customWidth="1"/>
    <col min="15369" max="15369" width="11.8515625" style="0" customWidth="1"/>
    <col min="15615" max="15615" width="9.8515625" style="0" customWidth="1"/>
    <col min="15616" max="15616" width="46.57421875" style="0" customWidth="1"/>
    <col min="15617" max="15617" width="9.421875" style="0" customWidth="1"/>
    <col min="15618" max="15618" width="5.00390625" style="0" customWidth="1"/>
    <col min="15619" max="15619" width="5.57421875" style="0" customWidth="1"/>
    <col min="15620" max="15620" width="11.7109375" style="0" customWidth="1"/>
    <col min="15621" max="15621" width="5.421875" style="0" customWidth="1"/>
    <col min="15622" max="15622" width="15.7109375" style="0" customWidth="1"/>
    <col min="15623" max="15623" width="16.57421875" style="0" customWidth="1"/>
    <col min="15624" max="15624" width="14.28125" style="0" customWidth="1"/>
    <col min="15625" max="15625" width="11.8515625" style="0" customWidth="1"/>
    <col min="15871" max="15871" width="9.8515625" style="0" customWidth="1"/>
    <col min="15872" max="15872" width="46.57421875" style="0" customWidth="1"/>
    <col min="15873" max="15873" width="9.421875" style="0" customWidth="1"/>
    <col min="15874" max="15874" width="5.00390625" style="0" customWidth="1"/>
    <col min="15875" max="15875" width="5.57421875" style="0" customWidth="1"/>
    <col min="15876" max="15876" width="11.7109375" style="0" customWidth="1"/>
    <col min="15877" max="15877" width="5.421875" style="0" customWidth="1"/>
    <col min="15878" max="15878" width="15.7109375" style="0" customWidth="1"/>
    <col min="15879" max="15879" width="16.57421875" style="0" customWidth="1"/>
    <col min="15880" max="15880" width="14.28125" style="0" customWidth="1"/>
    <col min="15881" max="15881" width="11.8515625" style="0" customWidth="1"/>
    <col min="16127" max="16127" width="9.8515625" style="0" customWidth="1"/>
    <col min="16128" max="16128" width="46.57421875" style="0" customWidth="1"/>
    <col min="16129" max="16129" width="9.421875" style="0" customWidth="1"/>
    <col min="16130" max="16130" width="5.00390625" style="0" customWidth="1"/>
    <col min="16131" max="16131" width="5.57421875" style="0" customWidth="1"/>
    <col min="16132" max="16132" width="11.7109375" style="0" customWidth="1"/>
    <col min="16133" max="16133" width="5.421875" style="0" customWidth="1"/>
    <col min="16134" max="16134" width="15.7109375" style="0" customWidth="1"/>
    <col min="16135" max="16135" width="16.57421875" style="0" customWidth="1"/>
    <col min="16136" max="16136" width="14.28125" style="0" customWidth="1"/>
    <col min="16137" max="16137" width="11.8515625" style="0" customWidth="1"/>
  </cols>
  <sheetData>
    <row r="1" spans="1:8" ht="12.75">
      <c r="A1" s="142"/>
      <c r="B1" s="281" t="s">
        <v>2524</v>
      </c>
      <c r="C1" s="142"/>
      <c r="D1" s="280"/>
      <c r="E1" s="280"/>
      <c r="F1" s="280"/>
      <c r="G1" s="325"/>
      <c r="H1" s="283"/>
    </row>
    <row r="2" spans="1:8" ht="12.75">
      <c r="A2" s="165" t="s">
        <v>2985</v>
      </c>
      <c r="B2" s="165" t="s">
        <v>3028</v>
      </c>
      <c r="C2" s="284"/>
      <c r="D2" s="142"/>
      <c r="E2" s="142"/>
      <c r="F2" s="142"/>
      <c r="G2" s="174"/>
      <c r="H2" s="285"/>
    </row>
    <row r="3" spans="1:8" ht="12.75">
      <c r="A3" s="165" t="s">
        <v>2987</v>
      </c>
      <c r="B3" s="165" t="s">
        <v>2988</v>
      </c>
      <c r="C3" s="284"/>
      <c r="D3" s="142"/>
      <c r="E3" s="142"/>
      <c r="F3" s="142"/>
      <c r="G3" s="174"/>
      <c r="H3" s="285"/>
    </row>
    <row r="4" spans="1:8" ht="23.85" customHeight="1">
      <c r="A4" s="286" t="s">
        <v>50</v>
      </c>
      <c r="B4" s="552" t="s">
        <v>2989</v>
      </c>
      <c r="C4" s="552"/>
      <c r="D4" s="552"/>
      <c r="E4" s="552"/>
      <c r="F4" s="552"/>
      <c r="G4" s="552"/>
      <c r="H4" s="142"/>
    </row>
    <row r="5" spans="1:8" ht="13.5" thickBot="1">
      <c r="A5" s="165"/>
      <c r="B5" s="287"/>
      <c r="C5" s="288"/>
      <c r="D5" s="142"/>
      <c r="E5" s="142"/>
      <c r="F5" s="142"/>
      <c r="G5" s="312"/>
      <c r="H5" s="289"/>
    </row>
    <row r="6" spans="1:9" s="191" customFormat="1" ht="24.75" thickBot="1">
      <c r="A6" s="326" t="s">
        <v>2990</v>
      </c>
      <c r="B6" s="327" t="s">
        <v>2515</v>
      </c>
      <c r="C6" s="327" t="s">
        <v>66</v>
      </c>
      <c r="D6" s="327" t="s">
        <v>2991</v>
      </c>
      <c r="E6" s="344"/>
      <c r="F6" s="329" t="s">
        <v>3056</v>
      </c>
      <c r="G6" s="313" t="s">
        <v>2993</v>
      </c>
      <c r="H6" s="290"/>
      <c r="I6" s="174"/>
    </row>
    <row r="7" spans="1:9" ht="12.75">
      <c r="A7" s="331"/>
      <c r="B7" s="379" t="s">
        <v>3029</v>
      </c>
      <c r="C7" s="345"/>
      <c r="D7" s="346"/>
      <c r="E7" s="347"/>
      <c r="F7" s="348"/>
      <c r="G7" s="335"/>
      <c r="H7" s="295"/>
      <c r="I7" s="142"/>
    </row>
    <row r="8" spans="1:9" ht="24">
      <c r="A8" s="336"/>
      <c r="B8" s="299" t="s">
        <v>3030</v>
      </c>
      <c r="C8" s="291">
        <v>8</v>
      </c>
      <c r="D8" s="292" t="s">
        <v>2107</v>
      </c>
      <c r="E8" s="293"/>
      <c r="F8" s="372"/>
      <c r="G8" s="337">
        <f>SUM(C8*F8)</f>
        <v>0</v>
      </c>
      <c r="H8" s="297"/>
      <c r="I8" s="142"/>
    </row>
    <row r="9" spans="1:9" ht="12.75">
      <c r="A9" s="336"/>
      <c r="B9" s="296" t="s">
        <v>3031</v>
      </c>
      <c r="C9" s="291">
        <v>200</v>
      </c>
      <c r="D9" s="292" t="s">
        <v>2216</v>
      </c>
      <c r="E9" s="293"/>
      <c r="F9" s="372"/>
      <c r="G9" s="337">
        <f aca="true" t="shared" si="0" ref="G9:G22">SUM(C9*F9)</f>
        <v>0</v>
      </c>
      <c r="H9" s="297"/>
      <c r="I9" s="142"/>
    </row>
    <row r="10" spans="1:9" ht="36">
      <c r="A10" s="336"/>
      <c r="B10" s="299" t="s">
        <v>2932</v>
      </c>
      <c r="C10" s="291">
        <v>200</v>
      </c>
      <c r="D10" s="292" t="s">
        <v>2216</v>
      </c>
      <c r="E10" s="293"/>
      <c r="F10" s="372"/>
      <c r="G10" s="337">
        <f t="shared" si="0"/>
        <v>0</v>
      </c>
      <c r="H10" s="297"/>
      <c r="I10" s="142"/>
    </row>
    <row r="11" spans="1:9" ht="12.75">
      <c r="A11" s="336"/>
      <c r="B11" s="296" t="s">
        <v>3032</v>
      </c>
      <c r="C11" s="291">
        <v>20</v>
      </c>
      <c r="D11" s="292" t="s">
        <v>2107</v>
      </c>
      <c r="E11" s="293"/>
      <c r="F11" s="372"/>
      <c r="G11" s="337">
        <f t="shared" si="0"/>
        <v>0</v>
      </c>
      <c r="H11" s="297"/>
      <c r="I11" s="142"/>
    </row>
    <row r="12" spans="1:9" ht="48">
      <c r="A12" s="336"/>
      <c r="B12" s="315" t="s">
        <v>3033</v>
      </c>
      <c r="C12" s="291">
        <v>4</v>
      </c>
      <c r="D12" s="292" t="s">
        <v>2107</v>
      </c>
      <c r="E12" s="293"/>
      <c r="F12" s="372"/>
      <c r="G12" s="337">
        <f t="shared" si="0"/>
        <v>0</v>
      </c>
      <c r="H12" s="297"/>
      <c r="I12" s="142"/>
    </row>
    <row r="13" spans="1:9" ht="12.75">
      <c r="A13" s="336"/>
      <c r="B13" s="296" t="s">
        <v>3005</v>
      </c>
      <c r="C13" s="291"/>
      <c r="D13" s="292"/>
      <c r="E13" s="293"/>
      <c r="F13" s="374"/>
      <c r="G13" s="337">
        <f t="shared" si="0"/>
        <v>0</v>
      </c>
      <c r="H13" s="297"/>
      <c r="I13" s="142"/>
    </row>
    <row r="14" spans="1:9" ht="12.75">
      <c r="A14" s="336"/>
      <c r="B14" s="380" t="s">
        <v>3034</v>
      </c>
      <c r="C14" s="291"/>
      <c r="D14" s="292"/>
      <c r="E14" s="293"/>
      <c r="F14" s="374"/>
      <c r="G14" s="337">
        <f t="shared" si="0"/>
        <v>0</v>
      </c>
      <c r="H14" s="297"/>
      <c r="I14" s="142"/>
    </row>
    <row r="15" spans="1:9" ht="60">
      <c r="A15" s="336"/>
      <c r="B15" s="316" t="s">
        <v>3035</v>
      </c>
      <c r="C15" s="291">
        <v>2</v>
      </c>
      <c r="D15" s="292" t="s">
        <v>2107</v>
      </c>
      <c r="E15" s="293"/>
      <c r="F15" s="372"/>
      <c r="G15" s="337">
        <f t="shared" si="0"/>
        <v>0</v>
      </c>
      <c r="H15" s="297"/>
      <c r="I15" s="142"/>
    </row>
    <row r="16" spans="1:9" ht="24">
      <c r="A16" s="336"/>
      <c r="B16" s="316" t="s">
        <v>3036</v>
      </c>
      <c r="C16" s="291">
        <v>1</v>
      </c>
      <c r="D16" s="292" t="s">
        <v>2107</v>
      </c>
      <c r="E16" s="293"/>
      <c r="F16" s="372"/>
      <c r="G16" s="337">
        <f t="shared" si="0"/>
        <v>0</v>
      </c>
      <c r="H16" s="297"/>
      <c r="I16" s="142"/>
    </row>
    <row r="17" spans="1:9" ht="12.75">
      <c r="A17" s="336"/>
      <c r="B17" s="296" t="s">
        <v>3005</v>
      </c>
      <c r="C17" s="291"/>
      <c r="D17" s="292"/>
      <c r="E17" s="293"/>
      <c r="F17" s="374"/>
      <c r="G17" s="337">
        <f t="shared" si="0"/>
        <v>0</v>
      </c>
      <c r="H17" s="297"/>
      <c r="I17" s="142"/>
    </row>
    <row r="18" spans="1:9" ht="12.75">
      <c r="A18" s="336"/>
      <c r="B18" s="380" t="s">
        <v>3022</v>
      </c>
      <c r="C18" s="291"/>
      <c r="D18" s="292"/>
      <c r="E18" s="293"/>
      <c r="F18" s="374"/>
      <c r="G18" s="337">
        <f t="shared" si="0"/>
        <v>0</v>
      </c>
      <c r="H18" s="298"/>
      <c r="I18" s="142"/>
    </row>
    <row r="19" spans="1:9" ht="12.75">
      <c r="A19" s="336"/>
      <c r="B19" s="296" t="s">
        <v>3023</v>
      </c>
      <c r="C19" s="291">
        <v>1</v>
      </c>
      <c r="D19" s="292" t="s">
        <v>2064</v>
      </c>
      <c r="E19" s="293"/>
      <c r="F19" s="372"/>
      <c r="G19" s="337">
        <f t="shared" si="0"/>
        <v>0</v>
      </c>
      <c r="H19" s="298"/>
      <c r="I19" s="142"/>
    </row>
    <row r="20" spans="1:9" ht="12.75">
      <c r="A20" s="336"/>
      <c r="B20" s="296" t="s">
        <v>3024</v>
      </c>
      <c r="C20" s="291">
        <v>1</v>
      </c>
      <c r="D20" s="292" t="s">
        <v>2064</v>
      </c>
      <c r="E20" s="293"/>
      <c r="F20" s="372"/>
      <c r="G20" s="337">
        <f t="shared" si="0"/>
        <v>0</v>
      </c>
      <c r="H20" s="298"/>
      <c r="I20" s="142"/>
    </row>
    <row r="21" spans="1:9" ht="12.75">
      <c r="A21" s="336"/>
      <c r="B21" s="296" t="s">
        <v>3025</v>
      </c>
      <c r="C21" s="291">
        <v>1</v>
      </c>
      <c r="D21" s="292" t="s">
        <v>2064</v>
      </c>
      <c r="E21" s="293"/>
      <c r="F21" s="372"/>
      <c r="G21" s="337">
        <f t="shared" si="0"/>
        <v>0</v>
      </c>
      <c r="H21" s="298"/>
      <c r="I21" s="142"/>
    </row>
    <row r="22" spans="1:9" ht="13.5" thickBot="1">
      <c r="A22" s="338"/>
      <c r="B22" s="339" t="s">
        <v>3026</v>
      </c>
      <c r="C22" s="349">
        <v>1</v>
      </c>
      <c r="D22" s="350" t="s">
        <v>2064</v>
      </c>
      <c r="E22" s="351"/>
      <c r="F22" s="373"/>
      <c r="G22" s="342">
        <f t="shared" si="0"/>
        <v>0</v>
      </c>
      <c r="I22" s="142"/>
    </row>
    <row r="23" spans="1:9" ht="12.75">
      <c r="A23" s="300"/>
      <c r="B23" s="284"/>
      <c r="C23" s="301"/>
      <c r="D23" s="302"/>
      <c r="E23" s="303"/>
      <c r="F23" s="304"/>
      <c r="G23" s="306"/>
      <c r="I23" s="142"/>
    </row>
    <row r="24" spans="1:9" ht="12.75">
      <c r="A24" s="284"/>
      <c r="B24" s="308" t="s">
        <v>3027</v>
      </c>
      <c r="C24" s="284"/>
      <c r="D24" s="284"/>
      <c r="E24" s="307"/>
      <c r="F24" s="307"/>
      <c r="G24" s="314">
        <f>SUM(G8:G22)</f>
        <v>0</v>
      </c>
      <c r="H24" s="309"/>
      <c r="I24" s="310"/>
    </row>
    <row r="27" ht="13.5" customHeight="1"/>
  </sheetData>
  <mergeCells count="1">
    <mergeCell ref="B4:G4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workbookViewId="0" topLeftCell="A1">
      <selection activeCell="A1" sqref="A1:XFD1"/>
    </sheetView>
  </sheetViews>
  <sheetFormatPr defaultColWidth="9.140625" defaultRowHeight="12.75"/>
  <cols>
    <col min="1" max="1" width="9.8515625" style="0" customWidth="1"/>
    <col min="2" max="2" width="54.421875" style="0" customWidth="1"/>
    <col min="3" max="3" width="9.421875" style="323" customWidth="1"/>
    <col min="4" max="4" width="5.00390625" style="323" customWidth="1"/>
    <col min="5" max="5" width="18.57421875" style="0" customWidth="1"/>
    <col min="6" max="6" width="19.28125" style="191" customWidth="1"/>
    <col min="254" max="254" width="9.8515625" style="0" customWidth="1"/>
    <col min="255" max="255" width="54.421875" style="0" customWidth="1"/>
    <col min="256" max="256" width="9.421875" style="0" customWidth="1"/>
    <col min="257" max="257" width="5.00390625" style="0" customWidth="1"/>
    <col min="258" max="258" width="5.57421875" style="0" customWidth="1"/>
    <col min="259" max="259" width="11.7109375" style="0" customWidth="1"/>
    <col min="260" max="260" width="5.421875" style="0" customWidth="1"/>
    <col min="261" max="261" width="15.7109375" style="0" customWidth="1"/>
    <col min="262" max="262" width="16.57421875" style="0" customWidth="1"/>
    <col min="510" max="510" width="9.8515625" style="0" customWidth="1"/>
    <col min="511" max="511" width="54.421875" style="0" customWidth="1"/>
    <col min="512" max="512" width="9.421875" style="0" customWidth="1"/>
    <col min="513" max="513" width="5.00390625" style="0" customWidth="1"/>
    <col min="514" max="514" width="5.57421875" style="0" customWidth="1"/>
    <col min="515" max="515" width="11.7109375" style="0" customWidth="1"/>
    <col min="516" max="516" width="5.421875" style="0" customWidth="1"/>
    <col min="517" max="517" width="15.7109375" style="0" customWidth="1"/>
    <col min="518" max="518" width="16.57421875" style="0" customWidth="1"/>
    <col min="766" max="766" width="9.8515625" style="0" customWidth="1"/>
    <col min="767" max="767" width="54.421875" style="0" customWidth="1"/>
    <col min="768" max="768" width="9.421875" style="0" customWidth="1"/>
    <col min="769" max="769" width="5.00390625" style="0" customWidth="1"/>
    <col min="770" max="770" width="5.57421875" style="0" customWidth="1"/>
    <col min="771" max="771" width="11.7109375" style="0" customWidth="1"/>
    <col min="772" max="772" width="5.421875" style="0" customWidth="1"/>
    <col min="773" max="773" width="15.7109375" style="0" customWidth="1"/>
    <col min="774" max="774" width="16.57421875" style="0" customWidth="1"/>
    <col min="1022" max="1022" width="9.8515625" style="0" customWidth="1"/>
    <col min="1023" max="1023" width="54.421875" style="0" customWidth="1"/>
    <col min="1024" max="1024" width="9.421875" style="0" customWidth="1"/>
    <col min="1025" max="1025" width="5.00390625" style="0" customWidth="1"/>
    <col min="1026" max="1026" width="5.57421875" style="0" customWidth="1"/>
    <col min="1027" max="1027" width="11.7109375" style="0" customWidth="1"/>
    <col min="1028" max="1028" width="5.421875" style="0" customWidth="1"/>
    <col min="1029" max="1029" width="15.7109375" style="0" customWidth="1"/>
    <col min="1030" max="1030" width="16.57421875" style="0" customWidth="1"/>
    <col min="1278" max="1278" width="9.8515625" style="0" customWidth="1"/>
    <col min="1279" max="1279" width="54.421875" style="0" customWidth="1"/>
    <col min="1280" max="1280" width="9.421875" style="0" customWidth="1"/>
    <col min="1281" max="1281" width="5.00390625" style="0" customWidth="1"/>
    <col min="1282" max="1282" width="5.57421875" style="0" customWidth="1"/>
    <col min="1283" max="1283" width="11.7109375" style="0" customWidth="1"/>
    <col min="1284" max="1284" width="5.421875" style="0" customWidth="1"/>
    <col min="1285" max="1285" width="15.7109375" style="0" customWidth="1"/>
    <col min="1286" max="1286" width="16.57421875" style="0" customWidth="1"/>
    <col min="1534" max="1534" width="9.8515625" style="0" customWidth="1"/>
    <col min="1535" max="1535" width="54.421875" style="0" customWidth="1"/>
    <col min="1536" max="1536" width="9.421875" style="0" customWidth="1"/>
    <col min="1537" max="1537" width="5.00390625" style="0" customWidth="1"/>
    <col min="1538" max="1538" width="5.57421875" style="0" customWidth="1"/>
    <col min="1539" max="1539" width="11.7109375" style="0" customWidth="1"/>
    <col min="1540" max="1540" width="5.421875" style="0" customWidth="1"/>
    <col min="1541" max="1541" width="15.7109375" style="0" customWidth="1"/>
    <col min="1542" max="1542" width="16.57421875" style="0" customWidth="1"/>
    <col min="1790" max="1790" width="9.8515625" style="0" customWidth="1"/>
    <col min="1791" max="1791" width="54.421875" style="0" customWidth="1"/>
    <col min="1792" max="1792" width="9.421875" style="0" customWidth="1"/>
    <col min="1793" max="1793" width="5.00390625" style="0" customWidth="1"/>
    <col min="1794" max="1794" width="5.57421875" style="0" customWidth="1"/>
    <col min="1795" max="1795" width="11.7109375" style="0" customWidth="1"/>
    <col min="1796" max="1796" width="5.421875" style="0" customWidth="1"/>
    <col min="1797" max="1797" width="15.7109375" style="0" customWidth="1"/>
    <col min="1798" max="1798" width="16.57421875" style="0" customWidth="1"/>
    <col min="2046" max="2046" width="9.8515625" style="0" customWidth="1"/>
    <col min="2047" max="2047" width="54.421875" style="0" customWidth="1"/>
    <col min="2048" max="2048" width="9.421875" style="0" customWidth="1"/>
    <col min="2049" max="2049" width="5.00390625" style="0" customWidth="1"/>
    <col min="2050" max="2050" width="5.57421875" style="0" customWidth="1"/>
    <col min="2051" max="2051" width="11.7109375" style="0" customWidth="1"/>
    <col min="2052" max="2052" width="5.421875" style="0" customWidth="1"/>
    <col min="2053" max="2053" width="15.7109375" style="0" customWidth="1"/>
    <col min="2054" max="2054" width="16.57421875" style="0" customWidth="1"/>
    <col min="2302" max="2302" width="9.8515625" style="0" customWidth="1"/>
    <col min="2303" max="2303" width="54.421875" style="0" customWidth="1"/>
    <col min="2304" max="2304" width="9.421875" style="0" customWidth="1"/>
    <col min="2305" max="2305" width="5.00390625" style="0" customWidth="1"/>
    <col min="2306" max="2306" width="5.57421875" style="0" customWidth="1"/>
    <col min="2307" max="2307" width="11.7109375" style="0" customWidth="1"/>
    <col min="2308" max="2308" width="5.421875" style="0" customWidth="1"/>
    <col min="2309" max="2309" width="15.7109375" style="0" customWidth="1"/>
    <col min="2310" max="2310" width="16.57421875" style="0" customWidth="1"/>
    <col min="2558" max="2558" width="9.8515625" style="0" customWidth="1"/>
    <col min="2559" max="2559" width="54.421875" style="0" customWidth="1"/>
    <col min="2560" max="2560" width="9.421875" style="0" customWidth="1"/>
    <col min="2561" max="2561" width="5.00390625" style="0" customWidth="1"/>
    <col min="2562" max="2562" width="5.57421875" style="0" customWidth="1"/>
    <col min="2563" max="2563" width="11.7109375" style="0" customWidth="1"/>
    <col min="2564" max="2564" width="5.421875" style="0" customWidth="1"/>
    <col min="2565" max="2565" width="15.7109375" style="0" customWidth="1"/>
    <col min="2566" max="2566" width="16.57421875" style="0" customWidth="1"/>
    <col min="2814" max="2814" width="9.8515625" style="0" customWidth="1"/>
    <col min="2815" max="2815" width="54.421875" style="0" customWidth="1"/>
    <col min="2816" max="2816" width="9.421875" style="0" customWidth="1"/>
    <col min="2817" max="2817" width="5.00390625" style="0" customWidth="1"/>
    <col min="2818" max="2818" width="5.57421875" style="0" customWidth="1"/>
    <col min="2819" max="2819" width="11.7109375" style="0" customWidth="1"/>
    <col min="2820" max="2820" width="5.421875" style="0" customWidth="1"/>
    <col min="2821" max="2821" width="15.7109375" style="0" customWidth="1"/>
    <col min="2822" max="2822" width="16.57421875" style="0" customWidth="1"/>
    <col min="3070" max="3070" width="9.8515625" style="0" customWidth="1"/>
    <col min="3071" max="3071" width="54.421875" style="0" customWidth="1"/>
    <col min="3072" max="3072" width="9.421875" style="0" customWidth="1"/>
    <col min="3073" max="3073" width="5.00390625" style="0" customWidth="1"/>
    <col min="3074" max="3074" width="5.57421875" style="0" customWidth="1"/>
    <col min="3075" max="3075" width="11.7109375" style="0" customWidth="1"/>
    <col min="3076" max="3076" width="5.421875" style="0" customWidth="1"/>
    <col min="3077" max="3077" width="15.7109375" style="0" customWidth="1"/>
    <col min="3078" max="3078" width="16.57421875" style="0" customWidth="1"/>
    <col min="3326" max="3326" width="9.8515625" style="0" customWidth="1"/>
    <col min="3327" max="3327" width="54.421875" style="0" customWidth="1"/>
    <col min="3328" max="3328" width="9.421875" style="0" customWidth="1"/>
    <col min="3329" max="3329" width="5.00390625" style="0" customWidth="1"/>
    <col min="3330" max="3330" width="5.57421875" style="0" customWidth="1"/>
    <col min="3331" max="3331" width="11.7109375" style="0" customWidth="1"/>
    <col min="3332" max="3332" width="5.421875" style="0" customWidth="1"/>
    <col min="3333" max="3333" width="15.7109375" style="0" customWidth="1"/>
    <col min="3334" max="3334" width="16.57421875" style="0" customWidth="1"/>
    <col min="3582" max="3582" width="9.8515625" style="0" customWidth="1"/>
    <col min="3583" max="3583" width="54.421875" style="0" customWidth="1"/>
    <col min="3584" max="3584" width="9.421875" style="0" customWidth="1"/>
    <col min="3585" max="3585" width="5.00390625" style="0" customWidth="1"/>
    <col min="3586" max="3586" width="5.57421875" style="0" customWidth="1"/>
    <col min="3587" max="3587" width="11.7109375" style="0" customWidth="1"/>
    <col min="3588" max="3588" width="5.421875" style="0" customWidth="1"/>
    <col min="3589" max="3589" width="15.7109375" style="0" customWidth="1"/>
    <col min="3590" max="3590" width="16.57421875" style="0" customWidth="1"/>
    <col min="3838" max="3838" width="9.8515625" style="0" customWidth="1"/>
    <col min="3839" max="3839" width="54.421875" style="0" customWidth="1"/>
    <col min="3840" max="3840" width="9.421875" style="0" customWidth="1"/>
    <col min="3841" max="3841" width="5.00390625" style="0" customWidth="1"/>
    <col min="3842" max="3842" width="5.57421875" style="0" customWidth="1"/>
    <col min="3843" max="3843" width="11.7109375" style="0" customWidth="1"/>
    <col min="3844" max="3844" width="5.421875" style="0" customWidth="1"/>
    <col min="3845" max="3845" width="15.7109375" style="0" customWidth="1"/>
    <col min="3846" max="3846" width="16.57421875" style="0" customWidth="1"/>
    <col min="4094" max="4094" width="9.8515625" style="0" customWidth="1"/>
    <col min="4095" max="4095" width="54.421875" style="0" customWidth="1"/>
    <col min="4096" max="4096" width="9.421875" style="0" customWidth="1"/>
    <col min="4097" max="4097" width="5.00390625" style="0" customWidth="1"/>
    <col min="4098" max="4098" width="5.57421875" style="0" customWidth="1"/>
    <col min="4099" max="4099" width="11.7109375" style="0" customWidth="1"/>
    <col min="4100" max="4100" width="5.421875" style="0" customWidth="1"/>
    <col min="4101" max="4101" width="15.7109375" style="0" customWidth="1"/>
    <col min="4102" max="4102" width="16.57421875" style="0" customWidth="1"/>
    <col min="4350" max="4350" width="9.8515625" style="0" customWidth="1"/>
    <col min="4351" max="4351" width="54.421875" style="0" customWidth="1"/>
    <col min="4352" max="4352" width="9.421875" style="0" customWidth="1"/>
    <col min="4353" max="4353" width="5.00390625" style="0" customWidth="1"/>
    <col min="4354" max="4354" width="5.57421875" style="0" customWidth="1"/>
    <col min="4355" max="4355" width="11.7109375" style="0" customWidth="1"/>
    <col min="4356" max="4356" width="5.421875" style="0" customWidth="1"/>
    <col min="4357" max="4357" width="15.7109375" style="0" customWidth="1"/>
    <col min="4358" max="4358" width="16.57421875" style="0" customWidth="1"/>
    <col min="4606" max="4606" width="9.8515625" style="0" customWidth="1"/>
    <col min="4607" max="4607" width="54.421875" style="0" customWidth="1"/>
    <col min="4608" max="4608" width="9.421875" style="0" customWidth="1"/>
    <col min="4609" max="4609" width="5.00390625" style="0" customWidth="1"/>
    <col min="4610" max="4610" width="5.57421875" style="0" customWidth="1"/>
    <col min="4611" max="4611" width="11.7109375" style="0" customWidth="1"/>
    <col min="4612" max="4612" width="5.421875" style="0" customWidth="1"/>
    <col min="4613" max="4613" width="15.7109375" style="0" customWidth="1"/>
    <col min="4614" max="4614" width="16.57421875" style="0" customWidth="1"/>
    <col min="4862" max="4862" width="9.8515625" style="0" customWidth="1"/>
    <col min="4863" max="4863" width="54.421875" style="0" customWidth="1"/>
    <col min="4864" max="4864" width="9.421875" style="0" customWidth="1"/>
    <col min="4865" max="4865" width="5.00390625" style="0" customWidth="1"/>
    <col min="4866" max="4866" width="5.57421875" style="0" customWidth="1"/>
    <col min="4867" max="4867" width="11.7109375" style="0" customWidth="1"/>
    <col min="4868" max="4868" width="5.421875" style="0" customWidth="1"/>
    <col min="4869" max="4869" width="15.7109375" style="0" customWidth="1"/>
    <col min="4870" max="4870" width="16.57421875" style="0" customWidth="1"/>
    <col min="5118" max="5118" width="9.8515625" style="0" customWidth="1"/>
    <col min="5119" max="5119" width="54.421875" style="0" customWidth="1"/>
    <col min="5120" max="5120" width="9.421875" style="0" customWidth="1"/>
    <col min="5121" max="5121" width="5.00390625" style="0" customWidth="1"/>
    <col min="5122" max="5122" width="5.57421875" style="0" customWidth="1"/>
    <col min="5123" max="5123" width="11.7109375" style="0" customWidth="1"/>
    <col min="5124" max="5124" width="5.421875" style="0" customWidth="1"/>
    <col min="5125" max="5125" width="15.7109375" style="0" customWidth="1"/>
    <col min="5126" max="5126" width="16.57421875" style="0" customWidth="1"/>
    <col min="5374" max="5374" width="9.8515625" style="0" customWidth="1"/>
    <col min="5375" max="5375" width="54.421875" style="0" customWidth="1"/>
    <col min="5376" max="5376" width="9.421875" style="0" customWidth="1"/>
    <col min="5377" max="5377" width="5.00390625" style="0" customWidth="1"/>
    <col min="5378" max="5378" width="5.57421875" style="0" customWidth="1"/>
    <col min="5379" max="5379" width="11.7109375" style="0" customWidth="1"/>
    <col min="5380" max="5380" width="5.421875" style="0" customWidth="1"/>
    <col min="5381" max="5381" width="15.7109375" style="0" customWidth="1"/>
    <col min="5382" max="5382" width="16.57421875" style="0" customWidth="1"/>
    <col min="5630" max="5630" width="9.8515625" style="0" customWidth="1"/>
    <col min="5631" max="5631" width="54.421875" style="0" customWidth="1"/>
    <col min="5632" max="5632" width="9.421875" style="0" customWidth="1"/>
    <col min="5633" max="5633" width="5.00390625" style="0" customWidth="1"/>
    <col min="5634" max="5634" width="5.57421875" style="0" customWidth="1"/>
    <col min="5635" max="5635" width="11.7109375" style="0" customWidth="1"/>
    <col min="5636" max="5636" width="5.421875" style="0" customWidth="1"/>
    <col min="5637" max="5637" width="15.7109375" style="0" customWidth="1"/>
    <col min="5638" max="5638" width="16.57421875" style="0" customWidth="1"/>
    <col min="5886" max="5886" width="9.8515625" style="0" customWidth="1"/>
    <col min="5887" max="5887" width="54.421875" style="0" customWidth="1"/>
    <col min="5888" max="5888" width="9.421875" style="0" customWidth="1"/>
    <col min="5889" max="5889" width="5.00390625" style="0" customWidth="1"/>
    <col min="5890" max="5890" width="5.57421875" style="0" customWidth="1"/>
    <col min="5891" max="5891" width="11.7109375" style="0" customWidth="1"/>
    <col min="5892" max="5892" width="5.421875" style="0" customWidth="1"/>
    <col min="5893" max="5893" width="15.7109375" style="0" customWidth="1"/>
    <col min="5894" max="5894" width="16.57421875" style="0" customWidth="1"/>
    <col min="6142" max="6142" width="9.8515625" style="0" customWidth="1"/>
    <col min="6143" max="6143" width="54.421875" style="0" customWidth="1"/>
    <col min="6144" max="6144" width="9.421875" style="0" customWidth="1"/>
    <col min="6145" max="6145" width="5.00390625" style="0" customWidth="1"/>
    <col min="6146" max="6146" width="5.57421875" style="0" customWidth="1"/>
    <col min="6147" max="6147" width="11.7109375" style="0" customWidth="1"/>
    <col min="6148" max="6148" width="5.421875" style="0" customWidth="1"/>
    <col min="6149" max="6149" width="15.7109375" style="0" customWidth="1"/>
    <col min="6150" max="6150" width="16.57421875" style="0" customWidth="1"/>
    <col min="6398" max="6398" width="9.8515625" style="0" customWidth="1"/>
    <col min="6399" max="6399" width="54.421875" style="0" customWidth="1"/>
    <col min="6400" max="6400" width="9.421875" style="0" customWidth="1"/>
    <col min="6401" max="6401" width="5.00390625" style="0" customWidth="1"/>
    <col min="6402" max="6402" width="5.57421875" style="0" customWidth="1"/>
    <col min="6403" max="6403" width="11.7109375" style="0" customWidth="1"/>
    <col min="6404" max="6404" width="5.421875" style="0" customWidth="1"/>
    <col min="6405" max="6405" width="15.7109375" style="0" customWidth="1"/>
    <col min="6406" max="6406" width="16.57421875" style="0" customWidth="1"/>
    <col min="6654" max="6654" width="9.8515625" style="0" customWidth="1"/>
    <col min="6655" max="6655" width="54.421875" style="0" customWidth="1"/>
    <col min="6656" max="6656" width="9.421875" style="0" customWidth="1"/>
    <col min="6657" max="6657" width="5.00390625" style="0" customWidth="1"/>
    <col min="6658" max="6658" width="5.57421875" style="0" customWidth="1"/>
    <col min="6659" max="6659" width="11.7109375" style="0" customWidth="1"/>
    <col min="6660" max="6660" width="5.421875" style="0" customWidth="1"/>
    <col min="6661" max="6661" width="15.7109375" style="0" customWidth="1"/>
    <col min="6662" max="6662" width="16.57421875" style="0" customWidth="1"/>
    <col min="6910" max="6910" width="9.8515625" style="0" customWidth="1"/>
    <col min="6911" max="6911" width="54.421875" style="0" customWidth="1"/>
    <col min="6912" max="6912" width="9.421875" style="0" customWidth="1"/>
    <col min="6913" max="6913" width="5.00390625" style="0" customWidth="1"/>
    <col min="6914" max="6914" width="5.57421875" style="0" customWidth="1"/>
    <col min="6915" max="6915" width="11.7109375" style="0" customWidth="1"/>
    <col min="6916" max="6916" width="5.421875" style="0" customWidth="1"/>
    <col min="6917" max="6917" width="15.7109375" style="0" customWidth="1"/>
    <col min="6918" max="6918" width="16.57421875" style="0" customWidth="1"/>
    <col min="7166" max="7166" width="9.8515625" style="0" customWidth="1"/>
    <col min="7167" max="7167" width="54.421875" style="0" customWidth="1"/>
    <col min="7168" max="7168" width="9.421875" style="0" customWidth="1"/>
    <col min="7169" max="7169" width="5.00390625" style="0" customWidth="1"/>
    <col min="7170" max="7170" width="5.57421875" style="0" customWidth="1"/>
    <col min="7171" max="7171" width="11.7109375" style="0" customWidth="1"/>
    <col min="7172" max="7172" width="5.421875" style="0" customWidth="1"/>
    <col min="7173" max="7173" width="15.7109375" style="0" customWidth="1"/>
    <col min="7174" max="7174" width="16.57421875" style="0" customWidth="1"/>
    <col min="7422" max="7422" width="9.8515625" style="0" customWidth="1"/>
    <col min="7423" max="7423" width="54.421875" style="0" customWidth="1"/>
    <col min="7424" max="7424" width="9.421875" style="0" customWidth="1"/>
    <col min="7425" max="7425" width="5.00390625" style="0" customWidth="1"/>
    <col min="7426" max="7426" width="5.57421875" style="0" customWidth="1"/>
    <col min="7427" max="7427" width="11.7109375" style="0" customWidth="1"/>
    <col min="7428" max="7428" width="5.421875" style="0" customWidth="1"/>
    <col min="7429" max="7429" width="15.7109375" style="0" customWidth="1"/>
    <col min="7430" max="7430" width="16.57421875" style="0" customWidth="1"/>
    <col min="7678" max="7678" width="9.8515625" style="0" customWidth="1"/>
    <col min="7679" max="7679" width="54.421875" style="0" customWidth="1"/>
    <col min="7680" max="7680" width="9.421875" style="0" customWidth="1"/>
    <col min="7681" max="7681" width="5.00390625" style="0" customWidth="1"/>
    <col min="7682" max="7682" width="5.57421875" style="0" customWidth="1"/>
    <col min="7683" max="7683" width="11.7109375" style="0" customWidth="1"/>
    <col min="7684" max="7684" width="5.421875" style="0" customWidth="1"/>
    <col min="7685" max="7685" width="15.7109375" style="0" customWidth="1"/>
    <col min="7686" max="7686" width="16.57421875" style="0" customWidth="1"/>
    <col min="7934" max="7934" width="9.8515625" style="0" customWidth="1"/>
    <col min="7935" max="7935" width="54.421875" style="0" customWidth="1"/>
    <col min="7936" max="7936" width="9.421875" style="0" customWidth="1"/>
    <col min="7937" max="7937" width="5.00390625" style="0" customWidth="1"/>
    <col min="7938" max="7938" width="5.57421875" style="0" customWidth="1"/>
    <col min="7939" max="7939" width="11.7109375" style="0" customWidth="1"/>
    <col min="7940" max="7940" width="5.421875" style="0" customWidth="1"/>
    <col min="7941" max="7941" width="15.7109375" style="0" customWidth="1"/>
    <col min="7942" max="7942" width="16.57421875" style="0" customWidth="1"/>
    <col min="8190" max="8190" width="9.8515625" style="0" customWidth="1"/>
    <col min="8191" max="8191" width="54.421875" style="0" customWidth="1"/>
    <col min="8192" max="8192" width="9.421875" style="0" customWidth="1"/>
    <col min="8193" max="8193" width="5.00390625" style="0" customWidth="1"/>
    <col min="8194" max="8194" width="5.57421875" style="0" customWidth="1"/>
    <col min="8195" max="8195" width="11.7109375" style="0" customWidth="1"/>
    <col min="8196" max="8196" width="5.421875" style="0" customWidth="1"/>
    <col min="8197" max="8197" width="15.7109375" style="0" customWidth="1"/>
    <col min="8198" max="8198" width="16.57421875" style="0" customWidth="1"/>
    <col min="8446" max="8446" width="9.8515625" style="0" customWidth="1"/>
    <col min="8447" max="8447" width="54.421875" style="0" customWidth="1"/>
    <col min="8448" max="8448" width="9.421875" style="0" customWidth="1"/>
    <col min="8449" max="8449" width="5.00390625" style="0" customWidth="1"/>
    <col min="8450" max="8450" width="5.57421875" style="0" customWidth="1"/>
    <col min="8451" max="8451" width="11.7109375" style="0" customWidth="1"/>
    <col min="8452" max="8452" width="5.421875" style="0" customWidth="1"/>
    <col min="8453" max="8453" width="15.7109375" style="0" customWidth="1"/>
    <col min="8454" max="8454" width="16.57421875" style="0" customWidth="1"/>
    <col min="8702" max="8702" width="9.8515625" style="0" customWidth="1"/>
    <col min="8703" max="8703" width="54.421875" style="0" customWidth="1"/>
    <col min="8704" max="8704" width="9.421875" style="0" customWidth="1"/>
    <col min="8705" max="8705" width="5.00390625" style="0" customWidth="1"/>
    <col min="8706" max="8706" width="5.57421875" style="0" customWidth="1"/>
    <col min="8707" max="8707" width="11.7109375" style="0" customWidth="1"/>
    <col min="8708" max="8708" width="5.421875" style="0" customWidth="1"/>
    <col min="8709" max="8709" width="15.7109375" style="0" customWidth="1"/>
    <col min="8710" max="8710" width="16.57421875" style="0" customWidth="1"/>
    <col min="8958" max="8958" width="9.8515625" style="0" customWidth="1"/>
    <col min="8959" max="8959" width="54.421875" style="0" customWidth="1"/>
    <col min="8960" max="8960" width="9.421875" style="0" customWidth="1"/>
    <col min="8961" max="8961" width="5.00390625" style="0" customWidth="1"/>
    <col min="8962" max="8962" width="5.57421875" style="0" customWidth="1"/>
    <col min="8963" max="8963" width="11.7109375" style="0" customWidth="1"/>
    <col min="8964" max="8964" width="5.421875" style="0" customWidth="1"/>
    <col min="8965" max="8965" width="15.7109375" style="0" customWidth="1"/>
    <col min="8966" max="8966" width="16.57421875" style="0" customWidth="1"/>
    <col min="9214" max="9214" width="9.8515625" style="0" customWidth="1"/>
    <col min="9215" max="9215" width="54.421875" style="0" customWidth="1"/>
    <col min="9216" max="9216" width="9.421875" style="0" customWidth="1"/>
    <col min="9217" max="9217" width="5.00390625" style="0" customWidth="1"/>
    <col min="9218" max="9218" width="5.57421875" style="0" customWidth="1"/>
    <col min="9219" max="9219" width="11.7109375" style="0" customWidth="1"/>
    <col min="9220" max="9220" width="5.421875" style="0" customWidth="1"/>
    <col min="9221" max="9221" width="15.7109375" style="0" customWidth="1"/>
    <col min="9222" max="9222" width="16.57421875" style="0" customWidth="1"/>
    <col min="9470" max="9470" width="9.8515625" style="0" customWidth="1"/>
    <col min="9471" max="9471" width="54.421875" style="0" customWidth="1"/>
    <col min="9472" max="9472" width="9.421875" style="0" customWidth="1"/>
    <col min="9473" max="9473" width="5.00390625" style="0" customWidth="1"/>
    <col min="9474" max="9474" width="5.57421875" style="0" customWidth="1"/>
    <col min="9475" max="9475" width="11.7109375" style="0" customWidth="1"/>
    <col min="9476" max="9476" width="5.421875" style="0" customWidth="1"/>
    <col min="9477" max="9477" width="15.7109375" style="0" customWidth="1"/>
    <col min="9478" max="9478" width="16.57421875" style="0" customWidth="1"/>
    <col min="9726" max="9726" width="9.8515625" style="0" customWidth="1"/>
    <col min="9727" max="9727" width="54.421875" style="0" customWidth="1"/>
    <col min="9728" max="9728" width="9.421875" style="0" customWidth="1"/>
    <col min="9729" max="9729" width="5.00390625" style="0" customWidth="1"/>
    <col min="9730" max="9730" width="5.57421875" style="0" customWidth="1"/>
    <col min="9731" max="9731" width="11.7109375" style="0" customWidth="1"/>
    <col min="9732" max="9732" width="5.421875" style="0" customWidth="1"/>
    <col min="9733" max="9733" width="15.7109375" style="0" customWidth="1"/>
    <col min="9734" max="9734" width="16.57421875" style="0" customWidth="1"/>
    <col min="9982" max="9982" width="9.8515625" style="0" customWidth="1"/>
    <col min="9983" max="9983" width="54.421875" style="0" customWidth="1"/>
    <col min="9984" max="9984" width="9.421875" style="0" customWidth="1"/>
    <col min="9985" max="9985" width="5.00390625" style="0" customWidth="1"/>
    <col min="9986" max="9986" width="5.57421875" style="0" customWidth="1"/>
    <col min="9987" max="9987" width="11.7109375" style="0" customWidth="1"/>
    <col min="9988" max="9988" width="5.421875" style="0" customWidth="1"/>
    <col min="9989" max="9989" width="15.7109375" style="0" customWidth="1"/>
    <col min="9990" max="9990" width="16.57421875" style="0" customWidth="1"/>
    <col min="10238" max="10238" width="9.8515625" style="0" customWidth="1"/>
    <col min="10239" max="10239" width="54.421875" style="0" customWidth="1"/>
    <col min="10240" max="10240" width="9.421875" style="0" customWidth="1"/>
    <col min="10241" max="10241" width="5.00390625" style="0" customWidth="1"/>
    <col min="10242" max="10242" width="5.57421875" style="0" customWidth="1"/>
    <col min="10243" max="10243" width="11.7109375" style="0" customWidth="1"/>
    <col min="10244" max="10244" width="5.421875" style="0" customWidth="1"/>
    <col min="10245" max="10245" width="15.7109375" style="0" customWidth="1"/>
    <col min="10246" max="10246" width="16.57421875" style="0" customWidth="1"/>
    <col min="10494" max="10494" width="9.8515625" style="0" customWidth="1"/>
    <col min="10495" max="10495" width="54.421875" style="0" customWidth="1"/>
    <col min="10496" max="10496" width="9.421875" style="0" customWidth="1"/>
    <col min="10497" max="10497" width="5.00390625" style="0" customWidth="1"/>
    <col min="10498" max="10498" width="5.57421875" style="0" customWidth="1"/>
    <col min="10499" max="10499" width="11.7109375" style="0" customWidth="1"/>
    <col min="10500" max="10500" width="5.421875" style="0" customWidth="1"/>
    <col min="10501" max="10501" width="15.7109375" style="0" customWidth="1"/>
    <col min="10502" max="10502" width="16.57421875" style="0" customWidth="1"/>
    <col min="10750" max="10750" width="9.8515625" style="0" customWidth="1"/>
    <col min="10751" max="10751" width="54.421875" style="0" customWidth="1"/>
    <col min="10752" max="10752" width="9.421875" style="0" customWidth="1"/>
    <col min="10753" max="10753" width="5.00390625" style="0" customWidth="1"/>
    <col min="10754" max="10754" width="5.57421875" style="0" customWidth="1"/>
    <col min="10755" max="10755" width="11.7109375" style="0" customWidth="1"/>
    <col min="10756" max="10756" width="5.421875" style="0" customWidth="1"/>
    <col min="10757" max="10757" width="15.7109375" style="0" customWidth="1"/>
    <col min="10758" max="10758" width="16.57421875" style="0" customWidth="1"/>
    <col min="11006" max="11006" width="9.8515625" style="0" customWidth="1"/>
    <col min="11007" max="11007" width="54.421875" style="0" customWidth="1"/>
    <col min="11008" max="11008" width="9.421875" style="0" customWidth="1"/>
    <col min="11009" max="11009" width="5.00390625" style="0" customWidth="1"/>
    <col min="11010" max="11010" width="5.57421875" style="0" customWidth="1"/>
    <col min="11011" max="11011" width="11.7109375" style="0" customWidth="1"/>
    <col min="11012" max="11012" width="5.421875" style="0" customWidth="1"/>
    <col min="11013" max="11013" width="15.7109375" style="0" customWidth="1"/>
    <col min="11014" max="11014" width="16.57421875" style="0" customWidth="1"/>
    <col min="11262" max="11262" width="9.8515625" style="0" customWidth="1"/>
    <col min="11263" max="11263" width="54.421875" style="0" customWidth="1"/>
    <col min="11264" max="11264" width="9.421875" style="0" customWidth="1"/>
    <col min="11265" max="11265" width="5.00390625" style="0" customWidth="1"/>
    <col min="11266" max="11266" width="5.57421875" style="0" customWidth="1"/>
    <col min="11267" max="11267" width="11.7109375" style="0" customWidth="1"/>
    <col min="11268" max="11268" width="5.421875" style="0" customWidth="1"/>
    <col min="11269" max="11269" width="15.7109375" style="0" customWidth="1"/>
    <col min="11270" max="11270" width="16.57421875" style="0" customWidth="1"/>
    <col min="11518" max="11518" width="9.8515625" style="0" customWidth="1"/>
    <col min="11519" max="11519" width="54.421875" style="0" customWidth="1"/>
    <col min="11520" max="11520" width="9.421875" style="0" customWidth="1"/>
    <col min="11521" max="11521" width="5.00390625" style="0" customWidth="1"/>
    <col min="11522" max="11522" width="5.57421875" style="0" customWidth="1"/>
    <col min="11523" max="11523" width="11.7109375" style="0" customWidth="1"/>
    <col min="11524" max="11524" width="5.421875" style="0" customWidth="1"/>
    <col min="11525" max="11525" width="15.7109375" style="0" customWidth="1"/>
    <col min="11526" max="11526" width="16.57421875" style="0" customWidth="1"/>
    <col min="11774" max="11774" width="9.8515625" style="0" customWidth="1"/>
    <col min="11775" max="11775" width="54.421875" style="0" customWidth="1"/>
    <col min="11776" max="11776" width="9.421875" style="0" customWidth="1"/>
    <col min="11777" max="11777" width="5.00390625" style="0" customWidth="1"/>
    <col min="11778" max="11778" width="5.57421875" style="0" customWidth="1"/>
    <col min="11779" max="11779" width="11.7109375" style="0" customWidth="1"/>
    <col min="11780" max="11780" width="5.421875" style="0" customWidth="1"/>
    <col min="11781" max="11781" width="15.7109375" style="0" customWidth="1"/>
    <col min="11782" max="11782" width="16.57421875" style="0" customWidth="1"/>
    <col min="12030" max="12030" width="9.8515625" style="0" customWidth="1"/>
    <col min="12031" max="12031" width="54.421875" style="0" customWidth="1"/>
    <col min="12032" max="12032" width="9.421875" style="0" customWidth="1"/>
    <col min="12033" max="12033" width="5.00390625" style="0" customWidth="1"/>
    <col min="12034" max="12034" width="5.57421875" style="0" customWidth="1"/>
    <col min="12035" max="12035" width="11.7109375" style="0" customWidth="1"/>
    <col min="12036" max="12036" width="5.421875" style="0" customWidth="1"/>
    <col min="12037" max="12037" width="15.7109375" style="0" customWidth="1"/>
    <col min="12038" max="12038" width="16.57421875" style="0" customWidth="1"/>
    <col min="12286" max="12286" width="9.8515625" style="0" customWidth="1"/>
    <col min="12287" max="12287" width="54.421875" style="0" customWidth="1"/>
    <col min="12288" max="12288" width="9.421875" style="0" customWidth="1"/>
    <col min="12289" max="12289" width="5.00390625" style="0" customWidth="1"/>
    <col min="12290" max="12290" width="5.57421875" style="0" customWidth="1"/>
    <col min="12291" max="12291" width="11.7109375" style="0" customWidth="1"/>
    <col min="12292" max="12292" width="5.421875" style="0" customWidth="1"/>
    <col min="12293" max="12293" width="15.7109375" style="0" customWidth="1"/>
    <col min="12294" max="12294" width="16.57421875" style="0" customWidth="1"/>
    <col min="12542" max="12542" width="9.8515625" style="0" customWidth="1"/>
    <col min="12543" max="12543" width="54.421875" style="0" customWidth="1"/>
    <col min="12544" max="12544" width="9.421875" style="0" customWidth="1"/>
    <col min="12545" max="12545" width="5.00390625" style="0" customWidth="1"/>
    <col min="12546" max="12546" width="5.57421875" style="0" customWidth="1"/>
    <col min="12547" max="12547" width="11.7109375" style="0" customWidth="1"/>
    <col min="12548" max="12548" width="5.421875" style="0" customWidth="1"/>
    <col min="12549" max="12549" width="15.7109375" style="0" customWidth="1"/>
    <col min="12550" max="12550" width="16.57421875" style="0" customWidth="1"/>
    <col min="12798" max="12798" width="9.8515625" style="0" customWidth="1"/>
    <col min="12799" max="12799" width="54.421875" style="0" customWidth="1"/>
    <col min="12800" max="12800" width="9.421875" style="0" customWidth="1"/>
    <col min="12801" max="12801" width="5.00390625" style="0" customWidth="1"/>
    <col min="12802" max="12802" width="5.57421875" style="0" customWidth="1"/>
    <col min="12803" max="12803" width="11.7109375" style="0" customWidth="1"/>
    <col min="12804" max="12804" width="5.421875" style="0" customWidth="1"/>
    <col min="12805" max="12805" width="15.7109375" style="0" customWidth="1"/>
    <col min="12806" max="12806" width="16.57421875" style="0" customWidth="1"/>
    <col min="13054" max="13054" width="9.8515625" style="0" customWidth="1"/>
    <col min="13055" max="13055" width="54.421875" style="0" customWidth="1"/>
    <col min="13056" max="13056" width="9.421875" style="0" customWidth="1"/>
    <col min="13057" max="13057" width="5.00390625" style="0" customWidth="1"/>
    <col min="13058" max="13058" width="5.57421875" style="0" customWidth="1"/>
    <col min="13059" max="13059" width="11.7109375" style="0" customWidth="1"/>
    <col min="13060" max="13060" width="5.421875" style="0" customWidth="1"/>
    <col min="13061" max="13061" width="15.7109375" style="0" customWidth="1"/>
    <col min="13062" max="13062" width="16.57421875" style="0" customWidth="1"/>
    <col min="13310" max="13310" width="9.8515625" style="0" customWidth="1"/>
    <col min="13311" max="13311" width="54.421875" style="0" customWidth="1"/>
    <col min="13312" max="13312" width="9.421875" style="0" customWidth="1"/>
    <col min="13313" max="13313" width="5.00390625" style="0" customWidth="1"/>
    <col min="13314" max="13314" width="5.57421875" style="0" customWidth="1"/>
    <col min="13315" max="13315" width="11.7109375" style="0" customWidth="1"/>
    <col min="13316" max="13316" width="5.421875" style="0" customWidth="1"/>
    <col min="13317" max="13317" width="15.7109375" style="0" customWidth="1"/>
    <col min="13318" max="13318" width="16.57421875" style="0" customWidth="1"/>
    <col min="13566" max="13566" width="9.8515625" style="0" customWidth="1"/>
    <col min="13567" max="13567" width="54.421875" style="0" customWidth="1"/>
    <col min="13568" max="13568" width="9.421875" style="0" customWidth="1"/>
    <col min="13569" max="13569" width="5.00390625" style="0" customWidth="1"/>
    <col min="13570" max="13570" width="5.57421875" style="0" customWidth="1"/>
    <col min="13571" max="13571" width="11.7109375" style="0" customWidth="1"/>
    <col min="13572" max="13572" width="5.421875" style="0" customWidth="1"/>
    <col min="13573" max="13573" width="15.7109375" style="0" customWidth="1"/>
    <col min="13574" max="13574" width="16.57421875" style="0" customWidth="1"/>
    <col min="13822" max="13822" width="9.8515625" style="0" customWidth="1"/>
    <col min="13823" max="13823" width="54.421875" style="0" customWidth="1"/>
    <col min="13824" max="13824" width="9.421875" style="0" customWidth="1"/>
    <col min="13825" max="13825" width="5.00390625" style="0" customWidth="1"/>
    <col min="13826" max="13826" width="5.57421875" style="0" customWidth="1"/>
    <col min="13827" max="13827" width="11.7109375" style="0" customWidth="1"/>
    <col min="13828" max="13828" width="5.421875" style="0" customWidth="1"/>
    <col min="13829" max="13829" width="15.7109375" style="0" customWidth="1"/>
    <col min="13830" max="13830" width="16.57421875" style="0" customWidth="1"/>
    <col min="14078" max="14078" width="9.8515625" style="0" customWidth="1"/>
    <col min="14079" max="14079" width="54.421875" style="0" customWidth="1"/>
    <col min="14080" max="14080" width="9.421875" style="0" customWidth="1"/>
    <col min="14081" max="14081" width="5.00390625" style="0" customWidth="1"/>
    <col min="14082" max="14082" width="5.57421875" style="0" customWidth="1"/>
    <col min="14083" max="14083" width="11.7109375" style="0" customWidth="1"/>
    <col min="14084" max="14084" width="5.421875" style="0" customWidth="1"/>
    <col min="14085" max="14085" width="15.7109375" style="0" customWidth="1"/>
    <col min="14086" max="14086" width="16.57421875" style="0" customWidth="1"/>
    <col min="14334" max="14334" width="9.8515625" style="0" customWidth="1"/>
    <col min="14335" max="14335" width="54.421875" style="0" customWidth="1"/>
    <col min="14336" max="14336" width="9.421875" style="0" customWidth="1"/>
    <col min="14337" max="14337" width="5.00390625" style="0" customWidth="1"/>
    <col min="14338" max="14338" width="5.57421875" style="0" customWidth="1"/>
    <col min="14339" max="14339" width="11.7109375" style="0" customWidth="1"/>
    <col min="14340" max="14340" width="5.421875" style="0" customWidth="1"/>
    <col min="14341" max="14341" width="15.7109375" style="0" customWidth="1"/>
    <col min="14342" max="14342" width="16.57421875" style="0" customWidth="1"/>
    <col min="14590" max="14590" width="9.8515625" style="0" customWidth="1"/>
    <col min="14591" max="14591" width="54.421875" style="0" customWidth="1"/>
    <col min="14592" max="14592" width="9.421875" style="0" customWidth="1"/>
    <col min="14593" max="14593" width="5.00390625" style="0" customWidth="1"/>
    <col min="14594" max="14594" width="5.57421875" style="0" customWidth="1"/>
    <col min="14595" max="14595" width="11.7109375" style="0" customWidth="1"/>
    <col min="14596" max="14596" width="5.421875" style="0" customWidth="1"/>
    <col min="14597" max="14597" width="15.7109375" style="0" customWidth="1"/>
    <col min="14598" max="14598" width="16.57421875" style="0" customWidth="1"/>
    <col min="14846" max="14846" width="9.8515625" style="0" customWidth="1"/>
    <col min="14847" max="14847" width="54.421875" style="0" customWidth="1"/>
    <col min="14848" max="14848" width="9.421875" style="0" customWidth="1"/>
    <col min="14849" max="14849" width="5.00390625" style="0" customWidth="1"/>
    <col min="14850" max="14850" width="5.57421875" style="0" customWidth="1"/>
    <col min="14851" max="14851" width="11.7109375" style="0" customWidth="1"/>
    <col min="14852" max="14852" width="5.421875" style="0" customWidth="1"/>
    <col min="14853" max="14853" width="15.7109375" style="0" customWidth="1"/>
    <col min="14854" max="14854" width="16.57421875" style="0" customWidth="1"/>
    <col min="15102" max="15102" width="9.8515625" style="0" customWidth="1"/>
    <col min="15103" max="15103" width="54.421875" style="0" customWidth="1"/>
    <col min="15104" max="15104" width="9.421875" style="0" customWidth="1"/>
    <col min="15105" max="15105" width="5.00390625" style="0" customWidth="1"/>
    <col min="15106" max="15106" width="5.57421875" style="0" customWidth="1"/>
    <col min="15107" max="15107" width="11.7109375" style="0" customWidth="1"/>
    <col min="15108" max="15108" width="5.421875" style="0" customWidth="1"/>
    <col min="15109" max="15109" width="15.7109375" style="0" customWidth="1"/>
    <col min="15110" max="15110" width="16.57421875" style="0" customWidth="1"/>
    <col min="15358" max="15358" width="9.8515625" style="0" customWidth="1"/>
    <col min="15359" max="15359" width="54.421875" style="0" customWidth="1"/>
    <col min="15360" max="15360" width="9.421875" style="0" customWidth="1"/>
    <col min="15361" max="15361" width="5.00390625" style="0" customWidth="1"/>
    <col min="15362" max="15362" width="5.57421875" style="0" customWidth="1"/>
    <col min="15363" max="15363" width="11.7109375" style="0" customWidth="1"/>
    <col min="15364" max="15364" width="5.421875" style="0" customWidth="1"/>
    <col min="15365" max="15365" width="15.7109375" style="0" customWidth="1"/>
    <col min="15366" max="15366" width="16.57421875" style="0" customWidth="1"/>
    <col min="15614" max="15614" width="9.8515625" style="0" customWidth="1"/>
    <col min="15615" max="15615" width="54.421875" style="0" customWidth="1"/>
    <col min="15616" max="15616" width="9.421875" style="0" customWidth="1"/>
    <col min="15617" max="15617" width="5.00390625" style="0" customWidth="1"/>
    <col min="15618" max="15618" width="5.57421875" style="0" customWidth="1"/>
    <col min="15619" max="15619" width="11.7109375" style="0" customWidth="1"/>
    <col min="15620" max="15620" width="5.421875" style="0" customWidth="1"/>
    <col min="15621" max="15621" width="15.7109375" style="0" customWidth="1"/>
    <col min="15622" max="15622" width="16.57421875" style="0" customWidth="1"/>
    <col min="15870" max="15870" width="9.8515625" style="0" customWidth="1"/>
    <col min="15871" max="15871" width="54.421875" style="0" customWidth="1"/>
    <col min="15872" max="15872" width="9.421875" style="0" customWidth="1"/>
    <col min="15873" max="15873" width="5.00390625" style="0" customWidth="1"/>
    <col min="15874" max="15874" width="5.57421875" style="0" customWidth="1"/>
    <col min="15875" max="15875" width="11.7109375" style="0" customWidth="1"/>
    <col min="15876" max="15876" width="5.421875" style="0" customWidth="1"/>
    <col min="15877" max="15877" width="15.7109375" style="0" customWidth="1"/>
    <col min="15878" max="15878" width="16.57421875" style="0" customWidth="1"/>
    <col min="16126" max="16126" width="9.8515625" style="0" customWidth="1"/>
    <col min="16127" max="16127" width="54.421875" style="0" customWidth="1"/>
    <col min="16128" max="16128" width="9.421875" style="0" customWidth="1"/>
    <col min="16129" max="16129" width="5.00390625" style="0" customWidth="1"/>
    <col min="16130" max="16130" width="5.57421875" style="0" customWidth="1"/>
    <col min="16131" max="16131" width="11.7109375" style="0" customWidth="1"/>
    <col min="16132" max="16132" width="5.421875" style="0" customWidth="1"/>
    <col min="16133" max="16133" width="15.7109375" style="0" customWidth="1"/>
    <col min="16134" max="16134" width="16.57421875" style="0" customWidth="1"/>
  </cols>
  <sheetData>
    <row r="1" spans="1:6" ht="12.75">
      <c r="A1" s="279"/>
      <c r="B1" s="279"/>
      <c r="C1" s="317"/>
      <c r="D1" s="317"/>
      <c r="E1" s="142"/>
      <c r="F1" s="324"/>
    </row>
    <row r="2" spans="1:6" ht="12.75">
      <c r="A2" s="165" t="s">
        <v>2987</v>
      </c>
      <c r="B2" s="165" t="s">
        <v>2988</v>
      </c>
      <c r="C2" s="318"/>
      <c r="D2" s="319"/>
      <c r="E2" s="142"/>
      <c r="F2" s="174"/>
    </row>
    <row r="3" spans="1:6" ht="12.75">
      <c r="A3" s="165" t="s">
        <v>3037</v>
      </c>
      <c r="B3" s="165" t="s">
        <v>3038</v>
      </c>
      <c r="C3" s="318"/>
      <c r="D3" s="319"/>
      <c r="E3" s="142"/>
      <c r="F3" s="174"/>
    </row>
    <row r="4" spans="1:6" ht="34.35" customHeight="1">
      <c r="A4" s="286" t="s">
        <v>50</v>
      </c>
      <c r="B4" s="552" t="s">
        <v>2989</v>
      </c>
      <c r="C4" s="552"/>
      <c r="D4" s="552"/>
      <c r="E4" s="142"/>
      <c r="F4" s="325"/>
    </row>
    <row r="5" spans="1:6" ht="13.5" thickBot="1">
      <c r="A5" s="165"/>
      <c r="B5" s="287"/>
      <c r="C5" s="320"/>
      <c r="D5" s="319"/>
      <c r="E5" s="142"/>
      <c r="F5" s="174"/>
    </row>
    <row r="6" spans="1:7" ht="24.75" thickBot="1">
      <c r="A6" s="326" t="s">
        <v>2990</v>
      </c>
      <c r="B6" s="327" t="s">
        <v>2515</v>
      </c>
      <c r="C6" s="328" t="s">
        <v>66</v>
      </c>
      <c r="D6" s="328" t="s">
        <v>2991</v>
      </c>
      <c r="E6" s="329" t="s">
        <v>2903</v>
      </c>
      <c r="F6" s="330" t="s">
        <v>3055</v>
      </c>
      <c r="G6" s="191"/>
    </row>
    <row r="7" spans="1:6" ht="12.75">
      <c r="A7" s="331"/>
      <c r="B7" s="379" t="s">
        <v>3039</v>
      </c>
      <c r="C7" s="332"/>
      <c r="D7" s="333"/>
      <c r="E7" s="334"/>
      <c r="F7" s="335"/>
    </row>
    <row r="8" spans="1:6" ht="48">
      <c r="A8" s="336"/>
      <c r="B8" s="375" t="s">
        <v>3040</v>
      </c>
      <c r="C8" s="321">
        <v>1</v>
      </c>
      <c r="D8" s="322" t="s">
        <v>2107</v>
      </c>
      <c r="E8" s="372"/>
      <c r="F8" s="337">
        <f>SUM(C8*E8)</f>
        <v>0</v>
      </c>
    </row>
    <row r="9" spans="1:6" ht="12.75">
      <c r="A9" s="336"/>
      <c r="B9" s="376" t="s">
        <v>3041</v>
      </c>
      <c r="C9" s="555">
        <v>1</v>
      </c>
      <c r="D9" s="556" t="s">
        <v>2064</v>
      </c>
      <c r="E9" s="553"/>
      <c r="F9" s="554">
        <f>SUM(C9*E9)</f>
        <v>0</v>
      </c>
    </row>
    <row r="10" spans="1:6" ht="12.75">
      <c r="A10" s="336"/>
      <c r="B10" s="376" t="s">
        <v>3042</v>
      </c>
      <c r="C10" s="555">
        <v>1</v>
      </c>
      <c r="D10" s="556" t="s">
        <v>2107</v>
      </c>
      <c r="E10" s="553"/>
      <c r="F10" s="554">
        <f aca="true" t="shared" si="0" ref="F10:F16">IF(C10*E10,C10*E10,0)</f>
        <v>0</v>
      </c>
    </row>
    <row r="11" spans="1:6" ht="12.75">
      <c r="A11" s="336"/>
      <c r="B11" s="376" t="s">
        <v>3043</v>
      </c>
      <c r="C11" s="555">
        <v>1</v>
      </c>
      <c r="D11" s="556" t="s">
        <v>2107</v>
      </c>
      <c r="E11" s="553"/>
      <c r="F11" s="554">
        <f t="shared" si="0"/>
        <v>0</v>
      </c>
    </row>
    <row r="12" spans="1:6" ht="12.75">
      <c r="A12" s="336"/>
      <c r="B12" s="377" t="s">
        <v>3044</v>
      </c>
      <c r="C12" s="555">
        <v>1</v>
      </c>
      <c r="D12" s="556" t="s">
        <v>2107</v>
      </c>
      <c r="E12" s="553"/>
      <c r="F12" s="554">
        <f t="shared" si="0"/>
        <v>0</v>
      </c>
    </row>
    <row r="13" spans="1:6" ht="12.75">
      <c r="A13" s="336"/>
      <c r="B13" s="376" t="s">
        <v>3045</v>
      </c>
      <c r="C13" s="555">
        <v>1</v>
      </c>
      <c r="D13" s="556" t="s">
        <v>2107</v>
      </c>
      <c r="E13" s="553"/>
      <c r="F13" s="554">
        <f t="shared" si="0"/>
        <v>0</v>
      </c>
    </row>
    <row r="14" spans="1:6" ht="12.75">
      <c r="A14" s="336"/>
      <c r="B14" s="378" t="s">
        <v>3046</v>
      </c>
      <c r="C14" s="555">
        <v>1</v>
      </c>
      <c r="D14" s="556" t="s">
        <v>2107</v>
      </c>
      <c r="E14" s="553"/>
      <c r="F14" s="554">
        <f t="shared" si="0"/>
        <v>0</v>
      </c>
    </row>
    <row r="15" spans="1:6" ht="12.75">
      <c r="A15" s="336"/>
      <c r="B15" s="378" t="s">
        <v>3047</v>
      </c>
      <c r="C15" s="555">
        <v>1</v>
      </c>
      <c r="D15" s="556" t="s">
        <v>2107</v>
      </c>
      <c r="E15" s="553"/>
      <c r="F15" s="554">
        <f t="shared" si="0"/>
        <v>0</v>
      </c>
    </row>
    <row r="16" spans="1:6" ht="12.75">
      <c r="A16" s="336"/>
      <c r="B16" s="378" t="s">
        <v>3048</v>
      </c>
      <c r="C16" s="555"/>
      <c r="D16" s="556"/>
      <c r="E16" s="553"/>
      <c r="F16" s="554">
        <f t="shared" si="0"/>
        <v>0</v>
      </c>
    </row>
    <row r="17" spans="1:6" ht="12.75">
      <c r="A17" s="336"/>
      <c r="B17" s="380" t="s">
        <v>3049</v>
      </c>
      <c r="C17" s="321"/>
      <c r="D17" s="322"/>
      <c r="E17" s="374"/>
      <c r="F17" s="337"/>
    </row>
    <row r="18" spans="1:6" ht="12.75">
      <c r="A18" s="336"/>
      <c r="B18" s="375" t="s">
        <v>3050</v>
      </c>
      <c r="C18" s="321">
        <v>18</v>
      </c>
      <c r="D18" s="322" t="s">
        <v>2107</v>
      </c>
      <c r="E18" s="372"/>
      <c r="F18" s="337">
        <f>SUM(C18*E18)</f>
        <v>0</v>
      </c>
    </row>
    <row r="19" spans="1:6" ht="12.75">
      <c r="A19" s="336"/>
      <c r="B19" s="375" t="s">
        <v>3051</v>
      </c>
      <c r="C19" s="321">
        <v>18</v>
      </c>
      <c r="D19" s="322" t="s">
        <v>2107</v>
      </c>
      <c r="E19" s="372"/>
      <c r="F19" s="337">
        <f>SUM(C19*E19)</f>
        <v>0</v>
      </c>
    </row>
    <row r="20" spans="1:6" ht="12.75">
      <c r="A20" s="336"/>
      <c r="B20" s="378" t="s">
        <v>3052</v>
      </c>
      <c r="C20" s="321">
        <v>165</v>
      </c>
      <c r="D20" s="322" t="s">
        <v>2216</v>
      </c>
      <c r="E20" s="372"/>
      <c r="F20" s="337">
        <f>SUM(C20*E20)</f>
        <v>0</v>
      </c>
    </row>
    <row r="21" spans="1:6" ht="12.75">
      <c r="A21" s="336"/>
      <c r="B21" s="375" t="s">
        <v>3053</v>
      </c>
      <c r="C21" s="321">
        <v>1</v>
      </c>
      <c r="D21" s="322" t="s">
        <v>2064</v>
      </c>
      <c r="E21" s="372"/>
      <c r="F21" s="337">
        <f>SUM(C21*E21)</f>
        <v>0</v>
      </c>
    </row>
    <row r="22" spans="1:6" ht="12.75">
      <c r="A22" s="336"/>
      <c r="B22" s="380" t="s">
        <v>3022</v>
      </c>
      <c r="C22" s="321"/>
      <c r="D22" s="322"/>
      <c r="E22" s="374"/>
      <c r="F22" s="337"/>
    </row>
    <row r="23" spans="1:6" ht="12.75">
      <c r="A23" s="336"/>
      <c r="B23" s="296" t="s">
        <v>3023</v>
      </c>
      <c r="C23" s="321">
        <v>1</v>
      </c>
      <c r="D23" s="322" t="s">
        <v>2064</v>
      </c>
      <c r="E23" s="372"/>
      <c r="F23" s="337">
        <f>SUM(C23*E23)</f>
        <v>0</v>
      </c>
    </row>
    <row r="24" spans="1:6" ht="12.75">
      <c r="A24" s="336"/>
      <c r="B24" s="296" t="s">
        <v>3054</v>
      </c>
      <c r="C24" s="321">
        <v>1</v>
      </c>
      <c r="D24" s="322" t="s">
        <v>2064</v>
      </c>
      <c r="E24" s="372"/>
      <c r="F24" s="337">
        <f>SUM(C24*E24)</f>
        <v>0</v>
      </c>
    </row>
    <row r="25" spans="1:6" ht="12.75">
      <c r="A25" s="336"/>
      <c r="B25" s="296" t="s">
        <v>3024</v>
      </c>
      <c r="C25" s="321">
        <v>1</v>
      </c>
      <c r="D25" s="322" t="s">
        <v>2064</v>
      </c>
      <c r="E25" s="372"/>
      <c r="F25" s="337">
        <f>SUM(C25*E25)</f>
        <v>0</v>
      </c>
    </row>
    <row r="26" spans="1:6" ht="12.75">
      <c r="A26" s="336"/>
      <c r="B26" s="296" t="s">
        <v>3025</v>
      </c>
      <c r="C26" s="321">
        <v>1</v>
      </c>
      <c r="D26" s="322" t="s">
        <v>2064</v>
      </c>
      <c r="E26" s="372"/>
      <c r="F26" s="337">
        <f>SUM(C26*E26)</f>
        <v>0</v>
      </c>
    </row>
    <row r="27" spans="1:6" ht="13.5" thickBot="1">
      <c r="A27" s="338"/>
      <c r="B27" s="339" t="s">
        <v>3026</v>
      </c>
      <c r="C27" s="340">
        <v>1</v>
      </c>
      <c r="D27" s="341" t="s">
        <v>2064</v>
      </c>
      <c r="E27" s="373"/>
      <c r="F27" s="342">
        <f>SUM(C27*E27)</f>
        <v>0</v>
      </c>
    </row>
    <row r="28" spans="5:6" ht="12.75">
      <c r="E28" s="305"/>
      <c r="F28" s="306"/>
    </row>
    <row r="29" spans="5:6" ht="12.75">
      <c r="E29" s="308" t="s">
        <v>3027</v>
      </c>
      <c r="F29" s="314">
        <f>SUM(F8:F27)</f>
        <v>0</v>
      </c>
    </row>
    <row r="32" ht="13.5" customHeight="1"/>
  </sheetData>
  <mergeCells count="5">
    <mergeCell ref="E9:E16"/>
    <mergeCell ref="F9:F16"/>
    <mergeCell ref="B4:D4"/>
    <mergeCell ref="C9:C16"/>
    <mergeCell ref="D9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H968"/>
  <sheetViews>
    <sheetView showGridLines="0" tabSelected="1" zoomScale="86" zoomScaleNormal="86" workbookViewId="0" topLeftCell="A1">
      <selection activeCell="G15" sqref="G15"/>
    </sheetView>
  </sheetViews>
  <sheetFormatPr defaultColWidth="9.140625" defaultRowHeight="12.75"/>
  <cols>
    <col min="1" max="1" width="3.8515625" style="13" customWidth="1"/>
    <col min="2" max="2" width="6.57421875" style="0" customWidth="1"/>
    <col min="3" max="3" width="14.28125" style="0" customWidth="1"/>
    <col min="4" max="4" width="62.7109375" style="14" customWidth="1"/>
    <col min="5" max="5" width="4.8515625" style="0" customWidth="1"/>
    <col min="6" max="6" width="12.57421875" style="0" customWidth="1"/>
    <col min="7" max="7" width="12.00390625" style="0" customWidth="1"/>
    <col min="8" max="8" width="14.28125" style="0" customWidth="1"/>
    <col min="9" max="11" width="11.7109375" style="0" customWidth="1"/>
    <col min="12" max="12" width="0.71875" style="0" customWidth="1"/>
    <col min="13" max="22" width="11.57421875" style="0" customWidth="1"/>
    <col min="23" max="60" width="9.140625" style="0" hidden="1" customWidth="1"/>
    <col min="61" max="1025" width="11.57421875" style="0" customWidth="1"/>
  </cols>
  <sheetData>
    <row r="1" spans="1:11" ht="34.9" customHeight="1">
      <c r="A1" s="460" t="s">
        <v>51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2" ht="13.15" customHeight="1">
      <c r="A2" s="461" t="s">
        <v>1</v>
      </c>
      <c r="B2" s="461"/>
      <c r="C2" s="461"/>
      <c r="D2" s="462" t="s">
        <v>52</v>
      </c>
      <c r="E2" s="457" t="s">
        <v>53</v>
      </c>
      <c r="F2" s="457"/>
      <c r="G2" s="457" t="s">
        <v>54</v>
      </c>
      <c r="H2" s="456" t="s">
        <v>2</v>
      </c>
      <c r="I2" s="458" t="s">
        <v>3</v>
      </c>
      <c r="J2" s="458"/>
      <c r="K2" s="458"/>
      <c r="L2" s="1"/>
    </row>
    <row r="3" spans="1:12" ht="12.75">
      <c r="A3" s="461"/>
      <c r="B3" s="461"/>
      <c r="C3" s="461"/>
      <c r="D3" s="462"/>
      <c r="E3" s="457"/>
      <c r="F3" s="457"/>
      <c r="G3" s="457"/>
      <c r="H3" s="457"/>
      <c r="I3" s="458"/>
      <c r="J3" s="458"/>
      <c r="K3" s="458"/>
      <c r="L3" s="1"/>
    </row>
    <row r="4" spans="1:19" ht="13.15" customHeight="1">
      <c r="A4" s="456" t="s">
        <v>6</v>
      </c>
      <c r="B4" s="456"/>
      <c r="C4" s="456"/>
      <c r="D4" s="456" t="s">
        <v>55</v>
      </c>
      <c r="E4" s="457" t="s">
        <v>12</v>
      </c>
      <c r="F4" s="457"/>
      <c r="G4" s="459" t="s">
        <v>54</v>
      </c>
      <c r="H4" s="456" t="s">
        <v>7</v>
      </c>
      <c r="I4" s="458" t="s">
        <v>8</v>
      </c>
      <c r="J4" s="458"/>
      <c r="K4" s="458"/>
      <c r="L4" s="1"/>
      <c r="O4" s="18"/>
      <c r="P4" s="19"/>
      <c r="Q4" s="19"/>
      <c r="R4" s="19"/>
      <c r="S4" s="19"/>
    </row>
    <row r="5" spans="1:19" ht="12.75">
      <c r="A5" s="456"/>
      <c r="B5" s="456"/>
      <c r="C5" s="456"/>
      <c r="D5" s="456"/>
      <c r="E5" s="457"/>
      <c r="F5" s="457"/>
      <c r="G5" s="459"/>
      <c r="H5" s="457"/>
      <c r="I5" s="458"/>
      <c r="J5" s="458"/>
      <c r="K5" s="458"/>
      <c r="L5" s="1"/>
      <c r="O5" s="19"/>
      <c r="P5" s="19"/>
      <c r="Q5" s="19"/>
      <c r="R5" s="19"/>
      <c r="S5" s="19"/>
    </row>
    <row r="6" spans="1:19" ht="12.75" customHeight="1">
      <c r="A6" s="456" t="s">
        <v>10</v>
      </c>
      <c r="B6" s="456"/>
      <c r="C6" s="456"/>
      <c r="D6" s="456" t="s">
        <v>56</v>
      </c>
      <c r="E6" s="457" t="s">
        <v>13</v>
      </c>
      <c r="F6" s="457"/>
      <c r="G6" s="459" t="s">
        <v>54</v>
      </c>
      <c r="H6" s="456" t="s">
        <v>11</v>
      </c>
      <c r="I6" s="454" t="s">
        <v>57</v>
      </c>
      <c r="J6" s="454"/>
      <c r="K6" s="454"/>
      <c r="L6" s="1"/>
      <c r="O6" s="18"/>
      <c r="P6" s="19"/>
      <c r="Q6" s="19"/>
      <c r="R6" s="19"/>
      <c r="S6" s="19"/>
    </row>
    <row r="7" spans="1:19" ht="12.75">
      <c r="A7" s="456"/>
      <c r="B7" s="456"/>
      <c r="C7" s="456"/>
      <c r="D7" s="456"/>
      <c r="E7" s="457"/>
      <c r="F7" s="457"/>
      <c r="G7" s="459"/>
      <c r="H7" s="457"/>
      <c r="I7" s="454"/>
      <c r="J7" s="454"/>
      <c r="K7" s="454"/>
      <c r="L7" s="1"/>
      <c r="O7" s="19"/>
      <c r="P7" s="19"/>
      <c r="Q7" s="19"/>
      <c r="R7" s="19"/>
      <c r="S7" s="19"/>
    </row>
    <row r="8" spans="1:19" ht="12.75" customHeight="1">
      <c r="A8" s="456" t="s">
        <v>16</v>
      </c>
      <c r="B8" s="456"/>
      <c r="C8" s="456"/>
      <c r="D8" s="456" t="s">
        <v>58</v>
      </c>
      <c r="E8" s="457" t="s">
        <v>59</v>
      </c>
      <c r="F8" s="457"/>
      <c r="G8" s="457" t="s">
        <v>60</v>
      </c>
      <c r="H8" s="456" t="s">
        <v>17</v>
      </c>
      <c r="I8" s="454" t="s">
        <v>57</v>
      </c>
      <c r="J8" s="454"/>
      <c r="K8" s="454"/>
      <c r="L8" s="1"/>
      <c r="O8" s="20"/>
      <c r="P8" s="19"/>
      <c r="Q8" s="19"/>
      <c r="R8" s="19"/>
      <c r="S8" s="19"/>
    </row>
    <row r="9" spans="1:19" ht="12.75">
      <c r="A9" s="456"/>
      <c r="B9" s="456"/>
      <c r="C9" s="456"/>
      <c r="D9" s="456"/>
      <c r="E9" s="457"/>
      <c r="F9" s="457"/>
      <c r="G9" s="457"/>
      <c r="H9" s="457"/>
      <c r="I9" s="454"/>
      <c r="J9" s="454"/>
      <c r="K9" s="454"/>
      <c r="L9" s="1"/>
      <c r="O9" s="19"/>
      <c r="P9" s="19"/>
      <c r="Q9" s="19"/>
      <c r="R9" s="19"/>
      <c r="S9" s="19"/>
    </row>
    <row r="10" spans="1:19" ht="12.75">
      <c r="A10" s="15" t="s">
        <v>61</v>
      </c>
      <c r="B10" s="15" t="s">
        <v>62</v>
      </c>
      <c r="C10" s="15" t="s">
        <v>63</v>
      </c>
      <c r="D10" s="21" t="s">
        <v>64</v>
      </c>
      <c r="E10" s="15" t="s">
        <v>65</v>
      </c>
      <c r="F10" s="22" t="s">
        <v>66</v>
      </c>
      <c r="G10" s="22" t="s">
        <v>67</v>
      </c>
      <c r="H10" s="22" t="s">
        <v>68</v>
      </c>
      <c r="I10" s="455" t="s">
        <v>69</v>
      </c>
      <c r="J10" s="455"/>
      <c r="K10" s="22" t="s">
        <v>70</v>
      </c>
      <c r="L10" s="10"/>
      <c r="O10" s="20"/>
      <c r="P10" s="19"/>
      <c r="Q10" s="19"/>
      <c r="R10" s="19"/>
      <c r="S10" s="19"/>
    </row>
    <row r="11" spans="1:60" ht="12.75">
      <c r="A11" s="16" t="s">
        <v>54</v>
      </c>
      <c r="B11" s="16" t="s">
        <v>54</v>
      </c>
      <c r="C11" s="16" t="s">
        <v>54</v>
      </c>
      <c r="D11" s="21" t="s">
        <v>71</v>
      </c>
      <c r="E11" s="16" t="s">
        <v>54</v>
      </c>
      <c r="F11" s="16" t="s">
        <v>54</v>
      </c>
      <c r="G11" s="22" t="s">
        <v>72</v>
      </c>
      <c r="H11" s="22" t="s">
        <v>73</v>
      </c>
      <c r="I11" s="22" t="s">
        <v>74</v>
      </c>
      <c r="J11" s="22" t="s">
        <v>73</v>
      </c>
      <c r="K11" s="22" t="s">
        <v>75</v>
      </c>
      <c r="L11" s="10"/>
      <c r="O11" s="19"/>
      <c r="P11" s="19"/>
      <c r="Q11" s="19"/>
      <c r="R11" s="19"/>
      <c r="S11" s="19"/>
      <c r="X11" s="23" t="s">
        <v>76</v>
      </c>
      <c r="Y11" s="23" t="s">
        <v>77</v>
      </c>
      <c r="Z11" s="23" t="s">
        <v>78</v>
      </c>
      <c r="AA11" s="23" t="s">
        <v>79</v>
      </c>
      <c r="AB11" s="23" t="s">
        <v>80</v>
      </c>
      <c r="AC11" s="23" t="s">
        <v>81</v>
      </c>
      <c r="AD11" s="23" t="s">
        <v>82</v>
      </c>
      <c r="AE11" s="23" t="s">
        <v>83</v>
      </c>
      <c r="AF11" s="23" t="s">
        <v>84</v>
      </c>
      <c r="BF11" s="23" t="s">
        <v>85</v>
      </c>
      <c r="BG11" s="23" t="s">
        <v>86</v>
      </c>
      <c r="BH11" s="23" t="s">
        <v>87</v>
      </c>
    </row>
    <row r="12" spans="1:45" ht="12.75">
      <c r="A12" s="24"/>
      <c r="B12" s="25"/>
      <c r="C12" s="25" t="s">
        <v>88</v>
      </c>
      <c r="D12" s="26" t="s">
        <v>89</v>
      </c>
      <c r="E12" s="24" t="s">
        <v>54</v>
      </c>
      <c r="F12" s="24" t="s">
        <v>54</v>
      </c>
      <c r="G12" s="24" t="s">
        <v>54</v>
      </c>
      <c r="H12" s="27">
        <f>SUM(H13:H18)</f>
        <v>0</v>
      </c>
      <c r="I12" s="28"/>
      <c r="J12" s="28">
        <f>SUM(J13:J18)</f>
        <v>0</v>
      </c>
      <c r="K12" s="29"/>
      <c r="O12" s="30"/>
      <c r="P12" s="30"/>
      <c r="Q12" s="30"/>
      <c r="R12" s="30"/>
      <c r="S12" s="30"/>
      <c r="AG12" s="23"/>
      <c r="AQ12" s="31">
        <f>SUM(AH13:AH18)</f>
        <v>0</v>
      </c>
      <c r="AR12" s="31">
        <f>SUM(AI13:AI18)</f>
        <v>0</v>
      </c>
      <c r="AS12" s="31">
        <f>SUM(AJ13:AJ18)</f>
        <v>0</v>
      </c>
    </row>
    <row r="13" spans="1:60" ht="12.75">
      <c r="A13" s="16" t="s">
        <v>90</v>
      </c>
      <c r="B13" s="16"/>
      <c r="C13" s="16" t="s">
        <v>91</v>
      </c>
      <c r="D13" s="32" t="s">
        <v>92</v>
      </c>
      <c r="E13" s="16" t="s">
        <v>93</v>
      </c>
      <c r="F13" s="33">
        <v>270</v>
      </c>
      <c r="G13" s="422"/>
      <c r="H13" s="34">
        <f>F13*G13</f>
        <v>0</v>
      </c>
      <c r="I13" s="35">
        <v>0</v>
      </c>
      <c r="J13" s="35">
        <f>F13*I13</f>
        <v>0</v>
      </c>
      <c r="K13" s="36" t="s">
        <v>94</v>
      </c>
      <c r="X13" s="37">
        <f>IF(AO13="5",BH13,0)</f>
        <v>0</v>
      </c>
      <c r="Z13" s="37">
        <f>IF(AO13="1",BF13,0)</f>
        <v>0</v>
      </c>
      <c r="AA13" s="37">
        <f>IF(AO13="1",BG13,0)</f>
        <v>0</v>
      </c>
      <c r="AB13" s="37">
        <f>IF(AO13="7",BF13,0)</f>
        <v>0</v>
      </c>
      <c r="AC13" s="37">
        <f>IF(AO13="7",BG13,0)</f>
        <v>0</v>
      </c>
      <c r="AD13" s="37">
        <f>IF(AO13="2",BF13,0)</f>
        <v>0</v>
      </c>
      <c r="AE13" s="37">
        <f>IF(AO13="2",BG13,0)</f>
        <v>0</v>
      </c>
      <c r="AF13" s="37">
        <f>IF(AO13="0",BH13,0)</f>
        <v>0</v>
      </c>
      <c r="AG13" s="23"/>
      <c r="AH13" s="37">
        <f>IF(AL13=0,H13,0)</f>
        <v>0</v>
      </c>
      <c r="AI13" s="37">
        <f>IF(AL13=15,H13,0)</f>
        <v>0</v>
      </c>
      <c r="AJ13" s="37">
        <f>IF(AL13=21,H13,0)</f>
        <v>0</v>
      </c>
      <c r="AL13" s="37">
        <v>21</v>
      </c>
      <c r="AM13" s="37">
        <f>G13*0</f>
        <v>0</v>
      </c>
      <c r="AN13" s="37">
        <f>G13*(1-0)</f>
        <v>0</v>
      </c>
      <c r="AO13" s="38" t="s">
        <v>90</v>
      </c>
      <c r="AT13" s="37">
        <f>AU13+AV13</f>
        <v>0</v>
      </c>
      <c r="AU13" s="37">
        <f>F13*AM13</f>
        <v>0</v>
      </c>
      <c r="AV13" s="37">
        <f>F13*AN13</f>
        <v>0</v>
      </c>
      <c r="AW13" s="38" t="s">
        <v>95</v>
      </c>
      <c r="AX13" s="38" t="s">
        <v>96</v>
      </c>
      <c r="AY13" s="23" t="s">
        <v>97</v>
      </c>
      <c r="BA13" s="37">
        <f>AU13+AV13</f>
        <v>0</v>
      </c>
      <c r="BB13" s="37">
        <f>G13/(100-BC13)*100</f>
        <v>0</v>
      </c>
      <c r="BC13" s="37">
        <v>0</v>
      </c>
      <c r="BD13" s="37">
        <f>J13</f>
        <v>0</v>
      </c>
      <c r="BF13" s="37">
        <f>F13*AM13</f>
        <v>0</v>
      </c>
      <c r="BG13" s="37">
        <f>F13*AN13</f>
        <v>0</v>
      </c>
      <c r="BH13" s="37">
        <f>F13*G13</f>
        <v>0</v>
      </c>
    </row>
    <row r="14" spans="1:11" ht="12.75">
      <c r="A14" s="39"/>
      <c r="B14" s="40"/>
      <c r="C14" s="40"/>
      <c r="D14" s="41" t="s">
        <v>98</v>
      </c>
      <c r="E14" s="40"/>
      <c r="F14" s="42">
        <v>270</v>
      </c>
      <c r="G14" s="40"/>
      <c r="H14" s="40"/>
      <c r="I14" s="43"/>
      <c r="J14" s="43"/>
      <c r="K14" s="40"/>
    </row>
    <row r="15" spans="1:60" ht="12.75">
      <c r="A15" s="16" t="s">
        <v>99</v>
      </c>
      <c r="B15" s="16"/>
      <c r="C15" s="16" t="s">
        <v>100</v>
      </c>
      <c r="D15" s="32" t="s">
        <v>101</v>
      </c>
      <c r="E15" s="16" t="s">
        <v>102</v>
      </c>
      <c r="F15" s="33">
        <v>2758.184</v>
      </c>
      <c r="G15" s="422"/>
      <c r="H15" s="34">
        <f>F15*G15</f>
        <v>0</v>
      </c>
      <c r="I15" s="35">
        <v>0</v>
      </c>
      <c r="J15" s="35">
        <f>F15*I15</f>
        <v>0</v>
      </c>
      <c r="K15" s="36" t="s">
        <v>94</v>
      </c>
      <c r="N15" t="s">
        <v>2524</v>
      </c>
      <c r="X15" s="37">
        <f>IF(AO15="5",BH15,0)</f>
        <v>0</v>
      </c>
      <c r="Z15" s="37">
        <f>IF(AO15="1",BF15,0)</f>
        <v>0</v>
      </c>
      <c r="AA15" s="37">
        <f>IF(AO15="1",BG15,0)</f>
        <v>0</v>
      </c>
      <c r="AB15" s="37">
        <f>IF(AO15="7",BF15,0)</f>
        <v>0</v>
      </c>
      <c r="AC15" s="37">
        <f>IF(AO15="7",BG15,0)</f>
        <v>0</v>
      </c>
      <c r="AD15" s="37">
        <f>IF(AO15="2",BF15,0)</f>
        <v>0</v>
      </c>
      <c r="AE15" s="37">
        <f>IF(AO15="2",BG15,0)</f>
        <v>0</v>
      </c>
      <c r="AF15" s="37">
        <f>IF(AO15="0",BH15,0)</f>
        <v>0</v>
      </c>
      <c r="AG15" s="23"/>
      <c r="AH15" s="37">
        <f>IF(AL15=0,H15,0)</f>
        <v>0</v>
      </c>
      <c r="AI15" s="37">
        <f>IF(AL15=15,H15,0)</f>
        <v>0</v>
      </c>
      <c r="AJ15" s="37">
        <f>IF(AL15=21,H15,0)</f>
        <v>0</v>
      </c>
      <c r="AL15" s="37">
        <v>21</v>
      </c>
      <c r="AM15" s="37">
        <f>G15*0</f>
        <v>0</v>
      </c>
      <c r="AN15" s="37">
        <f>G15*(1-0)</f>
        <v>0</v>
      </c>
      <c r="AO15" s="38" t="s">
        <v>90</v>
      </c>
      <c r="AT15" s="37">
        <f>AU15+AV15</f>
        <v>0</v>
      </c>
      <c r="AU15" s="37">
        <f>F15*AM15</f>
        <v>0</v>
      </c>
      <c r="AV15" s="37">
        <f>F15*AN15</f>
        <v>0</v>
      </c>
      <c r="AW15" s="38" t="s">
        <v>95</v>
      </c>
      <c r="AX15" s="38" t="s">
        <v>96</v>
      </c>
      <c r="AY15" s="23" t="s">
        <v>97</v>
      </c>
      <c r="BA15" s="37">
        <f>AU15+AV15</f>
        <v>0</v>
      </c>
      <c r="BB15" s="37">
        <f>G15/(100-BC15)*100</f>
        <v>0</v>
      </c>
      <c r="BC15" s="37">
        <v>0</v>
      </c>
      <c r="BD15" s="37">
        <f>J15</f>
        <v>0</v>
      </c>
      <c r="BF15" s="37">
        <f>F15*AM15</f>
        <v>0</v>
      </c>
      <c r="BG15" s="37">
        <f>F15*AN15</f>
        <v>0</v>
      </c>
      <c r="BH15" s="37">
        <f>F15*G15</f>
        <v>0</v>
      </c>
    </row>
    <row r="16" spans="1:11" ht="12.75">
      <c r="A16" s="39"/>
      <c r="B16" s="40"/>
      <c r="C16" s="40"/>
      <c r="D16" s="41" t="s">
        <v>103</v>
      </c>
      <c r="E16" s="40"/>
      <c r="F16" s="42">
        <v>2751.424</v>
      </c>
      <c r="G16" s="40"/>
      <c r="H16" s="40"/>
      <c r="I16" s="43"/>
      <c r="J16" s="43"/>
      <c r="K16" s="40"/>
    </row>
    <row r="17" spans="1:11" ht="12.75">
      <c r="A17" s="39"/>
      <c r="B17" s="40"/>
      <c r="C17" s="40"/>
      <c r="D17" s="41" t="s">
        <v>104</v>
      </c>
      <c r="E17" s="40"/>
      <c r="F17" s="42">
        <v>6.76</v>
      </c>
      <c r="G17" s="40"/>
      <c r="H17" s="40"/>
      <c r="I17" s="43"/>
      <c r="J17" s="43"/>
      <c r="K17" s="40"/>
    </row>
    <row r="18" spans="1:60" ht="12.75">
      <c r="A18" s="16" t="s">
        <v>105</v>
      </c>
      <c r="B18" s="16"/>
      <c r="C18" s="16" t="s">
        <v>106</v>
      </c>
      <c r="D18" s="32" t="s">
        <v>107</v>
      </c>
      <c r="E18" s="16" t="s">
        <v>108</v>
      </c>
      <c r="F18" s="33">
        <v>90</v>
      </c>
      <c r="G18" s="422"/>
      <c r="H18" s="34">
        <f>F18*G18</f>
        <v>0</v>
      </c>
      <c r="I18" s="35">
        <v>0</v>
      </c>
      <c r="J18" s="35">
        <f>F18*I18</f>
        <v>0</v>
      </c>
      <c r="K18" s="36" t="s">
        <v>94</v>
      </c>
      <c r="X18" s="37">
        <f>IF(AO18="5",BH18,0)</f>
        <v>0</v>
      </c>
      <c r="Z18" s="37">
        <f>IF(AO18="1",BF18,0)</f>
        <v>0</v>
      </c>
      <c r="AA18" s="37">
        <f>IF(AO18="1",BG18,0)</f>
        <v>0</v>
      </c>
      <c r="AB18" s="37">
        <f>IF(AO18="7",BF18,0)</f>
        <v>0</v>
      </c>
      <c r="AC18" s="37">
        <f>IF(AO18="7",BG18,0)</f>
        <v>0</v>
      </c>
      <c r="AD18" s="37">
        <f>IF(AO18="2",BF18,0)</f>
        <v>0</v>
      </c>
      <c r="AE18" s="37">
        <f>IF(AO18="2",BG18,0)</f>
        <v>0</v>
      </c>
      <c r="AF18" s="37">
        <f>IF(AO18="0",BH18,0)</f>
        <v>0</v>
      </c>
      <c r="AG18" s="23"/>
      <c r="AH18" s="37">
        <f>IF(AL18=0,H18,0)</f>
        <v>0</v>
      </c>
      <c r="AI18" s="37">
        <f>IF(AL18=15,H18,0)</f>
        <v>0</v>
      </c>
      <c r="AJ18" s="37">
        <f>IF(AL18=21,H18,0)</f>
        <v>0</v>
      </c>
      <c r="AL18" s="37">
        <v>21</v>
      </c>
      <c r="AM18" s="37">
        <f>G18*0</f>
        <v>0</v>
      </c>
      <c r="AN18" s="37">
        <f>G18*(1-0)</f>
        <v>0</v>
      </c>
      <c r="AO18" s="38" t="s">
        <v>90</v>
      </c>
      <c r="AT18" s="37">
        <f>AU18+AV18</f>
        <v>0</v>
      </c>
      <c r="AU18" s="37">
        <f>F18*AM18</f>
        <v>0</v>
      </c>
      <c r="AV18" s="37">
        <f>F18*AN18</f>
        <v>0</v>
      </c>
      <c r="AW18" s="38" t="s">
        <v>95</v>
      </c>
      <c r="AX18" s="38" t="s">
        <v>96</v>
      </c>
      <c r="AY18" s="23" t="s">
        <v>97</v>
      </c>
      <c r="BA18" s="37">
        <f>AU18+AV18</f>
        <v>0</v>
      </c>
      <c r="BB18" s="37">
        <f>G18/(100-BC18)*100</f>
        <v>0</v>
      </c>
      <c r="BC18" s="37">
        <v>0</v>
      </c>
      <c r="BD18" s="37">
        <f>J18</f>
        <v>0</v>
      </c>
      <c r="BF18" s="37">
        <f>F18*AM18</f>
        <v>0</v>
      </c>
      <c r="BG18" s="37">
        <f>F18*AN18</f>
        <v>0</v>
      </c>
      <c r="BH18" s="37">
        <f>F18*G18</f>
        <v>0</v>
      </c>
    </row>
    <row r="19" spans="1:11" ht="12.75">
      <c r="A19" s="39"/>
      <c r="B19" s="40"/>
      <c r="C19" s="40"/>
      <c r="D19" s="41" t="s">
        <v>109</v>
      </c>
      <c r="E19" s="40"/>
      <c r="F19" s="42">
        <v>90</v>
      </c>
      <c r="G19" s="40"/>
      <c r="H19" s="40"/>
      <c r="I19" s="43"/>
      <c r="J19" s="43"/>
      <c r="K19" s="40"/>
    </row>
    <row r="20" spans="1:45" ht="12.75">
      <c r="A20" s="24"/>
      <c r="B20" s="25"/>
      <c r="C20" s="25" t="s">
        <v>110</v>
      </c>
      <c r="D20" s="26" t="s">
        <v>111</v>
      </c>
      <c r="E20" s="24" t="s">
        <v>54</v>
      </c>
      <c r="F20" s="24" t="s">
        <v>54</v>
      </c>
      <c r="G20" s="24" t="s">
        <v>54</v>
      </c>
      <c r="H20" s="27">
        <f>SUM(H21:H42)</f>
        <v>0</v>
      </c>
      <c r="I20" s="28"/>
      <c r="J20" s="28">
        <f>SUM(J21:J42)</f>
        <v>0</v>
      </c>
      <c r="K20" s="29"/>
      <c r="AG20" s="23"/>
      <c r="AQ20" s="31">
        <f>SUM(AH21:AH42)</f>
        <v>0</v>
      </c>
      <c r="AR20" s="31">
        <f>SUM(AI21:AI42)</f>
        <v>0</v>
      </c>
      <c r="AS20" s="31">
        <f>SUM(AJ21:AJ42)</f>
        <v>0</v>
      </c>
    </row>
    <row r="21" spans="1:60" ht="12.75">
      <c r="A21" s="16" t="s">
        <v>112</v>
      </c>
      <c r="B21" s="16"/>
      <c r="C21" s="16" t="s">
        <v>113</v>
      </c>
      <c r="D21" s="32" t="s">
        <v>114</v>
      </c>
      <c r="E21" s="16" t="s">
        <v>102</v>
      </c>
      <c r="F21" s="33">
        <v>2618.979</v>
      </c>
      <c r="G21" s="422"/>
      <c r="H21" s="34">
        <f>F21*G21</f>
        <v>0</v>
      </c>
      <c r="I21" s="35">
        <v>0</v>
      </c>
      <c r="J21" s="35">
        <f>F21*I21</f>
        <v>0</v>
      </c>
      <c r="K21" s="36" t="s">
        <v>94</v>
      </c>
      <c r="X21" s="37">
        <f>IF(AO21="5",BH21,0)</f>
        <v>0</v>
      </c>
      <c r="Z21" s="37">
        <f>IF(AO21="1",BF21,0)</f>
        <v>0</v>
      </c>
      <c r="AA21" s="37">
        <f>IF(AO21="1",BG21,0)</f>
        <v>0</v>
      </c>
      <c r="AB21" s="37">
        <f>IF(AO21="7",BF21,0)</f>
        <v>0</v>
      </c>
      <c r="AC21" s="37">
        <f>IF(AO21="7",BG21,0)</f>
        <v>0</v>
      </c>
      <c r="AD21" s="37">
        <f>IF(AO21="2",BF21,0)</f>
        <v>0</v>
      </c>
      <c r="AE21" s="37">
        <f>IF(AO21="2",BG21,0)</f>
        <v>0</v>
      </c>
      <c r="AF21" s="37">
        <f>IF(AO21="0",BH21,0)</f>
        <v>0</v>
      </c>
      <c r="AG21" s="23"/>
      <c r="AH21" s="37">
        <f>IF(AL21=0,H21,0)</f>
        <v>0</v>
      </c>
      <c r="AI21" s="37">
        <f>IF(AL21=15,H21,0)</f>
        <v>0</v>
      </c>
      <c r="AJ21" s="37">
        <f>IF(AL21=21,H21,0)</f>
        <v>0</v>
      </c>
      <c r="AL21" s="37">
        <v>21</v>
      </c>
      <c r="AM21" s="37">
        <f>G21*0</f>
        <v>0</v>
      </c>
      <c r="AN21" s="37">
        <f>G21*(1-0)</f>
        <v>0</v>
      </c>
      <c r="AO21" s="38" t="s">
        <v>90</v>
      </c>
      <c r="AT21" s="37">
        <f>AU21+AV21</f>
        <v>0</v>
      </c>
      <c r="AU21" s="37">
        <f>F21*AM21</f>
        <v>0</v>
      </c>
      <c r="AV21" s="37">
        <f>F21*AN21</f>
        <v>0</v>
      </c>
      <c r="AW21" s="38" t="s">
        <v>115</v>
      </c>
      <c r="AX21" s="38" t="s">
        <v>96</v>
      </c>
      <c r="AY21" s="23" t="s">
        <v>97</v>
      </c>
      <c r="BA21" s="37">
        <f>AU21+AV21</f>
        <v>0</v>
      </c>
      <c r="BB21" s="37">
        <f>G21/(100-BC21)*100</f>
        <v>0</v>
      </c>
      <c r="BC21" s="37">
        <v>0</v>
      </c>
      <c r="BD21" s="37">
        <f>J21</f>
        <v>0</v>
      </c>
      <c r="BF21" s="37">
        <f>F21*AM21</f>
        <v>0</v>
      </c>
      <c r="BG21" s="37">
        <f>F21*AN21</f>
        <v>0</v>
      </c>
      <c r="BH21" s="37">
        <f>F21*G21</f>
        <v>0</v>
      </c>
    </row>
    <row r="22" spans="1:11" ht="12.75">
      <c r="A22" s="39"/>
      <c r="B22" s="40"/>
      <c r="C22" s="40"/>
      <c r="D22" s="41" t="s">
        <v>116</v>
      </c>
      <c r="E22" s="40"/>
      <c r="F22" s="42">
        <v>2612.557</v>
      </c>
      <c r="G22" s="40"/>
      <c r="H22" s="40"/>
      <c r="I22" s="43"/>
      <c r="J22" s="43"/>
      <c r="K22" s="40"/>
    </row>
    <row r="23" spans="1:11" ht="12.75">
      <c r="A23" s="39"/>
      <c r="B23" s="40"/>
      <c r="C23" s="40"/>
      <c r="D23" s="41" t="s">
        <v>117</v>
      </c>
      <c r="E23" s="40"/>
      <c r="F23" s="42">
        <v>6.422</v>
      </c>
      <c r="G23" s="40"/>
      <c r="H23" s="40"/>
      <c r="I23" s="43"/>
      <c r="J23" s="43"/>
      <c r="K23" s="40"/>
    </row>
    <row r="24" spans="1:60" ht="12.75">
      <c r="A24" s="16" t="s">
        <v>118</v>
      </c>
      <c r="B24" s="16"/>
      <c r="C24" s="16" t="s">
        <v>119</v>
      </c>
      <c r="D24" s="32" t="s">
        <v>120</v>
      </c>
      <c r="E24" s="16" t="s">
        <v>102</v>
      </c>
      <c r="F24" s="33">
        <v>68.613</v>
      </c>
      <c r="G24" s="422"/>
      <c r="H24" s="34">
        <f>F24*G24</f>
        <v>0</v>
      </c>
      <c r="I24" s="35">
        <v>0</v>
      </c>
      <c r="J24" s="35">
        <f>F24*I24</f>
        <v>0</v>
      </c>
      <c r="K24" s="36" t="s">
        <v>94</v>
      </c>
      <c r="X24" s="37">
        <f>IF(AO24="5",BH24,0)</f>
        <v>0</v>
      </c>
      <c r="Z24" s="37">
        <f>IF(AO24="1",BF24,0)</f>
        <v>0</v>
      </c>
      <c r="AA24" s="37">
        <f>IF(AO24="1",BG24,0)</f>
        <v>0</v>
      </c>
      <c r="AB24" s="37">
        <f>IF(AO24="7",BF24,0)</f>
        <v>0</v>
      </c>
      <c r="AC24" s="37">
        <f>IF(AO24="7",BG24,0)</f>
        <v>0</v>
      </c>
      <c r="AD24" s="37">
        <f>IF(AO24="2",BF24,0)</f>
        <v>0</v>
      </c>
      <c r="AE24" s="37">
        <f>IF(AO24="2",BG24,0)</f>
        <v>0</v>
      </c>
      <c r="AF24" s="37">
        <f>IF(AO24="0",BH24,0)</f>
        <v>0</v>
      </c>
      <c r="AG24" s="23"/>
      <c r="AH24" s="37">
        <f>IF(AL24=0,H24,0)</f>
        <v>0</v>
      </c>
      <c r="AI24" s="37">
        <f>IF(AL24=15,H24,0)</f>
        <v>0</v>
      </c>
      <c r="AJ24" s="37">
        <f>IF(AL24=21,H24,0)</f>
        <v>0</v>
      </c>
      <c r="AL24" s="37">
        <v>21</v>
      </c>
      <c r="AM24" s="37">
        <f>G24*0</f>
        <v>0</v>
      </c>
      <c r="AN24" s="37">
        <f>G24*(1-0)</f>
        <v>0</v>
      </c>
      <c r="AO24" s="38" t="s">
        <v>90</v>
      </c>
      <c r="AT24" s="37">
        <f>AU24+AV24</f>
        <v>0</v>
      </c>
      <c r="AU24" s="37">
        <f>F24*AM24</f>
        <v>0</v>
      </c>
      <c r="AV24" s="37">
        <f>F24*AN24</f>
        <v>0</v>
      </c>
      <c r="AW24" s="38" t="s">
        <v>115</v>
      </c>
      <c r="AX24" s="38" t="s">
        <v>96</v>
      </c>
      <c r="AY24" s="23" t="s">
        <v>97</v>
      </c>
      <c r="BA24" s="37">
        <f>AU24+AV24</f>
        <v>0</v>
      </c>
      <c r="BB24" s="37">
        <f>G24/(100-BC24)*100</f>
        <v>0</v>
      </c>
      <c r="BC24" s="37">
        <v>0</v>
      </c>
      <c r="BD24" s="37">
        <f>J24</f>
        <v>0</v>
      </c>
      <c r="BF24" s="37">
        <f>F24*AM24</f>
        <v>0</v>
      </c>
      <c r="BG24" s="37">
        <f>F24*AN24</f>
        <v>0</v>
      </c>
      <c r="BH24" s="37">
        <f>F24*G24</f>
        <v>0</v>
      </c>
    </row>
    <row r="25" spans="1:11" ht="12.75">
      <c r="A25" s="39"/>
      <c r="B25" s="40"/>
      <c r="C25" s="40"/>
      <c r="D25" s="41" t="s">
        <v>121</v>
      </c>
      <c r="E25" s="40"/>
      <c r="F25" s="42">
        <v>8.465</v>
      </c>
      <c r="G25" s="40"/>
      <c r="H25" s="40"/>
      <c r="I25" s="43"/>
      <c r="J25" s="43"/>
      <c r="K25" s="40"/>
    </row>
    <row r="26" spans="1:11" ht="12.75">
      <c r="A26" s="39"/>
      <c r="B26" s="40"/>
      <c r="C26" s="40"/>
      <c r="D26" s="41" t="s">
        <v>122</v>
      </c>
      <c r="E26" s="40"/>
      <c r="F26" s="42">
        <v>50.95</v>
      </c>
      <c r="G26" s="40"/>
      <c r="H26" s="40"/>
      <c r="I26" s="43"/>
      <c r="J26" s="43"/>
      <c r="K26" s="40"/>
    </row>
    <row r="27" spans="1:11" ht="12.75">
      <c r="A27" s="39"/>
      <c r="B27" s="40"/>
      <c r="C27" s="40"/>
      <c r="D27" s="41" t="s">
        <v>123</v>
      </c>
      <c r="E27" s="40"/>
      <c r="F27" s="42">
        <v>4.699</v>
      </c>
      <c r="G27" s="40"/>
      <c r="H27" s="40"/>
      <c r="I27" s="43"/>
      <c r="J27" s="43"/>
      <c r="K27" s="40"/>
    </row>
    <row r="28" spans="1:11" ht="12.75">
      <c r="A28" s="39"/>
      <c r="B28" s="40"/>
      <c r="C28" s="40"/>
      <c r="D28" s="41" t="s">
        <v>124</v>
      </c>
      <c r="E28" s="40"/>
      <c r="F28" s="42">
        <v>1.969</v>
      </c>
      <c r="G28" s="40"/>
      <c r="H28" s="40"/>
      <c r="I28" s="43"/>
      <c r="J28" s="43"/>
      <c r="K28" s="40"/>
    </row>
    <row r="29" spans="1:11" ht="12.75">
      <c r="A29" s="39"/>
      <c r="B29" s="40"/>
      <c r="C29" s="40"/>
      <c r="D29" s="41" t="s">
        <v>125</v>
      </c>
      <c r="E29" s="40"/>
      <c r="F29" s="42">
        <v>1.773</v>
      </c>
      <c r="G29" s="40"/>
      <c r="H29" s="40"/>
      <c r="I29" s="43"/>
      <c r="J29" s="43"/>
      <c r="K29" s="40"/>
    </row>
    <row r="30" spans="1:11" ht="12.75">
      <c r="A30" s="39"/>
      <c r="B30" s="40"/>
      <c r="C30" s="40"/>
      <c r="D30" s="41" t="s">
        <v>126</v>
      </c>
      <c r="E30" s="40"/>
      <c r="F30" s="42">
        <v>0.757</v>
      </c>
      <c r="G30" s="40"/>
      <c r="H30" s="40"/>
      <c r="I30" s="43"/>
      <c r="J30" s="43"/>
      <c r="K30" s="40"/>
    </row>
    <row r="31" spans="1:60" ht="12.75">
      <c r="A31" s="16" t="s">
        <v>127</v>
      </c>
      <c r="B31" s="16"/>
      <c r="C31" s="16" t="s">
        <v>128</v>
      </c>
      <c r="D31" s="32" t="s">
        <v>129</v>
      </c>
      <c r="E31" s="16" t="s">
        <v>102</v>
      </c>
      <c r="F31" s="33">
        <v>196.223</v>
      </c>
      <c r="G31" s="422"/>
      <c r="H31" s="34">
        <f>F31*G31</f>
        <v>0</v>
      </c>
      <c r="I31" s="35">
        <v>0</v>
      </c>
      <c r="J31" s="35">
        <f>F31*I31</f>
        <v>0</v>
      </c>
      <c r="K31" s="36" t="s">
        <v>94</v>
      </c>
      <c r="X31" s="37">
        <f>IF(AO31="5",BH31,0)</f>
        <v>0</v>
      </c>
      <c r="Z31" s="37">
        <f>IF(AO31="1",BF31,0)</f>
        <v>0</v>
      </c>
      <c r="AA31" s="37">
        <f>IF(AO31="1",BG31,0)</f>
        <v>0</v>
      </c>
      <c r="AB31" s="37">
        <f>IF(AO31="7",BF31,0)</f>
        <v>0</v>
      </c>
      <c r="AC31" s="37">
        <f>IF(AO31="7",BG31,0)</f>
        <v>0</v>
      </c>
      <c r="AD31" s="37">
        <f>IF(AO31="2",BF31,0)</f>
        <v>0</v>
      </c>
      <c r="AE31" s="37">
        <f>IF(AO31="2",BG31,0)</f>
        <v>0</v>
      </c>
      <c r="AF31" s="37">
        <f>IF(AO31="0",BH31,0)</f>
        <v>0</v>
      </c>
      <c r="AG31" s="23"/>
      <c r="AH31" s="37">
        <f>IF(AL31=0,H31,0)</f>
        <v>0</v>
      </c>
      <c r="AI31" s="37">
        <f>IF(AL31=15,H31,0)</f>
        <v>0</v>
      </c>
      <c r="AJ31" s="37">
        <f>IF(AL31=21,H31,0)</f>
        <v>0</v>
      </c>
      <c r="AL31" s="37">
        <v>21</v>
      </c>
      <c r="AM31" s="37">
        <f>G31*0</f>
        <v>0</v>
      </c>
      <c r="AN31" s="37">
        <f>G31*(1-0)</f>
        <v>0</v>
      </c>
      <c r="AO31" s="38" t="s">
        <v>90</v>
      </c>
      <c r="AT31" s="37">
        <f>AU31+AV31</f>
        <v>0</v>
      </c>
      <c r="AU31" s="37">
        <f>F31*AM31</f>
        <v>0</v>
      </c>
      <c r="AV31" s="37">
        <f>F31*AN31</f>
        <v>0</v>
      </c>
      <c r="AW31" s="38" t="s">
        <v>115</v>
      </c>
      <c r="AX31" s="38" t="s">
        <v>96</v>
      </c>
      <c r="AY31" s="23" t="s">
        <v>97</v>
      </c>
      <c r="BA31" s="37">
        <f>AU31+AV31</f>
        <v>0</v>
      </c>
      <c r="BB31" s="37">
        <f>G31/(100-BC31)*100</f>
        <v>0</v>
      </c>
      <c r="BC31" s="37">
        <v>0</v>
      </c>
      <c r="BD31" s="37">
        <f>J31</f>
        <v>0</v>
      </c>
      <c r="BF31" s="37">
        <f>F31*AM31</f>
        <v>0</v>
      </c>
      <c r="BG31" s="37">
        <f>F31*AN31</f>
        <v>0</v>
      </c>
      <c r="BH31" s="37">
        <f>F31*G31</f>
        <v>0</v>
      </c>
    </row>
    <row r="32" spans="1:11" ht="12.75">
      <c r="A32" s="39"/>
      <c r="B32" s="40"/>
      <c r="C32" s="40"/>
      <c r="D32" s="41" t="s">
        <v>130</v>
      </c>
      <c r="E32" s="40"/>
      <c r="F32" s="42">
        <v>8.91</v>
      </c>
      <c r="G32" s="40"/>
      <c r="H32" s="40"/>
      <c r="I32" s="43"/>
      <c r="J32" s="43"/>
      <c r="K32" s="40"/>
    </row>
    <row r="33" spans="1:11" ht="12.75">
      <c r="A33" s="39"/>
      <c r="B33" s="40"/>
      <c r="C33" s="40"/>
      <c r="D33" s="41" t="s">
        <v>131</v>
      </c>
      <c r="E33" s="40"/>
      <c r="F33" s="42">
        <v>53.632</v>
      </c>
      <c r="G33" s="40"/>
      <c r="H33" s="40"/>
      <c r="I33" s="43"/>
      <c r="J33" s="43"/>
      <c r="K33" s="40"/>
    </row>
    <row r="34" spans="1:11" ht="12.75">
      <c r="A34" s="39"/>
      <c r="B34" s="40"/>
      <c r="C34" s="40"/>
      <c r="D34" s="41" t="s">
        <v>132</v>
      </c>
      <c r="E34" s="40"/>
      <c r="F34" s="42">
        <v>4.946</v>
      </c>
      <c r="G34" s="40"/>
      <c r="H34" s="40"/>
      <c r="I34" s="43"/>
      <c r="J34" s="43"/>
      <c r="K34" s="40"/>
    </row>
    <row r="35" spans="1:11" ht="12.75">
      <c r="A35" s="39"/>
      <c r="B35" s="40"/>
      <c r="C35" s="40"/>
      <c r="D35" s="41" t="s">
        <v>133</v>
      </c>
      <c r="E35" s="40"/>
      <c r="F35" s="42">
        <v>2.072</v>
      </c>
      <c r="G35" s="40"/>
      <c r="H35" s="40"/>
      <c r="I35" s="43"/>
      <c r="J35" s="43"/>
      <c r="K35" s="40"/>
    </row>
    <row r="36" spans="1:11" ht="12.75">
      <c r="A36" s="39"/>
      <c r="B36" s="40"/>
      <c r="C36" s="40"/>
      <c r="D36" s="41" t="s">
        <v>134</v>
      </c>
      <c r="E36" s="40"/>
      <c r="F36" s="42">
        <v>1.866</v>
      </c>
      <c r="G36" s="40"/>
      <c r="H36" s="40"/>
      <c r="I36" s="43"/>
      <c r="J36" s="43"/>
      <c r="K36" s="40"/>
    </row>
    <row r="37" spans="1:11" ht="12.75">
      <c r="A37" s="39"/>
      <c r="B37" s="40"/>
      <c r="C37" s="40"/>
      <c r="D37" s="41" t="s">
        <v>135</v>
      </c>
      <c r="E37" s="40"/>
      <c r="F37" s="42">
        <v>124.797</v>
      </c>
      <c r="G37" s="40"/>
      <c r="H37" s="40"/>
      <c r="I37" s="43"/>
      <c r="J37" s="43"/>
      <c r="K37" s="40"/>
    </row>
    <row r="38" spans="1:60" ht="12.75">
      <c r="A38" s="16" t="s">
        <v>136</v>
      </c>
      <c r="B38" s="16"/>
      <c r="C38" s="16" t="s">
        <v>137</v>
      </c>
      <c r="D38" s="32" t="s">
        <v>138</v>
      </c>
      <c r="E38" s="16" t="s">
        <v>102</v>
      </c>
      <c r="F38" s="33">
        <v>3.973</v>
      </c>
      <c r="G38" s="422"/>
      <c r="H38" s="34">
        <f>F38*G38</f>
        <v>0</v>
      </c>
      <c r="I38" s="35">
        <v>0</v>
      </c>
      <c r="J38" s="35">
        <f>F38*I38</f>
        <v>0</v>
      </c>
      <c r="K38" s="36" t="s">
        <v>94</v>
      </c>
      <c r="X38" s="37">
        <f>IF(AO38="5",BH38,0)</f>
        <v>0</v>
      </c>
      <c r="Z38" s="37">
        <f>IF(AO38="1",BF38,0)</f>
        <v>0</v>
      </c>
      <c r="AA38" s="37">
        <f>IF(AO38="1",BG38,0)</f>
        <v>0</v>
      </c>
      <c r="AB38" s="37">
        <f>IF(AO38="7",BF38,0)</f>
        <v>0</v>
      </c>
      <c r="AC38" s="37">
        <f>IF(AO38="7",BG38,0)</f>
        <v>0</v>
      </c>
      <c r="AD38" s="37">
        <f>IF(AO38="2",BF38,0)</f>
        <v>0</v>
      </c>
      <c r="AE38" s="37">
        <f>IF(AO38="2",BG38,0)</f>
        <v>0</v>
      </c>
      <c r="AF38" s="37">
        <f>IF(AO38="0",BH38,0)</f>
        <v>0</v>
      </c>
      <c r="AG38" s="23"/>
      <c r="AH38" s="37">
        <f>IF(AL38=0,H38,0)</f>
        <v>0</v>
      </c>
      <c r="AI38" s="37">
        <f>IF(AL38=15,H38,0)</f>
        <v>0</v>
      </c>
      <c r="AJ38" s="37">
        <f>IF(AL38=21,H38,0)</f>
        <v>0</v>
      </c>
      <c r="AL38" s="37">
        <v>21</v>
      </c>
      <c r="AM38" s="37">
        <f>G38*0</f>
        <v>0</v>
      </c>
      <c r="AN38" s="37">
        <f>G38*(1-0)</f>
        <v>0</v>
      </c>
      <c r="AO38" s="38" t="s">
        <v>90</v>
      </c>
      <c r="AT38" s="37">
        <f>AU38+AV38</f>
        <v>0</v>
      </c>
      <c r="AU38" s="37">
        <f>F38*AM38</f>
        <v>0</v>
      </c>
      <c r="AV38" s="37">
        <f>F38*AN38</f>
        <v>0</v>
      </c>
      <c r="AW38" s="38" t="s">
        <v>115</v>
      </c>
      <c r="AX38" s="38" t="s">
        <v>96</v>
      </c>
      <c r="AY38" s="23" t="s">
        <v>97</v>
      </c>
      <c r="BA38" s="37">
        <f>AU38+AV38</f>
        <v>0</v>
      </c>
      <c r="BB38" s="37">
        <f>G38/(100-BC38)*100</f>
        <v>0</v>
      </c>
      <c r="BC38" s="37">
        <v>0</v>
      </c>
      <c r="BD38" s="37">
        <f>J38</f>
        <v>0</v>
      </c>
      <c r="BF38" s="37">
        <f>F38*AM38</f>
        <v>0</v>
      </c>
      <c r="BG38" s="37">
        <f>F38*AN38</f>
        <v>0</v>
      </c>
      <c r="BH38" s="37">
        <f>F38*G38</f>
        <v>0</v>
      </c>
    </row>
    <row r="39" spans="1:11" ht="12.75">
      <c r="A39" s="39"/>
      <c r="B39" s="40"/>
      <c r="C39" s="40"/>
      <c r="D39" s="41" t="s">
        <v>139</v>
      </c>
      <c r="E39" s="40"/>
      <c r="F39" s="42">
        <v>3.973</v>
      </c>
      <c r="G39" s="40"/>
      <c r="H39" s="40"/>
      <c r="I39" s="43"/>
      <c r="J39" s="43"/>
      <c r="K39" s="40"/>
    </row>
    <row r="40" spans="1:60" ht="12.75">
      <c r="A40" s="16" t="s">
        <v>140</v>
      </c>
      <c r="B40" s="16"/>
      <c r="C40" s="16" t="s">
        <v>141</v>
      </c>
      <c r="D40" s="32" t="s">
        <v>142</v>
      </c>
      <c r="E40" s="16" t="s">
        <v>102</v>
      </c>
      <c r="F40" s="33">
        <v>4.182</v>
      </c>
      <c r="G40" s="422"/>
      <c r="H40" s="34">
        <f>F40*G40</f>
        <v>0</v>
      </c>
      <c r="I40" s="35">
        <v>0</v>
      </c>
      <c r="J40" s="35">
        <f>F40*I40</f>
        <v>0</v>
      </c>
      <c r="K40" s="36" t="s">
        <v>94</v>
      </c>
      <c r="X40" s="37">
        <f>IF(AO40="5",BH40,0)</f>
        <v>0</v>
      </c>
      <c r="Z40" s="37">
        <f>IF(AO40="1",BF40,0)</f>
        <v>0</v>
      </c>
      <c r="AA40" s="37">
        <f>IF(AO40="1",BG40,0)</f>
        <v>0</v>
      </c>
      <c r="AB40" s="37">
        <f>IF(AO40="7",BF40,0)</f>
        <v>0</v>
      </c>
      <c r="AC40" s="37">
        <f>IF(AO40="7",BG40,0)</f>
        <v>0</v>
      </c>
      <c r="AD40" s="37">
        <f>IF(AO40="2",BF40,0)</f>
        <v>0</v>
      </c>
      <c r="AE40" s="37">
        <f>IF(AO40="2",BG40,0)</f>
        <v>0</v>
      </c>
      <c r="AF40" s="37">
        <f>IF(AO40="0",BH40,0)</f>
        <v>0</v>
      </c>
      <c r="AG40" s="23"/>
      <c r="AH40" s="37">
        <f>IF(AL40=0,H40,0)</f>
        <v>0</v>
      </c>
      <c r="AI40" s="37">
        <f>IF(AL40=15,H40,0)</f>
        <v>0</v>
      </c>
      <c r="AJ40" s="37">
        <f>IF(AL40=21,H40,0)</f>
        <v>0</v>
      </c>
      <c r="AL40" s="37">
        <v>21</v>
      </c>
      <c r="AM40" s="37">
        <f>G40*0</f>
        <v>0</v>
      </c>
      <c r="AN40" s="37">
        <f>G40*(1-0)</f>
        <v>0</v>
      </c>
      <c r="AO40" s="38" t="s">
        <v>90</v>
      </c>
      <c r="AT40" s="37">
        <f>AU40+AV40</f>
        <v>0</v>
      </c>
      <c r="AU40" s="37">
        <f>F40*AM40</f>
        <v>0</v>
      </c>
      <c r="AV40" s="37">
        <f>F40*AN40</f>
        <v>0</v>
      </c>
      <c r="AW40" s="38" t="s">
        <v>115</v>
      </c>
      <c r="AX40" s="38" t="s">
        <v>96</v>
      </c>
      <c r="AY40" s="23" t="s">
        <v>97</v>
      </c>
      <c r="BA40" s="37">
        <f>AU40+AV40</f>
        <v>0</v>
      </c>
      <c r="BB40" s="37">
        <f>G40/(100-BC40)*100</f>
        <v>0</v>
      </c>
      <c r="BC40" s="37">
        <v>0</v>
      </c>
      <c r="BD40" s="37">
        <f>J40</f>
        <v>0</v>
      </c>
      <c r="BF40" s="37">
        <f>F40*AM40</f>
        <v>0</v>
      </c>
      <c r="BG40" s="37">
        <f>F40*AN40</f>
        <v>0</v>
      </c>
      <c r="BH40" s="37">
        <f>F40*G40</f>
        <v>0</v>
      </c>
    </row>
    <row r="41" spans="1:11" ht="12.75">
      <c r="A41" s="39"/>
      <c r="B41" s="40"/>
      <c r="C41" s="40"/>
      <c r="D41" s="41" t="s">
        <v>143</v>
      </c>
      <c r="E41" s="40"/>
      <c r="F41" s="42">
        <v>4.182</v>
      </c>
      <c r="G41" s="40"/>
      <c r="H41" s="40"/>
      <c r="I41" s="43"/>
      <c r="J41" s="43"/>
      <c r="K41" s="40"/>
    </row>
    <row r="42" spans="1:60" ht="12.75">
      <c r="A42" s="16" t="s">
        <v>144</v>
      </c>
      <c r="B42" s="16"/>
      <c r="C42" s="16" t="s">
        <v>145</v>
      </c>
      <c r="D42" s="32" t="s">
        <v>146</v>
      </c>
      <c r="E42" s="16" t="s">
        <v>102</v>
      </c>
      <c r="F42" s="33">
        <v>265.662</v>
      </c>
      <c r="G42" s="422"/>
      <c r="H42" s="34">
        <f>F42*G42</f>
        <v>0</v>
      </c>
      <c r="I42" s="35">
        <v>0</v>
      </c>
      <c r="J42" s="35">
        <f>F42*I42</f>
        <v>0</v>
      </c>
      <c r="K42" s="36" t="s">
        <v>94</v>
      </c>
      <c r="N42" t="s">
        <v>2524</v>
      </c>
      <c r="X42" s="37">
        <f>IF(AO42="5",BH42,0)</f>
        <v>0</v>
      </c>
      <c r="Z42" s="37">
        <f>IF(AO42="1",BF42,0)</f>
        <v>0</v>
      </c>
      <c r="AA42" s="37">
        <f>IF(AO42="1",BG42,0)</f>
        <v>0</v>
      </c>
      <c r="AB42" s="37">
        <f>IF(AO42="7",BF42,0)</f>
        <v>0</v>
      </c>
      <c r="AC42" s="37">
        <f>IF(AO42="7",BG42,0)</f>
        <v>0</v>
      </c>
      <c r="AD42" s="37">
        <f>IF(AO42="2",BF42,0)</f>
        <v>0</v>
      </c>
      <c r="AE42" s="37">
        <f>IF(AO42="2",BG42,0)</f>
        <v>0</v>
      </c>
      <c r="AF42" s="37">
        <f>IF(AO42="0",BH42,0)</f>
        <v>0</v>
      </c>
      <c r="AG42" s="23"/>
      <c r="AH42" s="37">
        <f>IF(AL42=0,H42,0)</f>
        <v>0</v>
      </c>
      <c r="AI42" s="37">
        <f>IF(AL42=15,H42,0)</f>
        <v>0</v>
      </c>
      <c r="AJ42" s="37">
        <f>IF(AL42=21,H42,0)</f>
        <v>0</v>
      </c>
      <c r="AL42" s="37">
        <v>21</v>
      </c>
      <c r="AM42" s="37">
        <f>G42*0</f>
        <v>0</v>
      </c>
      <c r="AN42" s="37">
        <f>G42*(1-0)</f>
        <v>0</v>
      </c>
      <c r="AO42" s="38" t="s">
        <v>90</v>
      </c>
      <c r="AT42" s="37">
        <f>AU42+AV42</f>
        <v>0</v>
      </c>
      <c r="AU42" s="37">
        <f>F42*AM42</f>
        <v>0</v>
      </c>
      <c r="AV42" s="37">
        <f>F42*AN42</f>
        <v>0</v>
      </c>
      <c r="AW42" s="38" t="s">
        <v>115</v>
      </c>
      <c r="AX42" s="38" t="s">
        <v>96</v>
      </c>
      <c r="AY42" s="23" t="s">
        <v>97</v>
      </c>
      <c r="BA42" s="37">
        <f>AU42+AV42</f>
        <v>0</v>
      </c>
      <c r="BB42" s="37">
        <f>G42/(100-BC42)*100</f>
        <v>0</v>
      </c>
      <c r="BC42" s="37">
        <v>0</v>
      </c>
      <c r="BD42" s="37">
        <f>J42</f>
        <v>0</v>
      </c>
      <c r="BF42" s="37">
        <f>F42*AM42</f>
        <v>0</v>
      </c>
      <c r="BG42" s="37">
        <f>F42*AN42</f>
        <v>0</v>
      </c>
      <c r="BH42" s="37">
        <f>F42*G42</f>
        <v>0</v>
      </c>
    </row>
    <row r="43" spans="1:11" ht="25.5">
      <c r="A43" s="39"/>
      <c r="B43" s="40"/>
      <c r="C43" s="40"/>
      <c r="D43" s="41" t="s">
        <v>147</v>
      </c>
      <c r="E43" s="40"/>
      <c r="F43" s="42">
        <v>137.503</v>
      </c>
      <c r="G43" s="40"/>
      <c r="H43" s="40"/>
      <c r="I43" s="43"/>
      <c r="J43" s="43"/>
      <c r="K43" s="40"/>
    </row>
    <row r="44" spans="1:11" ht="12.75">
      <c r="A44" s="39"/>
      <c r="B44" s="40"/>
      <c r="C44" s="40"/>
      <c r="D44" s="41" t="s">
        <v>148</v>
      </c>
      <c r="E44" s="40"/>
      <c r="F44" s="42">
        <v>0.446</v>
      </c>
      <c r="G44" s="40"/>
      <c r="H44" s="40"/>
      <c r="I44" s="43"/>
      <c r="J44" s="43"/>
      <c r="K44" s="40"/>
    </row>
    <row r="45" spans="1:11" ht="12.75">
      <c r="A45" s="39"/>
      <c r="B45" s="40"/>
      <c r="C45" s="40"/>
      <c r="D45" s="41" t="s">
        <v>149</v>
      </c>
      <c r="E45" s="40"/>
      <c r="F45" s="42">
        <v>2.682</v>
      </c>
      <c r="G45" s="40"/>
      <c r="H45" s="40"/>
      <c r="I45" s="43"/>
      <c r="J45" s="43"/>
      <c r="K45" s="40"/>
    </row>
    <row r="46" spans="1:11" ht="12.75">
      <c r="A46" s="39"/>
      <c r="B46" s="40"/>
      <c r="C46" s="40"/>
      <c r="D46" s="41" t="s">
        <v>150</v>
      </c>
      <c r="E46" s="40"/>
      <c r="F46" s="42">
        <v>0.247</v>
      </c>
      <c r="G46" s="40"/>
      <c r="H46" s="40"/>
      <c r="I46" s="43"/>
      <c r="J46" s="43"/>
      <c r="K46" s="40"/>
    </row>
    <row r="47" spans="1:11" ht="12.75">
      <c r="A47" s="39"/>
      <c r="B47" s="40"/>
      <c r="C47" s="40"/>
      <c r="D47" s="41" t="s">
        <v>151</v>
      </c>
      <c r="E47" s="40"/>
      <c r="F47" s="42">
        <v>0.104</v>
      </c>
      <c r="G47" s="40"/>
      <c r="H47" s="40"/>
      <c r="I47" s="43"/>
      <c r="J47" s="43"/>
      <c r="K47" s="40"/>
    </row>
    <row r="48" spans="1:11" ht="12.75">
      <c r="A48" s="39"/>
      <c r="B48" s="40"/>
      <c r="C48" s="40"/>
      <c r="D48" s="41" t="s">
        <v>152</v>
      </c>
      <c r="E48" s="40"/>
      <c r="F48" s="42">
        <v>0.093</v>
      </c>
      <c r="G48" s="40"/>
      <c r="H48" s="40"/>
      <c r="I48" s="43"/>
      <c r="J48" s="43"/>
      <c r="K48" s="40"/>
    </row>
    <row r="49" spans="1:11" ht="12.75">
      <c r="A49" s="39"/>
      <c r="B49" s="40"/>
      <c r="C49" s="40"/>
      <c r="D49" s="41" t="s">
        <v>153</v>
      </c>
      <c r="E49" s="40"/>
      <c r="F49" s="42">
        <v>0.04</v>
      </c>
      <c r="G49" s="40"/>
      <c r="H49" s="40"/>
      <c r="I49" s="43"/>
      <c r="J49" s="43"/>
      <c r="K49" s="40"/>
    </row>
    <row r="50" spans="1:11" ht="12.75">
      <c r="A50" s="39"/>
      <c r="B50" s="40"/>
      <c r="C50" s="40"/>
      <c r="D50" s="41" t="s">
        <v>154</v>
      </c>
      <c r="E50" s="40"/>
      <c r="F50" s="42">
        <v>0.338</v>
      </c>
      <c r="G50" s="40"/>
      <c r="H50" s="40"/>
      <c r="I50" s="43"/>
      <c r="J50" s="43"/>
      <c r="K50" s="40"/>
    </row>
    <row r="51" spans="1:11" ht="12.75">
      <c r="A51" s="39"/>
      <c r="B51" s="40"/>
      <c r="C51" s="40"/>
      <c r="D51" s="41" t="s">
        <v>155</v>
      </c>
      <c r="E51" s="40"/>
      <c r="F51" s="42">
        <v>0.209</v>
      </c>
      <c r="G51" s="40"/>
      <c r="H51" s="40"/>
      <c r="I51" s="43"/>
      <c r="J51" s="43"/>
      <c r="K51" s="40"/>
    </row>
    <row r="52" spans="1:11" ht="12.75">
      <c r="A52" s="39"/>
      <c r="B52" s="40"/>
      <c r="C52" s="40"/>
      <c r="D52" s="41" t="s">
        <v>156</v>
      </c>
      <c r="E52" s="40"/>
      <c r="F52" s="42">
        <v>124</v>
      </c>
      <c r="G52" s="40"/>
      <c r="H52" s="40"/>
      <c r="I52" s="43"/>
      <c r="J52" s="43"/>
      <c r="K52" s="40"/>
    </row>
    <row r="53" spans="1:45" ht="12.75">
      <c r="A53" s="24"/>
      <c r="B53" s="25"/>
      <c r="C53" s="25" t="s">
        <v>157</v>
      </c>
      <c r="D53" s="26" t="s">
        <v>158</v>
      </c>
      <c r="E53" s="24" t="s">
        <v>54</v>
      </c>
      <c r="F53" s="24" t="s">
        <v>54</v>
      </c>
      <c r="G53" s="24" t="s">
        <v>54</v>
      </c>
      <c r="H53" s="27">
        <f>SUM(H54:H60)</f>
        <v>0</v>
      </c>
      <c r="I53" s="28"/>
      <c r="J53" s="28">
        <f>SUM(J54:J60)</f>
        <v>0</v>
      </c>
      <c r="K53" s="29"/>
      <c r="AG53" s="23"/>
      <c r="AQ53" s="31">
        <f>SUM(AH54:AH60)</f>
        <v>0</v>
      </c>
      <c r="AR53" s="31">
        <f>SUM(AI54:AI60)</f>
        <v>0</v>
      </c>
      <c r="AS53" s="31">
        <f>SUM(AJ54:AJ60)</f>
        <v>0</v>
      </c>
    </row>
    <row r="54" spans="1:60" ht="12.75">
      <c r="A54" s="16" t="s">
        <v>159</v>
      </c>
      <c r="B54" s="16"/>
      <c r="C54" s="16" t="s">
        <v>160</v>
      </c>
      <c r="D54" s="32" t="s">
        <v>161</v>
      </c>
      <c r="E54" s="16" t="s">
        <v>102</v>
      </c>
      <c r="F54" s="33">
        <v>3200.527</v>
      </c>
      <c r="G54" s="422"/>
      <c r="H54" s="34">
        <f>F54*G54</f>
        <v>0</v>
      </c>
      <c r="I54" s="35">
        <v>0</v>
      </c>
      <c r="J54" s="35">
        <f>F54*I54</f>
        <v>0</v>
      </c>
      <c r="K54" s="36" t="s">
        <v>94</v>
      </c>
      <c r="X54" s="37">
        <f>IF(AO54="5",BH54,0)</f>
        <v>0</v>
      </c>
      <c r="Z54" s="37">
        <f>IF(AO54="1",BF54,0)</f>
        <v>0</v>
      </c>
      <c r="AA54" s="37">
        <f>IF(AO54="1",BG54,0)</f>
        <v>0</v>
      </c>
      <c r="AB54" s="37">
        <f>IF(AO54="7",BF54,0)</f>
        <v>0</v>
      </c>
      <c r="AC54" s="37">
        <f>IF(AO54="7",BG54,0)</f>
        <v>0</v>
      </c>
      <c r="AD54" s="37">
        <f>IF(AO54="2",BF54,0)</f>
        <v>0</v>
      </c>
      <c r="AE54" s="37">
        <f>IF(AO54="2",BG54,0)</f>
        <v>0</v>
      </c>
      <c r="AF54" s="37">
        <f>IF(AO54="0",BH54,0)</f>
        <v>0</v>
      </c>
      <c r="AG54" s="23"/>
      <c r="AH54" s="37">
        <f>IF(AL54=0,H54,0)</f>
        <v>0</v>
      </c>
      <c r="AI54" s="37">
        <f>IF(AL54=15,H54,0)</f>
        <v>0</v>
      </c>
      <c r="AJ54" s="37">
        <f>IF(AL54=21,H54,0)</f>
        <v>0</v>
      </c>
      <c r="AL54" s="37">
        <v>21</v>
      </c>
      <c r="AM54" s="37">
        <f>G54*0</f>
        <v>0</v>
      </c>
      <c r="AN54" s="37">
        <f>G54*(1-0)</f>
        <v>0</v>
      </c>
      <c r="AO54" s="38" t="s">
        <v>90</v>
      </c>
      <c r="AT54" s="37">
        <f>AU54+AV54</f>
        <v>0</v>
      </c>
      <c r="AU54" s="37">
        <f>F54*AM54</f>
        <v>0</v>
      </c>
      <c r="AV54" s="37">
        <f>F54*AN54</f>
        <v>0</v>
      </c>
      <c r="AW54" s="38" t="s">
        <v>162</v>
      </c>
      <c r="AX54" s="38" t="s">
        <v>96</v>
      </c>
      <c r="AY54" s="23" t="s">
        <v>97</v>
      </c>
      <c r="BA54" s="37">
        <f>AU54+AV54</f>
        <v>0</v>
      </c>
      <c r="BB54" s="37">
        <f>G54/(100-BC54)*100</f>
        <v>0</v>
      </c>
      <c r="BC54" s="37">
        <v>0</v>
      </c>
      <c r="BD54" s="37">
        <f>J54</f>
        <v>0</v>
      </c>
      <c r="BF54" s="37">
        <f>F54*AM54</f>
        <v>0</v>
      </c>
      <c r="BG54" s="37">
        <f>F54*AN54</f>
        <v>0</v>
      </c>
      <c r="BH54" s="37">
        <f>F54*G54</f>
        <v>0</v>
      </c>
    </row>
    <row r="55" spans="1:11" ht="12.75">
      <c r="A55" s="39"/>
      <c r="B55" s="40"/>
      <c r="C55" s="40"/>
      <c r="D55" s="41" t="s">
        <v>163</v>
      </c>
      <c r="E55" s="40"/>
      <c r="F55" s="42">
        <v>3200.527</v>
      </c>
      <c r="G55" s="40"/>
      <c r="H55" s="40"/>
      <c r="I55" s="43"/>
      <c r="J55" s="43"/>
      <c r="K55" s="40"/>
    </row>
    <row r="56" spans="1:60" ht="12.75">
      <c r="A56" s="16" t="s">
        <v>88</v>
      </c>
      <c r="B56" s="16"/>
      <c r="C56" s="16" t="s">
        <v>164</v>
      </c>
      <c r="D56" s="32" t="s">
        <v>165</v>
      </c>
      <c r="E56" s="16" t="s">
        <v>102</v>
      </c>
      <c r="F56" s="33">
        <v>6401.054</v>
      </c>
      <c r="G56" s="422"/>
      <c r="H56" s="34">
        <f>F56*G56</f>
        <v>0</v>
      </c>
      <c r="I56" s="35">
        <v>0</v>
      </c>
      <c r="J56" s="35">
        <f>F56*I56</f>
        <v>0</v>
      </c>
      <c r="K56" s="36" t="s">
        <v>94</v>
      </c>
      <c r="X56" s="37">
        <f>IF(AO56="5",BH56,0)</f>
        <v>0</v>
      </c>
      <c r="Z56" s="37">
        <f>IF(AO56="1",BF56,0)</f>
        <v>0</v>
      </c>
      <c r="AA56" s="37">
        <f>IF(AO56="1",BG56,0)</f>
        <v>0</v>
      </c>
      <c r="AB56" s="37">
        <f>IF(AO56="7",BF56,0)</f>
        <v>0</v>
      </c>
      <c r="AC56" s="37">
        <f>IF(AO56="7",BG56,0)</f>
        <v>0</v>
      </c>
      <c r="AD56" s="37">
        <f>IF(AO56="2",BF56,0)</f>
        <v>0</v>
      </c>
      <c r="AE56" s="37">
        <f>IF(AO56="2",BG56,0)</f>
        <v>0</v>
      </c>
      <c r="AF56" s="37">
        <f>IF(AO56="0",BH56,0)</f>
        <v>0</v>
      </c>
      <c r="AG56" s="23"/>
      <c r="AH56" s="37">
        <f>IF(AL56=0,H56,0)</f>
        <v>0</v>
      </c>
      <c r="AI56" s="37">
        <f>IF(AL56=15,H56,0)</f>
        <v>0</v>
      </c>
      <c r="AJ56" s="37">
        <f>IF(AL56=21,H56,0)</f>
        <v>0</v>
      </c>
      <c r="AL56" s="37">
        <v>21</v>
      </c>
      <c r="AM56" s="37">
        <f>G56*0</f>
        <v>0</v>
      </c>
      <c r="AN56" s="37">
        <f>G56*(1-0)</f>
        <v>0</v>
      </c>
      <c r="AO56" s="38" t="s">
        <v>90</v>
      </c>
      <c r="AT56" s="37">
        <f>AU56+AV56</f>
        <v>0</v>
      </c>
      <c r="AU56" s="37">
        <f>F56*AM56</f>
        <v>0</v>
      </c>
      <c r="AV56" s="37">
        <f>F56*AN56</f>
        <v>0</v>
      </c>
      <c r="AW56" s="38" t="s">
        <v>162</v>
      </c>
      <c r="AX56" s="38" t="s">
        <v>96</v>
      </c>
      <c r="AY56" s="23" t="s">
        <v>97</v>
      </c>
      <c r="BA56" s="37">
        <f>AU56+AV56</f>
        <v>0</v>
      </c>
      <c r="BB56" s="37">
        <f>G56/(100-BC56)*100</f>
        <v>0</v>
      </c>
      <c r="BC56" s="37">
        <v>0</v>
      </c>
      <c r="BD56" s="37">
        <f>J56</f>
        <v>0</v>
      </c>
      <c r="BF56" s="37">
        <f>F56*AM56</f>
        <v>0</v>
      </c>
      <c r="BG56" s="37">
        <f>F56*AN56</f>
        <v>0</v>
      </c>
      <c r="BH56" s="37">
        <f>F56*G56</f>
        <v>0</v>
      </c>
    </row>
    <row r="57" spans="1:11" ht="12.75">
      <c r="A57" s="39"/>
      <c r="B57" s="40"/>
      <c r="C57" s="40"/>
      <c r="D57" s="41" t="s">
        <v>166</v>
      </c>
      <c r="E57" s="40"/>
      <c r="F57" s="42">
        <v>6401.054</v>
      </c>
      <c r="G57" s="40"/>
      <c r="H57" s="40"/>
      <c r="I57" s="43"/>
      <c r="J57" s="43"/>
      <c r="K57" s="40"/>
    </row>
    <row r="58" spans="1:60" ht="12.75">
      <c r="A58" s="16" t="s">
        <v>167</v>
      </c>
      <c r="B58" s="16"/>
      <c r="C58" s="16" t="s">
        <v>168</v>
      </c>
      <c r="D58" s="32" t="s">
        <v>169</v>
      </c>
      <c r="E58" s="16" t="s">
        <v>102</v>
      </c>
      <c r="F58" s="33">
        <v>1800.844</v>
      </c>
      <c r="G58" s="422"/>
      <c r="H58" s="34">
        <f>F58*G58</f>
        <v>0</v>
      </c>
      <c r="I58" s="35">
        <v>0</v>
      </c>
      <c r="J58" s="35">
        <f>F58*I58</f>
        <v>0</v>
      </c>
      <c r="K58" s="36" t="s">
        <v>94</v>
      </c>
      <c r="N58" t="s">
        <v>2524</v>
      </c>
      <c r="X58" s="37">
        <f>IF(AO58="5",BH58,0)</f>
        <v>0</v>
      </c>
      <c r="Z58" s="37">
        <f>IF(AO58="1",BF58,0)</f>
        <v>0</v>
      </c>
      <c r="AA58" s="37">
        <f>IF(AO58="1",BG58,0)</f>
        <v>0</v>
      </c>
      <c r="AB58" s="37">
        <f>IF(AO58="7",BF58,0)</f>
        <v>0</v>
      </c>
      <c r="AC58" s="37">
        <f>IF(AO58="7",BG58,0)</f>
        <v>0</v>
      </c>
      <c r="AD58" s="37">
        <f>IF(AO58="2",BF58,0)</f>
        <v>0</v>
      </c>
      <c r="AE58" s="37">
        <f>IF(AO58="2",BG58,0)</f>
        <v>0</v>
      </c>
      <c r="AF58" s="37">
        <f>IF(AO58="0",BH58,0)</f>
        <v>0</v>
      </c>
      <c r="AG58" s="23"/>
      <c r="AH58" s="37">
        <f>IF(AL58=0,H58,0)</f>
        <v>0</v>
      </c>
      <c r="AI58" s="37">
        <f>IF(AL58=15,H58,0)</f>
        <v>0</v>
      </c>
      <c r="AJ58" s="37">
        <f>IF(AL58=21,H58,0)</f>
        <v>0</v>
      </c>
      <c r="AL58" s="37">
        <v>21</v>
      </c>
      <c r="AM58" s="37">
        <f>G58*0</f>
        <v>0</v>
      </c>
      <c r="AN58" s="37">
        <f>G58*(1-0)</f>
        <v>0</v>
      </c>
      <c r="AO58" s="38" t="s">
        <v>90</v>
      </c>
      <c r="AT58" s="37">
        <f>AU58+AV58</f>
        <v>0</v>
      </c>
      <c r="AU58" s="37">
        <f>F58*AM58</f>
        <v>0</v>
      </c>
      <c r="AV58" s="37">
        <f>F58*AN58</f>
        <v>0</v>
      </c>
      <c r="AW58" s="38" t="s">
        <v>162</v>
      </c>
      <c r="AX58" s="38" t="s">
        <v>96</v>
      </c>
      <c r="AY58" s="23" t="s">
        <v>97</v>
      </c>
      <c r="BA58" s="37">
        <f>AU58+AV58</f>
        <v>0</v>
      </c>
      <c r="BB58" s="37">
        <f>G58/(100-BC58)*100</f>
        <v>0</v>
      </c>
      <c r="BC58" s="37">
        <v>0</v>
      </c>
      <c r="BD58" s="37">
        <f>J58</f>
        <v>0</v>
      </c>
      <c r="BF58" s="37">
        <f>F58*AM58</f>
        <v>0</v>
      </c>
      <c r="BG58" s="37">
        <f>F58*AN58</f>
        <v>0</v>
      </c>
      <c r="BH58" s="37">
        <f>F58*G58</f>
        <v>0</v>
      </c>
    </row>
    <row r="59" spans="1:11" ht="12.75">
      <c r="A59" s="39"/>
      <c r="B59" s="40"/>
      <c r="C59" s="40"/>
      <c r="D59" s="41" t="s">
        <v>170</v>
      </c>
      <c r="E59" s="40"/>
      <c r="F59" s="42">
        <v>1800.844</v>
      </c>
      <c r="G59" s="40"/>
      <c r="H59" s="40"/>
      <c r="I59" s="43"/>
      <c r="J59" s="43"/>
      <c r="K59" s="40"/>
    </row>
    <row r="60" spans="1:60" ht="12.75">
      <c r="A60" s="16" t="s">
        <v>110</v>
      </c>
      <c r="B60" s="16"/>
      <c r="C60" s="16" t="s">
        <v>171</v>
      </c>
      <c r="D60" s="32" t="s">
        <v>172</v>
      </c>
      <c r="E60" s="16" t="s">
        <v>102</v>
      </c>
      <c r="F60" s="33">
        <v>18008.44</v>
      </c>
      <c r="G60" s="422"/>
      <c r="H60" s="34">
        <f>F60*G60</f>
        <v>0</v>
      </c>
      <c r="I60" s="35">
        <v>0</v>
      </c>
      <c r="J60" s="35">
        <f>F60*I60</f>
        <v>0</v>
      </c>
      <c r="K60" s="36" t="s">
        <v>94</v>
      </c>
      <c r="X60" s="37">
        <f>IF(AO60="5",BH60,0)</f>
        <v>0</v>
      </c>
      <c r="Z60" s="37">
        <f>IF(AO60="1",BF60,0)</f>
        <v>0</v>
      </c>
      <c r="AA60" s="37">
        <f>IF(AO60="1",BG60,0)</f>
        <v>0</v>
      </c>
      <c r="AB60" s="37">
        <f>IF(AO60="7",BF60,0)</f>
        <v>0</v>
      </c>
      <c r="AC60" s="37">
        <f>IF(AO60="7",BG60,0)</f>
        <v>0</v>
      </c>
      <c r="AD60" s="37">
        <f>IF(AO60="2",BF60,0)</f>
        <v>0</v>
      </c>
      <c r="AE60" s="37">
        <f>IF(AO60="2",BG60,0)</f>
        <v>0</v>
      </c>
      <c r="AF60" s="37">
        <f>IF(AO60="0",BH60,0)</f>
        <v>0</v>
      </c>
      <c r="AG60" s="23"/>
      <c r="AH60" s="37">
        <f>IF(AL60=0,H60,0)</f>
        <v>0</v>
      </c>
      <c r="AI60" s="37">
        <f>IF(AL60=15,H60,0)</f>
        <v>0</v>
      </c>
      <c r="AJ60" s="37">
        <f>IF(AL60=21,H60,0)</f>
        <v>0</v>
      </c>
      <c r="AL60" s="37">
        <v>21</v>
      </c>
      <c r="AM60" s="37">
        <f>G60*0</f>
        <v>0</v>
      </c>
      <c r="AN60" s="37">
        <f>G60*(1-0)</f>
        <v>0</v>
      </c>
      <c r="AO60" s="38" t="s">
        <v>90</v>
      </c>
      <c r="AT60" s="37">
        <f>AU60+AV60</f>
        <v>0</v>
      </c>
      <c r="AU60" s="37">
        <f>F60*AM60</f>
        <v>0</v>
      </c>
      <c r="AV60" s="37">
        <f>F60*AN60</f>
        <v>0</v>
      </c>
      <c r="AW60" s="38" t="s">
        <v>162</v>
      </c>
      <c r="AX60" s="38" t="s">
        <v>96</v>
      </c>
      <c r="AY60" s="23" t="s">
        <v>97</v>
      </c>
      <c r="BA60" s="37">
        <f>AU60+AV60</f>
        <v>0</v>
      </c>
      <c r="BB60" s="37">
        <f>G60/(100-BC60)*100</f>
        <v>0</v>
      </c>
      <c r="BC60" s="37">
        <v>0</v>
      </c>
      <c r="BD60" s="37">
        <f>J60</f>
        <v>0</v>
      </c>
      <c r="BF60" s="37">
        <f>F60*AM60</f>
        <v>0</v>
      </c>
      <c r="BG60" s="37">
        <f>F60*AN60</f>
        <v>0</v>
      </c>
      <c r="BH60" s="37">
        <f>F60*G60</f>
        <v>0</v>
      </c>
    </row>
    <row r="61" spans="1:11" ht="12.75">
      <c r="A61" s="39"/>
      <c r="B61" s="40"/>
      <c r="C61" s="40"/>
      <c r="D61" s="41" t="s">
        <v>173</v>
      </c>
      <c r="E61" s="40"/>
      <c r="F61" s="42">
        <v>18008.44</v>
      </c>
      <c r="G61" s="40"/>
      <c r="H61" s="40"/>
      <c r="I61" s="43"/>
      <c r="J61" s="43"/>
      <c r="K61" s="40"/>
    </row>
    <row r="62" spans="1:45" ht="12.75">
      <c r="A62" s="24"/>
      <c r="B62" s="25"/>
      <c r="C62" s="25" t="s">
        <v>174</v>
      </c>
      <c r="D62" s="26" t="s">
        <v>175</v>
      </c>
      <c r="E62" s="24" t="s">
        <v>54</v>
      </c>
      <c r="F62" s="24" t="s">
        <v>54</v>
      </c>
      <c r="G62" s="24" t="s">
        <v>54</v>
      </c>
      <c r="H62" s="27">
        <f>SUM(H63:H68)</f>
        <v>0</v>
      </c>
      <c r="I62" s="28"/>
      <c r="J62" s="28">
        <f>SUM(J63:J68)</f>
        <v>0</v>
      </c>
      <c r="K62" s="29"/>
      <c r="AG62" s="23"/>
      <c r="AQ62" s="31">
        <f>SUM(AH63:AH68)</f>
        <v>0</v>
      </c>
      <c r="AR62" s="31">
        <f>SUM(AI63:AI68)</f>
        <v>0</v>
      </c>
      <c r="AS62" s="31">
        <f>SUM(AJ63:AJ68)</f>
        <v>0</v>
      </c>
    </row>
    <row r="63" spans="1:60" ht="12.75">
      <c r="A63" s="16" t="s">
        <v>176</v>
      </c>
      <c r="B63" s="16"/>
      <c r="C63" s="16" t="s">
        <v>177</v>
      </c>
      <c r="D63" s="32" t="s">
        <v>178</v>
      </c>
      <c r="E63" s="16" t="s">
        <v>102</v>
      </c>
      <c r="F63" s="33">
        <v>5001.371</v>
      </c>
      <c r="G63" s="422"/>
      <c r="H63" s="34">
        <f>F63*G63</f>
        <v>0</v>
      </c>
      <c r="I63" s="35">
        <v>0</v>
      </c>
      <c r="J63" s="35">
        <f>F63*I63</f>
        <v>0</v>
      </c>
      <c r="K63" s="36" t="s">
        <v>94</v>
      </c>
      <c r="X63" s="37">
        <f>IF(AO63="5",BH63,0)</f>
        <v>0</v>
      </c>
      <c r="Z63" s="37">
        <f>IF(AO63="1",BF63,0)</f>
        <v>0</v>
      </c>
      <c r="AA63" s="37">
        <f>IF(AO63="1",BG63,0)</f>
        <v>0</v>
      </c>
      <c r="AB63" s="37">
        <f>IF(AO63="7",BF63,0)</f>
        <v>0</v>
      </c>
      <c r="AC63" s="37">
        <f>IF(AO63="7",BG63,0)</f>
        <v>0</v>
      </c>
      <c r="AD63" s="37">
        <f>IF(AO63="2",BF63,0)</f>
        <v>0</v>
      </c>
      <c r="AE63" s="37">
        <f>IF(AO63="2",BG63,0)</f>
        <v>0</v>
      </c>
      <c r="AF63" s="37">
        <f>IF(AO63="0",BH63,0)</f>
        <v>0</v>
      </c>
      <c r="AG63" s="23"/>
      <c r="AH63" s="37">
        <f>IF(AL63=0,H63,0)</f>
        <v>0</v>
      </c>
      <c r="AI63" s="37">
        <f>IF(AL63=15,H63,0)</f>
        <v>0</v>
      </c>
      <c r="AJ63" s="37">
        <f>IF(AL63=21,H63,0)</f>
        <v>0</v>
      </c>
      <c r="AL63" s="37">
        <v>21</v>
      </c>
      <c r="AM63" s="37">
        <f>G63*0</f>
        <v>0</v>
      </c>
      <c r="AN63" s="37">
        <f>G63*(1-0)</f>
        <v>0</v>
      </c>
      <c r="AO63" s="38" t="s">
        <v>90</v>
      </c>
      <c r="AT63" s="37">
        <f>AU63+AV63</f>
        <v>0</v>
      </c>
      <c r="AU63" s="37">
        <f>F63*AM63</f>
        <v>0</v>
      </c>
      <c r="AV63" s="37">
        <f>F63*AN63</f>
        <v>0</v>
      </c>
      <c r="AW63" s="38" t="s">
        <v>179</v>
      </c>
      <c r="AX63" s="38" t="s">
        <v>96</v>
      </c>
      <c r="AY63" s="23" t="s">
        <v>97</v>
      </c>
      <c r="BA63" s="37">
        <f>AU63+AV63</f>
        <v>0</v>
      </c>
      <c r="BB63" s="37">
        <f>G63/(100-BC63)*100</f>
        <v>0</v>
      </c>
      <c r="BC63" s="37">
        <v>0</v>
      </c>
      <c r="BD63" s="37">
        <f>J63</f>
        <v>0</v>
      </c>
      <c r="BF63" s="37">
        <f>F63*AM63</f>
        <v>0</v>
      </c>
      <c r="BG63" s="37">
        <f>F63*AN63</f>
        <v>0</v>
      </c>
      <c r="BH63" s="37">
        <f>F63*G63</f>
        <v>0</v>
      </c>
    </row>
    <row r="64" spans="1:11" ht="12.75">
      <c r="A64" s="39"/>
      <c r="B64" s="40"/>
      <c r="C64" s="40"/>
      <c r="D64" s="41" t="s">
        <v>180</v>
      </c>
      <c r="E64" s="40"/>
      <c r="F64" s="42">
        <v>3200.527</v>
      </c>
      <c r="G64" s="40"/>
      <c r="H64" s="40"/>
      <c r="I64" s="43"/>
      <c r="J64" s="43"/>
      <c r="K64" s="40"/>
    </row>
    <row r="65" spans="1:11" ht="12.75">
      <c r="A65" s="39"/>
      <c r="B65" s="40"/>
      <c r="C65" s="40"/>
      <c r="D65" s="41" t="s">
        <v>181</v>
      </c>
      <c r="E65" s="40"/>
      <c r="F65" s="42">
        <v>1800.844</v>
      </c>
      <c r="G65" s="40"/>
      <c r="H65" s="40"/>
      <c r="I65" s="43"/>
      <c r="J65" s="43"/>
      <c r="K65" s="40"/>
    </row>
    <row r="66" spans="1:60" ht="12.75">
      <c r="A66" s="16" t="s">
        <v>182</v>
      </c>
      <c r="B66" s="16"/>
      <c r="C66" s="16" t="s">
        <v>183</v>
      </c>
      <c r="D66" s="32" t="s">
        <v>184</v>
      </c>
      <c r="E66" s="16" t="s">
        <v>102</v>
      </c>
      <c r="F66" s="33">
        <v>1399.683</v>
      </c>
      <c r="G66" s="422"/>
      <c r="H66" s="34">
        <f>F66*G66</f>
        <v>0</v>
      </c>
      <c r="I66" s="35">
        <v>0</v>
      </c>
      <c r="J66" s="35">
        <f>F66*I66</f>
        <v>0</v>
      </c>
      <c r="K66" s="36" t="s">
        <v>94</v>
      </c>
      <c r="N66" t="s">
        <v>2524</v>
      </c>
      <c r="X66" s="37">
        <f>IF(AO66="5",BH66,0)</f>
        <v>0</v>
      </c>
      <c r="Z66" s="37">
        <f>IF(AO66="1",BF66,0)</f>
        <v>0</v>
      </c>
      <c r="AA66" s="37">
        <f>IF(AO66="1",BG66,0)</f>
        <v>0</v>
      </c>
      <c r="AB66" s="37">
        <f>IF(AO66="7",BF66,0)</f>
        <v>0</v>
      </c>
      <c r="AC66" s="37">
        <f>IF(AO66="7",BG66,0)</f>
        <v>0</v>
      </c>
      <c r="AD66" s="37">
        <f>IF(AO66="2",BF66,0)</f>
        <v>0</v>
      </c>
      <c r="AE66" s="37">
        <f>IF(AO66="2",BG66,0)</f>
        <v>0</v>
      </c>
      <c r="AF66" s="37">
        <f>IF(AO66="0",BH66,0)</f>
        <v>0</v>
      </c>
      <c r="AG66" s="23"/>
      <c r="AH66" s="37">
        <f>IF(AL66=0,H66,0)</f>
        <v>0</v>
      </c>
      <c r="AI66" s="37">
        <f>IF(AL66=15,H66,0)</f>
        <v>0</v>
      </c>
      <c r="AJ66" s="37">
        <f>IF(AL66=21,H66,0)</f>
        <v>0</v>
      </c>
      <c r="AL66" s="37">
        <v>21</v>
      </c>
      <c r="AM66" s="37">
        <f>G66*0</f>
        <v>0</v>
      </c>
      <c r="AN66" s="37">
        <f>G66*(1-0)</f>
        <v>0</v>
      </c>
      <c r="AO66" s="38" t="s">
        <v>90</v>
      </c>
      <c r="AT66" s="37">
        <f>AU66+AV66</f>
        <v>0</v>
      </c>
      <c r="AU66" s="37">
        <f>F66*AM66</f>
        <v>0</v>
      </c>
      <c r="AV66" s="37">
        <f>F66*AN66</f>
        <v>0</v>
      </c>
      <c r="AW66" s="38" t="s">
        <v>179</v>
      </c>
      <c r="AX66" s="38" t="s">
        <v>96</v>
      </c>
      <c r="AY66" s="23" t="s">
        <v>97</v>
      </c>
      <c r="BA66" s="37">
        <f>AU66+AV66</f>
        <v>0</v>
      </c>
      <c r="BB66" s="37">
        <f>G66/(100-BC66)*100</f>
        <v>0</v>
      </c>
      <c r="BC66" s="37">
        <v>0</v>
      </c>
      <c r="BD66" s="37">
        <f>J66</f>
        <v>0</v>
      </c>
      <c r="BF66" s="37">
        <f>F66*AM66</f>
        <v>0</v>
      </c>
      <c r="BG66" s="37">
        <f>F66*AN66</f>
        <v>0</v>
      </c>
      <c r="BH66" s="37">
        <f>F66*G66</f>
        <v>0</v>
      </c>
    </row>
    <row r="67" spans="1:11" ht="12.75">
      <c r="A67" s="39"/>
      <c r="B67" s="40"/>
      <c r="C67" s="40"/>
      <c r="D67" s="41" t="s">
        <v>185</v>
      </c>
      <c r="E67" s="40"/>
      <c r="F67" s="42">
        <v>1399.683</v>
      </c>
      <c r="G67" s="40"/>
      <c r="H67" s="40"/>
      <c r="I67" s="43"/>
      <c r="J67" s="43"/>
      <c r="K67" s="40"/>
    </row>
    <row r="68" spans="1:60" ht="12.75">
      <c r="A68" s="16" t="s">
        <v>157</v>
      </c>
      <c r="B68" s="16"/>
      <c r="C68" s="16" t="s">
        <v>186</v>
      </c>
      <c r="D68" s="32" t="s">
        <v>187</v>
      </c>
      <c r="E68" s="16" t="s">
        <v>102</v>
      </c>
      <c r="F68" s="33">
        <v>1399.683</v>
      </c>
      <c r="G68" s="422"/>
      <c r="H68" s="34">
        <f>F68*G68</f>
        <v>0</v>
      </c>
      <c r="I68" s="35">
        <v>0</v>
      </c>
      <c r="J68" s="35">
        <f>F68*I68</f>
        <v>0</v>
      </c>
      <c r="K68" s="36" t="s">
        <v>94</v>
      </c>
      <c r="N68" t="s">
        <v>2524</v>
      </c>
      <c r="X68" s="37">
        <f>IF(AO68="5",BH68,0)</f>
        <v>0</v>
      </c>
      <c r="Z68" s="37">
        <f>IF(AO68="1",BF68,0)</f>
        <v>0</v>
      </c>
      <c r="AA68" s="37">
        <f>IF(AO68="1",BG68,0)</f>
        <v>0</v>
      </c>
      <c r="AB68" s="37">
        <f>IF(AO68="7",BF68,0)</f>
        <v>0</v>
      </c>
      <c r="AC68" s="37">
        <f>IF(AO68="7",BG68,0)</f>
        <v>0</v>
      </c>
      <c r="AD68" s="37">
        <f>IF(AO68="2",BF68,0)</f>
        <v>0</v>
      </c>
      <c r="AE68" s="37">
        <f>IF(AO68="2",BG68,0)</f>
        <v>0</v>
      </c>
      <c r="AF68" s="37">
        <f>IF(AO68="0",BH68,0)</f>
        <v>0</v>
      </c>
      <c r="AG68" s="23"/>
      <c r="AH68" s="37">
        <f>IF(AL68=0,H68,0)</f>
        <v>0</v>
      </c>
      <c r="AI68" s="37">
        <f>IF(AL68=15,H68,0)</f>
        <v>0</v>
      </c>
      <c r="AJ68" s="37">
        <f>IF(AL68=21,H68,0)</f>
        <v>0</v>
      </c>
      <c r="AL68" s="37">
        <v>21</v>
      </c>
      <c r="AM68" s="37">
        <f>G68*0</f>
        <v>0</v>
      </c>
      <c r="AN68" s="37">
        <f>G68*(1-0)</f>
        <v>0</v>
      </c>
      <c r="AO68" s="38" t="s">
        <v>90</v>
      </c>
      <c r="AT68" s="37">
        <f>AU68+AV68</f>
        <v>0</v>
      </c>
      <c r="AU68" s="37">
        <f>F68*AM68</f>
        <v>0</v>
      </c>
      <c r="AV68" s="37">
        <f>F68*AN68</f>
        <v>0</v>
      </c>
      <c r="AW68" s="38" t="s">
        <v>179</v>
      </c>
      <c r="AX68" s="38" t="s">
        <v>96</v>
      </c>
      <c r="AY68" s="23" t="s">
        <v>97</v>
      </c>
      <c r="BA68" s="37">
        <f>AU68+AV68</f>
        <v>0</v>
      </c>
      <c r="BB68" s="37">
        <f>G68/(100-BC68)*100</f>
        <v>0</v>
      </c>
      <c r="BC68" s="37">
        <v>0</v>
      </c>
      <c r="BD68" s="37">
        <f>J68</f>
        <v>0</v>
      </c>
      <c r="BF68" s="37">
        <f>F68*AM68</f>
        <v>0</v>
      </c>
      <c r="BG68" s="37">
        <f>F68*AN68</f>
        <v>0</v>
      </c>
      <c r="BH68" s="37">
        <f>F68*G68</f>
        <v>0</v>
      </c>
    </row>
    <row r="69" spans="1:11" ht="12.75">
      <c r="A69" s="39"/>
      <c r="B69" s="40"/>
      <c r="C69" s="40"/>
      <c r="D69" s="41" t="s">
        <v>185</v>
      </c>
      <c r="E69" s="40"/>
      <c r="F69" s="42">
        <v>1399.683</v>
      </c>
      <c r="G69" s="40"/>
      <c r="H69" s="40"/>
      <c r="I69" s="43"/>
      <c r="J69" s="43"/>
      <c r="K69" s="40"/>
    </row>
    <row r="70" spans="1:45" ht="12.75">
      <c r="A70" s="24"/>
      <c r="B70" s="25"/>
      <c r="C70" s="25" t="s">
        <v>188</v>
      </c>
      <c r="D70" s="26" t="s">
        <v>189</v>
      </c>
      <c r="E70" s="24" t="s">
        <v>54</v>
      </c>
      <c r="F70" s="24" t="s">
        <v>54</v>
      </c>
      <c r="G70" s="24" t="s">
        <v>54</v>
      </c>
      <c r="H70" s="27">
        <f>SUM(H71:H72)</f>
        <v>0</v>
      </c>
      <c r="I70" s="28"/>
      <c r="J70" s="28">
        <f>SUM(J71:J72)</f>
        <v>0.694058</v>
      </c>
      <c r="K70" s="29"/>
      <c r="AG70" s="23"/>
      <c r="AQ70" s="31">
        <f>SUM(AH71:AH72)</f>
        <v>0</v>
      </c>
      <c r="AR70" s="31">
        <f>SUM(AI71:AI72)</f>
        <v>0</v>
      </c>
      <c r="AS70" s="31">
        <f>SUM(AJ71:AJ72)</f>
        <v>0</v>
      </c>
    </row>
    <row r="71" spans="1:60" ht="12.75">
      <c r="A71" s="16" t="s">
        <v>174</v>
      </c>
      <c r="B71" s="16"/>
      <c r="C71" s="16" t="s">
        <v>190</v>
      </c>
      <c r="D71" s="32" t="s">
        <v>191</v>
      </c>
      <c r="E71" s="16" t="s">
        <v>192</v>
      </c>
      <c r="F71" s="33">
        <v>284.45</v>
      </c>
      <c r="G71" s="422"/>
      <c r="H71" s="34">
        <f>F71*G71</f>
        <v>0</v>
      </c>
      <c r="I71" s="35">
        <v>0.00244</v>
      </c>
      <c r="J71" s="35">
        <f>F71*I71</f>
        <v>0.694058</v>
      </c>
      <c r="K71" s="36" t="s">
        <v>94</v>
      </c>
      <c r="X71" s="37">
        <f>IF(AO71="5",BH71,0)</f>
        <v>0</v>
      </c>
      <c r="Z71" s="37">
        <f>IF(AO71="1",BF71,0)</f>
        <v>0</v>
      </c>
      <c r="AA71" s="37">
        <f>IF(AO71="1",BG71,0)</f>
        <v>0</v>
      </c>
      <c r="AB71" s="37">
        <f>IF(AO71="7",BF71,0)</f>
        <v>0</v>
      </c>
      <c r="AC71" s="37">
        <f>IF(AO71="7",BG71,0)</f>
        <v>0</v>
      </c>
      <c r="AD71" s="37">
        <f>IF(AO71="2",BF71,0)</f>
        <v>0</v>
      </c>
      <c r="AE71" s="37">
        <f>IF(AO71="2",BG71,0)</f>
        <v>0</v>
      </c>
      <c r="AF71" s="37">
        <f>IF(AO71="0",BH71,0)</f>
        <v>0</v>
      </c>
      <c r="AG71" s="23"/>
      <c r="AH71" s="37">
        <f>IF(AL71=0,H71,0)</f>
        <v>0</v>
      </c>
      <c r="AI71" s="37">
        <f>IF(AL71=15,H71,0)</f>
        <v>0</v>
      </c>
      <c r="AJ71" s="37">
        <f>IF(AL71=21,H71,0)</f>
        <v>0</v>
      </c>
      <c r="AL71" s="37">
        <v>21</v>
      </c>
      <c r="AM71" s="37">
        <f>G71*0.415252419653447</f>
        <v>0</v>
      </c>
      <c r="AN71" s="37">
        <f>G71*(1-0.415252419653447)</f>
        <v>0</v>
      </c>
      <c r="AO71" s="38" t="s">
        <v>90</v>
      </c>
      <c r="AT71" s="37">
        <f>AU71+AV71</f>
        <v>0</v>
      </c>
      <c r="AU71" s="37">
        <f>F71*AM71</f>
        <v>0</v>
      </c>
      <c r="AV71" s="37">
        <f>F71*AN71</f>
        <v>0</v>
      </c>
      <c r="AW71" s="38" t="s">
        <v>193</v>
      </c>
      <c r="AX71" s="38" t="s">
        <v>96</v>
      </c>
      <c r="AY71" s="23" t="s">
        <v>97</v>
      </c>
      <c r="BA71" s="37">
        <f>AU71+AV71</f>
        <v>0</v>
      </c>
      <c r="BB71" s="37">
        <f>G71/(100-BC71)*100</f>
        <v>0</v>
      </c>
      <c r="BC71" s="37">
        <v>0</v>
      </c>
      <c r="BD71" s="37">
        <f>J71</f>
        <v>0.694058</v>
      </c>
      <c r="BF71" s="37">
        <f>F71*AM71</f>
        <v>0</v>
      </c>
      <c r="BG71" s="37">
        <f>F71*AN71</f>
        <v>0</v>
      </c>
      <c r="BH71" s="37">
        <f>F71*G71</f>
        <v>0</v>
      </c>
    </row>
    <row r="72" spans="1:11" ht="12.75">
      <c r="A72" s="39"/>
      <c r="B72" s="40"/>
      <c r="C72" s="40"/>
      <c r="D72" s="41" t="s">
        <v>194</v>
      </c>
      <c r="E72" s="40"/>
      <c r="F72" s="42">
        <v>284.45</v>
      </c>
      <c r="G72" s="40"/>
      <c r="H72" s="40"/>
      <c r="I72" s="43"/>
      <c r="J72" s="43"/>
      <c r="K72" s="40"/>
    </row>
    <row r="73" spans="1:45" ht="12.75">
      <c r="A73" s="24"/>
      <c r="B73" s="25"/>
      <c r="C73" s="25" t="s">
        <v>195</v>
      </c>
      <c r="D73" s="26" t="s">
        <v>196</v>
      </c>
      <c r="E73" s="24" t="s">
        <v>54</v>
      </c>
      <c r="F73" s="24" t="s">
        <v>54</v>
      </c>
      <c r="G73" s="24" t="s">
        <v>54</v>
      </c>
      <c r="H73" s="27">
        <f>SUM(H74:H74)</f>
        <v>0</v>
      </c>
      <c r="I73" s="28"/>
      <c r="J73" s="28">
        <f>SUM(J74:J74)</f>
        <v>0</v>
      </c>
      <c r="K73" s="29"/>
      <c r="AG73" s="23"/>
      <c r="AQ73" s="31">
        <f>SUM(AH74:AH74)</f>
        <v>0</v>
      </c>
      <c r="AR73" s="31">
        <f>SUM(AI74:AI74)</f>
        <v>0</v>
      </c>
      <c r="AS73" s="31">
        <f>SUM(AJ74:AJ74)</f>
        <v>0</v>
      </c>
    </row>
    <row r="74" spans="1:60" ht="12.75">
      <c r="A74" s="16" t="s">
        <v>188</v>
      </c>
      <c r="B74" s="16"/>
      <c r="C74" s="16" t="s">
        <v>197</v>
      </c>
      <c r="D74" s="32" t="s">
        <v>198</v>
      </c>
      <c r="E74" s="16" t="s">
        <v>102</v>
      </c>
      <c r="F74" s="33">
        <v>1800.844</v>
      </c>
      <c r="G74" s="422"/>
      <c r="H74" s="34">
        <f>F74*G74</f>
        <v>0</v>
      </c>
      <c r="I74" s="35">
        <v>0</v>
      </c>
      <c r="J74" s="35">
        <f>F74*I74</f>
        <v>0</v>
      </c>
      <c r="K74" s="36" t="s">
        <v>94</v>
      </c>
      <c r="N74" t="s">
        <v>2524</v>
      </c>
      <c r="X74" s="37">
        <f>IF(AO74="5",BH74,0)</f>
        <v>0</v>
      </c>
      <c r="Z74" s="37">
        <f>IF(AO74="1",BF74,0)</f>
        <v>0</v>
      </c>
      <c r="AA74" s="37">
        <f>IF(AO74="1",BG74,0)</f>
        <v>0</v>
      </c>
      <c r="AB74" s="37">
        <f>IF(AO74="7",BF74,0)</f>
        <v>0</v>
      </c>
      <c r="AC74" s="37">
        <f>IF(AO74="7",BG74,0)</f>
        <v>0</v>
      </c>
      <c r="AD74" s="37">
        <f>IF(AO74="2",BF74,0)</f>
        <v>0</v>
      </c>
      <c r="AE74" s="37">
        <f>IF(AO74="2",BG74,0)</f>
        <v>0</v>
      </c>
      <c r="AF74" s="37">
        <f>IF(AO74="0",BH74,0)</f>
        <v>0</v>
      </c>
      <c r="AG74" s="23"/>
      <c r="AH74" s="37">
        <f>IF(AL74=0,H74,0)</f>
        <v>0</v>
      </c>
      <c r="AI74" s="37">
        <f>IF(AL74=15,H74,0)</f>
        <v>0</v>
      </c>
      <c r="AJ74" s="37">
        <f>IF(AL74=21,H74,0)</f>
        <v>0</v>
      </c>
      <c r="AL74" s="37">
        <v>21</v>
      </c>
      <c r="AM74" s="37">
        <f>G74*0</f>
        <v>0</v>
      </c>
      <c r="AN74" s="37">
        <f>G74*(1-0)</f>
        <v>0</v>
      </c>
      <c r="AO74" s="38" t="s">
        <v>90</v>
      </c>
      <c r="AT74" s="37">
        <f>AU74+AV74</f>
        <v>0</v>
      </c>
      <c r="AU74" s="37">
        <f>F74*AM74</f>
        <v>0</v>
      </c>
      <c r="AV74" s="37">
        <f>F74*AN74</f>
        <v>0</v>
      </c>
      <c r="AW74" s="38" t="s">
        <v>199</v>
      </c>
      <c r="AX74" s="38" t="s">
        <v>96</v>
      </c>
      <c r="AY74" s="23" t="s">
        <v>97</v>
      </c>
      <c r="BA74" s="37">
        <f>AU74+AV74</f>
        <v>0</v>
      </c>
      <c r="BB74" s="37">
        <f>G74/(100-BC74)*100</f>
        <v>0</v>
      </c>
      <c r="BC74" s="37">
        <v>0</v>
      </c>
      <c r="BD74" s="37">
        <f>J74</f>
        <v>0</v>
      </c>
      <c r="BF74" s="37">
        <f>F74*AM74</f>
        <v>0</v>
      </c>
      <c r="BG74" s="37">
        <f>F74*AN74</f>
        <v>0</v>
      </c>
      <c r="BH74" s="37">
        <f>F74*G74</f>
        <v>0</v>
      </c>
    </row>
    <row r="75" spans="1:11" ht="12.75">
      <c r="A75" s="39"/>
      <c r="B75" s="40"/>
      <c r="C75" s="40"/>
      <c r="D75" s="41" t="s">
        <v>170</v>
      </c>
      <c r="E75" s="40"/>
      <c r="F75" s="42">
        <v>1800.844</v>
      </c>
      <c r="G75" s="40"/>
      <c r="H75" s="40"/>
      <c r="I75" s="43"/>
      <c r="J75" s="43"/>
      <c r="K75" s="40"/>
    </row>
    <row r="76" spans="1:45" ht="12.75">
      <c r="A76" s="24"/>
      <c r="B76" s="25"/>
      <c r="C76" s="25" t="s">
        <v>200</v>
      </c>
      <c r="D76" s="26" t="s">
        <v>201</v>
      </c>
      <c r="E76" s="24" t="s">
        <v>54</v>
      </c>
      <c r="F76" s="24" t="s">
        <v>54</v>
      </c>
      <c r="G76" s="24" t="s">
        <v>54</v>
      </c>
      <c r="H76" s="27">
        <f>SUM(H77:H77)</f>
        <v>0</v>
      </c>
      <c r="I76" s="28"/>
      <c r="J76" s="28">
        <f>SUM(J77:J77)</f>
        <v>0</v>
      </c>
      <c r="K76" s="29"/>
      <c r="AG76" s="23"/>
      <c r="AQ76" s="31">
        <f>SUM(AH77:AH77)</f>
        <v>0</v>
      </c>
      <c r="AR76" s="31">
        <f>SUM(AI77:AI77)</f>
        <v>0</v>
      </c>
      <c r="AS76" s="31">
        <f>SUM(AJ77:AJ77)</f>
        <v>0</v>
      </c>
    </row>
    <row r="77" spans="1:60" ht="12.75">
      <c r="A77" s="16" t="s">
        <v>195</v>
      </c>
      <c r="B77" s="16"/>
      <c r="C77" s="16" t="s">
        <v>202</v>
      </c>
      <c r="D77" s="32" t="s">
        <v>203</v>
      </c>
      <c r="E77" s="16" t="s">
        <v>192</v>
      </c>
      <c r="F77" s="33">
        <v>986.72</v>
      </c>
      <c r="G77" s="422"/>
      <c r="H77" s="34">
        <f>F77*G77</f>
        <v>0</v>
      </c>
      <c r="I77" s="35">
        <v>0</v>
      </c>
      <c r="J77" s="35">
        <f>F77*I77</f>
        <v>0</v>
      </c>
      <c r="K77" s="36" t="s">
        <v>94</v>
      </c>
      <c r="X77" s="37">
        <f>IF(AO77="5",BH77,0)</f>
        <v>0</v>
      </c>
      <c r="Z77" s="37">
        <f>IF(AO77="1",BF77,0)</f>
        <v>0</v>
      </c>
      <c r="AA77" s="37">
        <f>IF(AO77="1",BG77,0)</f>
        <v>0</v>
      </c>
      <c r="AB77" s="37">
        <f>IF(AO77="7",BF77,0)</f>
        <v>0</v>
      </c>
      <c r="AC77" s="37">
        <f>IF(AO77="7",BG77,0)</f>
        <v>0</v>
      </c>
      <c r="AD77" s="37">
        <f>IF(AO77="2",BF77,0)</f>
        <v>0</v>
      </c>
      <c r="AE77" s="37">
        <f>IF(AO77="2",BG77,0)</f>
        <v>0</v>
      </c>
      <c r="AF77" s="37">
        <f>IF(AO77="0",BH77,0)</f>
        <v>0</v>
      </c>
      <c r="AG77" s="23"/>
      <c r="AH77" s="37">
        <f>IF(AL77=0,H77,0)</f>
        <v>0</v>
      </c>
      <c r="AI77" s="37">
        <f>IF(AL77=15,H77,0)</f>
        <v>0</v>
      </c>
      <c r="AJ77" s="37">
        <f>IF(AL77=21,H77,0)</f>
        <v>0</v>
      </c>
      <c r="AL77" s="37">
        <v>21</v>
      </c>
      <c r="AM77" s="37">
        <f>G77*0</f>
        <v>0</v>
      </c>
      <c r="AN77" s="37">
        <f>G77*(1-0)</f>
        <v>0</v>
      </c>
      <c r="AO77" s="38" t="s">
        <v>90</v>
      </c>
      <c r="AT77" s="37">
        <f>AU77+AV77</f>
        <v>0</v>
      </c>
      <c r="AU77" s="37">
        <f>F77*AM77</f>
        <v>0</v>
      </c>
      <c r="AV77" s="37">
        <f>F77*AN77</f>
        <v>0</v>
      </c>
      <c r="AW77" s="38" t="s">
        <v>204</v>
      </c>
      <c r="AX77" s="38" t="s">
        <v>205</v>
      </c>
      <c r="AY77" s="23" t="s">
        <v>97</v>
      </c>
      <c r="BA77" s="37">
        <f>AU77+AV77</f>
        <v>0</v>
      </c>
      <c r="BB77" s="37">
        <f>G77/(100-BC77)*100</f>
        <v>0</v>
      </c>
      <c r="BC77" s="37">
        <v>0</v>
      </c>
      <c r="BD77" s="37">
        <f>J77</f>
        <v>0</v>
      </c>
      <c r="BF77" s="37">
        <f>F77*AM77</f>
        <v>0</v>
      </c>
      <c r="BG77" s="37">
        <f>F77*AN77</f>
        <v>0</v>
      </c>
      <c r="BH77" s="37">
        <f>F77*G77</f>
        <v>0</v>
      </c>
    </row>
    <row r="78" spans="1:11" ht="12.75">
      <c r="A78" s="39"/>
      <c r="B78" s="40"/>
      <c r="C78" s="40"/>
      <c r="D78" s="41" t="s">
        <v>206</v>
      </c>
      <c r="E78" s="40"/>
      <c r="F78" s="42">
        <v>177</v>
      </c>
      <c r="G78" s="40"/>
      <c r="H78" s="40"/>
      <c r="I78" s="43"/>
      <c r="J78" s="43"/>
      <c r="K78" s="40"/>
    </row>
    <row r="79" spans="1:11" ht="12.75">
      <c r="A79" s="39"/>
      <c r="B79" s="40"/>
      <c r="C79" s="40"/>
      <c r="D79" s="41" t="s">
        <v>207</v>
      </c>
      <c r="E79" s="40"/>
      <c r="F79" s="42">
        <v>110</v>
      </c>
      <c r="G79" s="40"/>
      <c r="H79" s="40"/>
      <c r="I79" s="43"/>
      <c r="J79" s="43"/>
      <c r="K79" s="40"/>
    </row>
    <row r="80" spans="1:11" ht="12.75">
      <c r="A80" s="39"/>
      <c r="B80" s="40"/>
      <c r="C80" s="40"/>
      <c r="D80" s="41" t="s">
        <v>208</v>
      </c>
      <c r="E80" s="40"/>
      <c r="F80" s="42">
        <v>699.72</v>
      </c>
      <c r="G80" s="40"/>
      <c r="H80" s="40"/>
      <c r="I80" s="43"/>
      <c r="J80" s="43"/>
      <c r="K80" s="40"/>
    </row>
    <row r="81" spans="1:45" ht="12.75">
      <c r="A81" s="24"/>
      <c r="B81" s="25"/>
      <c r="C81" s="25" t="s">
        <v>209</v>
      </c>
      <c r="D81" s="26" t="s">
        <v>210</v>
      </c>
      <c r="E81" s="24" t="s">
        <v>54</v>
      </c>
      <c r="F81" s="24" t="s">
        <v>54</v>
      </c>
      <c r="G81" s="24" t="s">
        <v>54</v>
      </c>
      <c r="H81" s="27">
        <f>SUM(H82:H105)</f>
        <v>0</v>
      </c>
      <c r="I81" s="28"/>
      <c r="J81" s="28">
        <f>SUM(J82:J105)</f>
        <v>923.2740837480001</v>
      </c>
      <c r="K81" s="29"/>
      <c r="AG81" s="23"/>
      <c r="AQ81" s="31">
        <f>SUM(AH82:AH105)</f>
        <v>0</v>
      </c>
      <c r="AR81" s="31">
        <f>SUM(AI82:AI105)</f>
        <v>0</v>
      </c>
      <c r="AS81" s="31">
        <f>SUM(AJ82:AJ105)</f>
        <v>0</v>
      </c>
    </row>
    <row r="82" spans="1:60" ht="25.5">
      <c r="A82" s="16" t="s">
        <v>211</v>
      </c>
      <c r="B82" s="16"/>
      <c r="C82" s="16" t="s">
        <v>212</v>
      </c>
      <c r="D82" s="32" t="s">
        <v>213</v>
      </c>
      <c r="E82" s="16" t="s">
        <v>192</v>
      </c>
      <c r="F82" s="33">
        <v>119.181</v>
      </c>
      <c r="G82" s="422"/>
      <c r="H82" s="34">
        <f>F82*G82</f>
        <v>0</v>
      </c>
      <c r="I82" s="35">
        <v>0.74</v>
      </c>
      <c r="J82" s="35">
        <f>F82*I82</f>
        <v>88.19394</v>
      </c>
      <c r="K82" s="36" t="s">
        <v>94</v>
      </c>
      <c r="X82" s="37">
        <f>IF(AO82="5",BH82,0)</f>
        <v>0</v>
      </c>
      <c r="Z82" s="37">
        <f>IF(AO82="1",BF82,0)</f>
        <v>0</v>
      </c>
      <c r="AA82" s="37">
        <f>IF(AO82="1",BG82,0)</f>
        <v>0</v>
      </c>
      <c r="AB82" s="37">
        <f>IF(AO82="7",BF82,0)</f>
        <v>0</v>
      </c>
      <c r="AC82" s="37">
        <f>IF(AO82="7",BG82,0)</f>
        <v>0</v>
      </c>
      <c r="AD82" s="37">
        <f>IF(AO82="2",BF82,0)</f>
        <v>0</v>
      </c>
      <c r="AE82" s="37">
        <f>IF(AO82="2",BG82,0)</f>
        <v>0</v>
      </c>
      <c r="AF82" s="37">
        <f>IF(AO82="0",BH82,0)</f>
        <v>0</v>
      </c>
      <c r="AG82" s="23"/>
      <c r="AH82" s="37">
        <f>IF(AL82=0,H82,0)</f>
        <v>0</v>
      </c>
      <c r="AI82" s="37">
        <f>IF(AL82=15,H82,0)</f>
        <v>0</v>
      </c>
      <c r="AJ82" s="37">
        <f>IF(AL82=21,H82,0)</f>
        <v>0</v>
      </c>
      <c r="AL82" s="37">
        <v>21</v>
      </c>
      <c r="AM82" s="37">
        <f>G82*0.65195785552027</f>
        <v>0</v>
      </c>
      <c r="AN82" s="37">
        <f>G82*(1-0.65195785552027)</f>
        <v>0</v>
      </c>
      <c r="AO82" s="38" t="s">
        <v>90</v>
      </c>
      <c r="AT82" s="37">
        <f>AU82+AV82</f>
        <v>0</v>
      </c>
      <c r="AU82" s="37">
        <f>F82*AM82</f>
        <v>0</v>
      </c>
      <c r="AV82" s="37">
        <f>F82*AN82</f>
        <v>0</v>
      </c>
      <c r="AW82" s="38" t="s">
        <v>214</v>
      </c>
      <c r="AX82" s="38" t="s">
        <v>205</v>
      </c>
      <c r="AY82" s="23" t="s">
        <v>97</v>
      </c>
      <c r="BA82" s="37">
        <f>AU82+AV82</f>
        <v>0</v>
      </c>
      <c r="BB82" s="37">
        <f>G82/(100-BC82)*100</f>
        <v>0</v>
      </c>
      <c r="BC82" s="37">
        <v>0</v>
      </c>
      <c r="BD82" s="37">
        <f>J82</f>
        <v>88.19394</v>
      </c>
      <c r="BF82" s="37">
        <f>F82*AM82</f>
        <v>0</v>
      </c>
      <c r="BG82" s="37">
        <f>F82*AN82</f>
        <v>0</v>
      </c>
      <c r="BH82" s="37">
        <f>F82*G82</f>
        <v>0</v>
      </c>
    </row>
    <row r="83" spans="1:11" ht="12.75">
      <c r="A83" s="39"/>
      <c r="B83" s="40"/>
      <c r="C83" s="40"/>
      <c r="D83" s="41" t="s">
        <v>215</v>
      </c>
      <c r="E83" s="40"/>
      <c r="F83" s="42">
        <v>53.392</v>
      </c>
      <c r="G83" s="40"/>
      <c r="H83" s="40"/>
      <c r="I83" s="43"/>
      <c r="J83" s="43"/>
      <c r="K83" s="40"/>
    </row>
    <row r="84" spans="1:11" ht="12.75">
      <c r="A84" s="39"/>
      <c r="B84" s="40"/>
      <c r="C84" s="40"/>
      <c r="D84" s="41" t="s">
        <v>216</v>
      </c>
      <c r="E84" s="40"/>
      <c r="F84" s="42">
        <v>15.402</v>
      </c>
      <c r="G84" s="40"/>
      <c r="H84" s="40"/>
      <c r="I84" s="43"/>
      <c r="J84" s="43"/>
      <c r="K84" s="40"/>
    </row>
    <row r="85" spans="1:11" ht="12.75">
      <c r="A85" s="39"/>
      <c r="B85" s="40"/>
      <c r="C85" s="40"/>
      <c r="D85" s="41" t="s">
        <v>217</v>
      </c>
      <c r="E85" s="40"/>
      <c r="F85" s="42">
        <v>8.254</v>
      </c>
      <c r="G85" s="40"/>
      <c r="H85" s="40"/>
      <c r="I85" s="43"/>
      <c r="J85" s="43"/>
      <c r="K85" s="40"/>
    </row>
    <row r="86" spans="1:11" ht="12.75">
      <c r="A86" s="39"/>
      <c r="B86" s="40"/>
      <c r="C86" s="40"/>
      <c r="D86" s="41" t="s">
        <v>218</v>
      </c>
      <c r="E86" s="40"/>
      <c r="F86" s="42">
        <v>10.883</v>
      </c>
      <c r="G86" s="40"/>
      <c r="H86" s="40"/>
      <c r="I86" s="43"/>
      <c r="J86" s="43"/>
      <c r="K86" s="40"/>
    </row>
    <row r="87" spans="1:11" ht="12.75">
      <c r="A87" s="39"/>
      <c r="B87" s="40"/>
      <c r="C87" s="40"/>
      <c r="D87" s="41" t="s">
        <v>219</v>
      </c>
      <c r="E87" s="40"/>
      <c r="F87" s="42">
        <v>31.25</v>
      </c>
      <c r="G87" s="40"/>
      <c r="H87" s="40"/>
      <c r="I87" s="43"/>
      <c r="J87" s="43"/>
      <c r="K87" s="40"/>
    </row>
    <row r="88" spans="1:11" ht="25.5">
      <c r="A88" s="39">
        <v>21</v>
      </c>
      <c r="B88" s="40"/>
      <c r="C88" s="16" t="s">
        <v>220</v>
      </c>
      <c r="D88" s="32" t="s">
        <v>221</v>
      </c>
      <c r="E88" s="16" t="s">
        <v>192</v>
      </c>
      <c r="F88" s="33">
        <v>99</v>
      </c>
      <c r="G88" s="422"/>
      <c r="H88" s="34">
        <f>F88*G88</f>
        <v>0</v>
      </c>
      <c r="I88" s="35">
        <v>0.385</v>
      </c>
      <c r="J88" s="35">
        <f>F88*I88</f>
        <v>38.115</v>
      </c>
      <c r="K88" s="36" t="s">
        <v>94</v>
      </c>
    </row>
    <row r="89" spans="1:11" ht="12.75">
      <c r="A89" s="39"/>
      <c r="B89" s="40"/>
      <c r="C89" s="40"/>
      <c r="D89" s="41" t="s">
        <v>222</v>
      </c>
      <c r="E89" s="40"/>
      <c r="F89" s="42">
        <v>99</v>
      </c>
      <c r="G89" s="40"/>
      <c r="H89" s="40"/>
      <c r="I89" s="43"/>
      <c r="J89" s="43"/>
      <c r="K89" s="40"/>
    </row>
    <row r="90" spans="1:11" ht="12.75">
      <c r="A90" s="39">
        <v>22</v>
      </c>
      <c r="B90" s="40"/>
      <c r="C90" s="16" t="s">
        <v>223</v>
      </c>
      <c r="D90" s="32" t="s">
        <v>224</v>
      </c>
      <c r="E90" s="16" t="s">
        <v>225</v>
      </c>
      <c r="F90" s="33">
        <v>35</v>
      </c>
      <c r="G90" s="422"/>
      <c r="H90" s="34">
        <f>F90*G90</f>
        <v>0</v>
      </c>
      <c r="I90" s="35">
        <v>0.35</v>
      </c>
      <c r="J90" s="35">
        <f>F90*I90</f>
        <v>12.25</v>
      </c>
      <c r="K90" s="36" t="s">
        <v>226</v>
      </c>
    </row>
    <row r="91" spans="1:11" ht="12.75">
      <c r="A91" s="39"/>
      <c r="B91" s="40"/>
      <c r="C91" s="40"/>
      <c r="D91" s="41" t="s">
        <v>227</v>
      </c>
      <c r="E91" s="40"/>
      <c r="F91" s="42">
        <v>35</v>
      </c>
      <c r="G91" s="40"/>
      <c r="H91" s="40"/>
      <c r="I91" s="43"/>
      <c r="J91" s="43"/>
      <c r="K91" s="40"/>
    </row>
    <row r="92" spans="1:60" ht="12.75">
      <c r="A92" s="44" t="s">
        <v>228</v>
      </c>
      <c r="B92" s="44"/>
      <c r="C92" s="44" t="s">
        <v>229</v>
      </c>
      <c r="D92" s="45" t="s">
        <v>230</v>
      </c>
      <c r="E92" s="44" t="s">
        <v>102</v>
      </c>
      <c r="F92" s="46">
        <v>42</v>
      </c>
      <c r="G92" s="423"/>
      <c r="H92" s="47">
        <f>F92*G92</f>
        <v>0</v>
      </c>
      <c r="I92" s="48">
        <v>2.525</v>
      </c>
      <c r="J92" s="48">
        <f>F92*I92</f>
        <v>106.05</v>
      </c>
      <c r="K92" s="49" t="s">
        <v>94</v>
      </c>
      <c r="X92" s="37">
        <f>IF(AO92="5",BH92,0)</f>
        <v>0</v>
      </c>
      <c r="Z92" s="37">
        <f>IF(AO92="1",BF92,0)</f>
        <v>0</v>
      </c>
      <c r="AA92" s="37">
        <f>IF(AO92="1",BG92,0)</f>
        <v>0</v>
      </c>
      <c r="AB92" s="37">
        <f>IF(AO92="7",BF92,0)</f>
        <v>0</v>
      </c>
      <c r="AC92" s="37">
        <f>IF(AO92="7",BG92,0)</f>
        <v>0</v>
      </c>
      <c r="AD92" s="37">
        <f>IF(AO92="2",BF92,0)</f>
        <v>0</v>
      </c>
      <c r="AE92" s="37">
        <f>IF(AO92="2",BG92,0)</f>
        <v>0</v>
      </c>
      <c r="AF92" s="37">
        <f>IF(AO92="0",BH92,0)</f>
        <v>0</v>
      </c>
      <c r="AG92" s="23"/>
      <c r="AH92" s="37">
        <f>IF(AL92=0,H92,0)</f>
        <v>0</v>
      </c>
      <c r="AI92" s="37">
        <f>IF(AL92=15,H92,0)</f>
        <v>0</v>
      </c>
      <c r="AJ92" s="37">
        <f>IF(AL92=21,H92,0)</f>
        <v>0</v>
      </c>
      <c r="AL92" s="37">
        <v>21</v>
      </c>
      <c r="AM92" s="37">
        <f>G92*0.905771399561838</f>
        <v>0</v>
      </c>
      <c r="AN92" s="37">
        <f>G92*(1-0.905771399561838)</f>
        <v>0</v>
      </c>
      <c r="AO92" s="38" t="s">
        <v>90</v>
      </c>
      <c r="AT92" s="37">
        <f>AU92+AV92</f>
        <v>0</v>
      </c>
      <c r="AU92" s="37">
        <f>F92*AM92</f>
        <v>0</v>
      </c>
      <c r="AV92" s="37">
        <f>F92*AN92</f>
        <v>0</v>
      </c>
      <c r="AW92" s="38" t="s">
        <v>214</v>
      </c>
      <c r="AX92" s="38" t="s">
        <v>205</v>
      </c>
      <c r="AY92" s="23" t="s">
        <v>97</v>
      </c>
      <c r="BA92" s="37">
        <f>AU92+AV92</f>
        <v>0</v>
      </c>
      <c r="BB92" s="37">
        <f>G92/(100-BC92)*100</f>
        <v>0</v>
      </c>
      <c r="BC92" s="37">
        <v>0</v>
      </c>
      <c r="BD92" s="37">
        <f>J92</f>
        <v>106.05</v>
      </c>
      <c r="BF92" s="37">
        <f>F92*AM92</f>
        <v>0</v>
      </c>
      <c r="BG92" s="37">
        <f>F92*AN92</f>
        <v>0</v>
      </c>
      <c r="BH92" s="37">
        <f>F92*G92</f>
        <v>0</v>
      </c>
    </row>
    <row r="93" spans="1:11" ht="12.75">
      <c r="A93" s="50"/>
      <c r="B93" s="51"/>
      <c r="C93" s="51"/>
      <c r="D93" s="52" t="s">
        <v>231</v>
      </c>
      <c r="E93" s="51"/>
      <c r="F93" s="53">
        <v>42</v>
      </c>
      <c r="G93" s="51"/>
      <c r="H93" s="51"/>
      <c r="I93" s="54"/>
      <c r="J93" s="54"/>
      <c r="K93" s="51"/>
    </row>
    <row r="94" spans="1:60" ht="12.75">
      <c r="A94" s="16" t="s">
        <v>232</v>
      </c>
      <c r="B94" s="16"/>
      <c r="C94" s="16" t="s">
        <v>233</v>
      </c>
      <c r="D94" s="32" t="s">
        <v>234</v>
      </c>
      <c r="E94" s="16" t="s">
        <v>192</v>
      </c>
      <c r="F94" s="33">
        <v>22.4</v>
      </c>
      <c r="G94" s="422"/>
      <c r="H94" s="34">
        <f>F94*G94</f>
        <v>0</v>
      </c>
      <c r="I94" s="35">
        <v>0.03916</v>
      </c>
      <c r="J94" s="35">
        <f>F94*I94</f>
        <v>0.877184</v>
      </c>
      <c r="K94" s="36" t="s">
        <v>94</v>
      </c>
      <c r="X94" s="37">
        <f>IF(AO94="5",BH94,0)</f>
        <v>0</v>
      </c>
      <c r="Z94" s="37">
        <f>IF(AO94="1",BF94,0)</f>
        <v>0</v>
      </c>
      <c r="AA94" s="37">
        <f>IF(AO94="1",BG94,0)</f>
        <v>0</v>
      </c>
      <c r="AB94" s="37">
        <f>IF(AO94="7",BF94,0)</f>
        <v>0</v>
      </c>
      <c r="AC94" s="37">
        <f>IF(AO94="7",BG94,0)</f>
        <v>0</v>
      </c>
      <c r="AD94" s="37">
        <f>IF(AO94="2",BF94,0)</f>
        <v>0</v>
      </c>
      <c r="AE94" s="37">
        <f>IF(AO94="2",BG94,0)</f>
        <v>0</v>
      </c>
      <c r="AF94" s="37">
        <f>IF(AO94="0",BH94,0)</f>
        <v>0</v>
      </c>
      <c r="AG94" s="23"/>
      <c r="AH94" s="37">
        <f>IF(AL94=0,H94,0)</f>
        <v>0</v>
      </c>
      <c r="AI94" s="37">
        <f>IF(AL94=15,H94,0)</f>
        <v>0</v>
      </c>
      <c r="AJ94" s="37">
        <f>IF(AL94=21,H94,0)</f>
        <v>0</v>
      </c>
      <c r="AL94" s="37">
        <v>21</v>
      </c>
      <c r="AM94" s="37">
        <f>G94*0.272557726465364</f>
        <v>0</v>
      </c>
      <c r="AN94" s="37">
        <f>G94*(1-0.272557726465364)</f>
        <v>0</v>
      </c>
      <c r="AO94" s="38" t="s">
        <v>90</v>
      </c>
      <c r="AT94" s="37">
        <f>AU94+AV94</f>
        <v>0</v>
      </c>
      <c r="AU94" s="37">
        <f>F94*AM94</f>
        <v>0</v>
      </c>
      <c r="AV94" s="37">
        <f>F94*AN94</f>
        <v>0</v>
      </c>
      <c r="AW94" s="38" t="s">
        <v>214</v>
      </c>
      <c r="AX94" s="38" t="s">
        <v>205</v>
      </c>
      <c r="AY94" s="23" t="s">
        <v>97</v>
      </c>
      <c r="BA94" s="37">
        <f>AU94+AV94</f>
        <v>0</v>
      </c>
      <c r="BB94" s="37">
        <f>G94/(100-BC94)*100</f>
        <v>0</v>
      </c>
      <c r="BC94" s="37">
        <v>0</v>
      </c>
      <c r="BD94" s="37">
        <f>J94</f>
        <v>0.877184</v>
      </c>
      <c r="BF94" s="37">
        <f>F94*AM94</f>
        <v>0</v>
      </c>
      <c r="BG94" s="37">
        <f>F94*AN94</f>
        <v>0</v>
      </c>
      <c r="BH94" s="37">
        <f>F94*G94</f>
        <v>0</v>
      </c>
    </row>
    <row r="95" spans="1:11" ht="12.75">
      <c r="A95" s="39"/>
      <c r="B95" s="40"/>
      <c r="C95" s="40"/>
      <c r="D95" s="41" t="s">
        <v>235</v>
      </c>
      <c r="E95" s="40"/>
      <c r="F95" s="42">
        <v>22.4</v>
      </c>
      <c r="G95" s="40"/>
      <c r="H95" s="40"/>
      <c r="I95" s="43"/>
      <c r="J95" s="43"/>
      <c r="K95" s="40"/>
    </row>
    <row r="96" spans="1:60" ht="12.75">
      <c r="A96" s="44" t="s">
        <v>236</v>
      </c>
      <c r="B96" s="44"/>
      <c r="C96" s="44" t="s">
        <v>237</v>
      </c>
      <c r="D96" s="45" t="s">
        <v>238</v>
      </c>
      <c r="E96" s="44" t="s">
        <v>239</v>
      </c>
      <c r="F96" s="46">
        <v>1.8793</v>
      </c>
      <c r="G96" s="47"/>
      <c r="H96" s="47">
        <f>F96*G96</f>
        <v>0</v>
      </c>
      <c r="I96" s="48">
        <v>1.02116</v>
      </c>
      <c r="J96" s="48">
        <f>F96*I96</f>
        <v>1.919065988</v>
      </c>
      <c r="K96" s="49" t="s">
        <v>94</v>
      </c>
      <c r="X96" s="37">
        <f>IF(AO96="5",BH96,0)</f>
        <v>0</v>
      </c>
      <c r="Z96" s="37">
        <f>IF(AO96="1",BF96,0)</f>
        <v>0</v>
      </c>
      <c r="AA96" s="37">
        <f>IF(AO96="1",BG96,0)</f>
        <v>0</v>
      </c>
      <c r="AB96" s="37">
        <f>IF(AO96="7",BF96,0)</f>
        <v>0</v>
      </c>
      <c r="AC96" s="37">
        <f>IF(AO96="7",BG96,0)</f>
        <v>0</v>
      </c>
      <c r="AD96" s="37">
        <f>IF(AO96="2",BF96,0)</f>
        <v>0</v>
      </c>
      <c r="AE96" s="37">
        <f>IF(AO96="2",BG96,0)</f>
        <v>0</v>
      </c>
      <c r="AF96" s="37">
        <f>IF(AO96="0",BH96,0)</f>
        <v>0</v>
      </c>
      <c r="AG96" s="23"/>
      <c r="AH96" s="37">
        <f>IF(AL96=0,H96,0)</f>
        <v>0</v>
      </c>
      <c r="AI96" s="37">
        <f>IF(AL96=15,H96,0)</f>
        <v>0</v>
      </c>
      <c r="AJ96" s="37">
        <f>IF(AL96=21,H96,0)</f>
        <v>0</v>
      </c>
      <c r="AL96" s="37">
        <v>21</v>
      </c>
      <c r="AM96" s="37">
        <f>G96*0.678350079744817</f>
        <v>0</v>
      </c>
      <c r="AN96" s="37">
        <f>G96*(1-0.678350079744817)</f>
        <v>0</v>
      </c>
      <c r="AO96" s="38" t="s">
        <v>90</v>
      </c>
      <c r="AT96" s="37">
        <f>AU96+AV96</f>
        <v>0</v>
      </c>
      <c r="AU96" s="37">
        <f>F96*AM96</f>
        <v>0</v>
      </c>
      <c r="AV96" s="37">
        <f>F96*AN96</f>
        <v>0</v>
      </c>
      <c r="AW96" s="38" t="s">
        <v>214</v>
      </c>
      <c r="AX96" s="38" t="s">
        <v>205</v>
      </c>
      <c r="AY96" s="23" t="s">
        <v>97</v>
      </c>
      <c r="BA96" s="37">
        <f>AU96+AV96</f>
        <v>0</v>
      </c>
      <c r="BB96" s="37">
        <f>G96/(100-BC96)*100</f>
        <v>0</v>
      </c>
      <c r="BC96" s="37">
        <v>0</v>
      </c>
      <c r="BD96" s="37">
        <f>J96</f>
        <v>1.919065988</v>
      </c>
      <c r="BF96" s="37">
        <f>F96*AM96</f>
        <v>0</v>
      </c>
      <c r="BG96" s="37">
        <f>F96*AN96</f>
        <v>0</v>
      </c>
      <c r="BH96" s="37">
        <f>F96*G96</f>
        <v>0</v>
      </c>
    </row>
    <row r="97" spans="1:11" ht="12.75">
      <c r="A97" s="50"/>
      <c r="B97" s="51"/>
      <c r="C97" s="51"/>
      <c r="D97" s="52" t="s">
        <v>240</v>
      </c>
      <c r="E97" s="51"/>
      <c r="F97" s="53">
        <v>1.062</v>
      </c>
      <c r="G97" s="51"/>
      <c r="H97" s="51"/>
      <c r="I97" s="54"/>
      <c r="J97" s="54"/>
      <c r="K97" s="51"/>
    </row>
    <row r="98" spans="1:11" ht="12.75">
      <c r="A98" s="50"/>
      <c r="B98" s="51"/>
      <c r="C98" s="51"/>
      <c r="D98" s="52" t="s">
        <v>241</v>
      </c>
      <c r="E98" s="51"/>
      <c r="F98" s="53">
        <v>0.8173</v>
      </c>
      <c r="G98" s="51"/>
      <c r="H98" s="51"/>
      <c r="I98" s="54"/>
      <c r="J98" s="54"/>
      <c r="K98" s="51"/>
    </row>
    <row r="99" spans="1:60" ht="12.75">
      <c r="A99" s="44" t="s">
        <v>242</v>
      </c>
      <c r="B99" s="44"/>
      <c r="C99" s="44" t="s">
        <v>243</v>
      </c>
      <c r="D99" s="45" t="s">
        <v>244</v>
      </c>
      <c r="E99" s="44" t="s">
        <v>102</v>
      </c>
      <c r="F99" s="46">
        <v>257</v>
      </c>
      <c r="G99" s="423"/>
      <c r="H99" s="47">
        <f>F99*G99</f>
        <v>0</v>
      </c>
      <c r="I99" s="48">
        <v>2.525</v>
      </c>
      <c r="J99" s="48">
        <f>F99*I99</f>
        <v>648.925</v>
      </c>
      <c r="K99" s="49" t="s">
        <v>94</v>
      </c>
      <c r="X99" s="37">
        <f>IF(AO99="5",BH99,0)</f>
        <v>0</v>
      </c>
      <c r="Z99" s="37">
        <f>IF(AO99="1",BF99,0)</f>
        <v>0</v>
      </c>
      <c r="AA99" s="37">
        <f>IF(AO99="1",BG99,0)</f>
        <v>0</v>
      </c>
      <c r="AB99" s="37">
        <f>IF(AO99="7",BF99,0)</f>
        <v>0</v>
      </c>
      <c r="AC99" s="37">
        <f>IF(AO99="7",BG99,0)</f>
        <v>0</v>
      </c>
      <c r="AD99" s="37">
        <f>IF(AO99="2",BF99,0)</f>
        <v>0</v>
      </c>
      <c r="AE99" s="37">
        <f>IF(AO99="2",BG99,0)</f>
        <v>0</v>
      </c>
      <c r="AF99" s="37">
        <f>IF(AO99="0",BH99,0)</f>
        <v>0</v>
      </c>
      <c r="AG99" s="23"/>
      <c r="AH99" s="37">
        <f>IF(AL99=0,H99,0)</f>
        <v>0</v>
      </c>
      <c r="AI99" s="37">
        <f>IF(AL99=15,H99,0)</f>
        <v>0</v>
      </c>
      <c r="AJ99" s="37">
        <f>IF(AL99=21,H99,0)</f>
        <v>0</v>
      </c>
      <c r="AL99" s="37">
        <v>21</v>
      </c>
      <c r="AM99" s="37">
        <f>G99*0.914468149362556</f>
        <v>0</v>
      </c>
      <c r="AN99" s="37">
        <f>G99*(1-0.914468149362556)</f>
        <v>0</v>
      </c>
      <c r="AO99" s="38" t="s">
        <v>90</v>
      </c>
      <c r="AT99" s="37">
        <f>AU99+AV99</f>
        <v>0</v>
      </c>
      <c r="AU99" s="37">
        <f>F99*AM99</f>
        <v>0</v>
      </c>
      <c r="AV99" s="37">
        <f>F99*AN99</f>
        <v>0</v>
      </c>
      <c r="AW99" s="38" t="s">
        <v>214</v>
      </c>
      <c r="AX99" s="38" t="s">
        <v>205</v>
      </c>
      <c r="AY99" s="23" t="s">
        <v>97</v>
      </c>
      <c r="BA99" s="37">
        <f>AU99+AV99</f>
        <v>0</v>
      </c>
      <c r="BB99" s="37">
        <f>G99/(100-BC99)*100</f>
        <v>0</v>
      </c>
      <c r="BC99" s="37">
        <v>0</v>
      </c>
      <c r="BD99" s="37">
        <f>J99</f>
        <v>648.925</v>
      </c>
      <c r="BF99" s="37">
        <f>F99*AM99</f>
        <v>0</v>
      </c>
      <c r="BG99" s="37">
        <f>F99*AN99</f>
        <v>0</v>
      </c>
      <c r="BH99" s="37">
        <f>F99*G99</f>
        <v>0</v>
      </c>
    </row>
    <row r="100" spans="1:11" ht="12.75">
      <c r="A100" s="50"/>
      <c r="B100" s="51"/>
      <c r="C100" s="51"/>
      <c r="D100" s="52" t="s">
        <v>245</v>
      </c>
      <c r="E100" s="51"/>
      <c r="F100" s="53">
        <v>257</v>
      </c>
      <c r="G100" s="51"/>
      <c r="H100" s="51"/>
      <c r="I100" s="54"/>
      <c r="J100" s="54"/>
      <c r="K100" s="51"/>
    </row>
    <row r="101" spans="1:60" ht="12.75">
      <c r="A101" s="16" t="s">
        <v>209</v>
      </c>
      <c r="B101" s="16"/>
      <c r="C101" s="16" t="s">
        <v>246</v>
      </c>
      <c r="D101" s="32" t="s">
        <v>247</v>
      </c>
      <c r="E101" s="16" t="s">
        <v>192</v>
      </c>
      <c r="F101" s="33">
        <v>79.516</v>
      </c>
      <c r="G101" s="422"/>
      <c r="H101" s="34">
        <f>F101*G101</f>
        <v>0</v>
      </c>
      <c r="I101" s="35">
        <v>0.0392</v>
      </c>
      <c r="J101" s="35">
        <f>F101*I101</f>
        <v>3.1170272</v>
      </c>
      <c r="K101" s="36" t="s">
        <v>94</v>
      </c>
      <c r="X101" s="37">
        <f>IF(AO101="5",BH101,0)</f>
        <v>0</v>
      </c>
      <c r="Z101" s="37">
        <f>IF(AO101="1",BF101,0)</f>
        <v>0</v>
      </c>
      <c r="AA101" s="37">
        <f>IF(AO101="1",BG101,0)</f>
        <v>0</v>
      </c>
      <c r="AB101" s="37">
        <f>IF(AO101="7",BF101,0)</f>
        <v>0</v>
      </c>
      <c r="AC101" s="37">
        <f>IF(AO101="7",BG101,0)</f>
        <v>0</v>
      </c>
      <c r="AD101" s="37">
        <f>IF(AO101="2",BF101,0)</f>
        <v>0</v>
      </c>
      <c r="AE101" s="37">
        <f>IF(AO101="2",BG101,0)</f>
        <v>0</v>
      </c>
      <c r="AF101" s="37">
        <f>IF(AO101="0",BH101,0)</f>
        <v>0</v>
      </c>
      <c r="AG101" s="23"/>
      <c r="AH101" s="37">
        <f>IF(AL101=0,H101,0)</f>
        <v>0</v>
      </c>
      <c r="AI101" s="37">
        <f>IF(AL101=15,H101,0)</f>
        <v>0</v>
      </c>
      <c r="AJ101" s="37">
        <f>IF(AL101=21,H101,0)</f>
        <v>0</v>
      </c>
      <c r="AL101" s="37">
        <v>21</v>
      </c>
      <c r="AM101" s="37">
        <f>G101*0.208529032258065</f>
        <v>0</v>
      </c>
      <c r="AN101" s="37">
        <f>G101*(1-0.208529032258065)</f>
        <v>0</v>
      </c>
      <c r="AO101" s="38" t="s">
        <v>90</v>
      </c>
      <c r="AT101" s="37">
        <f>AU101+AV101</f>
        <v>0</v>
      </c>
      <c r="AU101" s="37">
        <f>F101*AM101</f>
        <v>0</v>
      </c>
      <c r="AV101" s="37">
        <f>F101*AN101</f>
        <v>0</v>
      </c>
      <c r="AW101" s="38" t="s">
        <v>214</v>
      </c>
      <c r="AX101" s="38" t="s">
        <v>205</v>
      </c>
      <c r="AY101" s="23" t="s">
        <v>97</v>
      </c>
      <c r="BA101" s="37">
        <f>AU101+AV101</f>
        <v>0</v>
      </c>
      <c r="BB101" s="37">
        <f>G101/(100-BC101)*100</f>
        <v>0</v>
      </c>
      <c r="BC101" s="37">
        <v>0</v>
      </c>
      <c r="BD101" s="37">
        <f>J101</f>
        <v>3.1170272</v>
      </c>
      <c r="BF101" s="37">
        <f>F101*AM101</f>
        <v>0</v>
      </c>
      <c r="BG101" s="37">
        <f>F101*AN101</f>
        <v>0</v>
      </c>
      <c r="BH101" s="37">
        <f>F101*G101</f>
        <v>0</v>
      </c>
    </row>
    <row r="102" spans="1:11" ht="12.75">
      <c r="A102" s="39"/>
      <c r="B102" s="40"/>
      <c r="C102" s="40"/>
      <c r="D102" s="41" t="s">
        <v>248</v>
      </c>
      <c r="E102" s="40"/>
      <c r="F102" s="42">
        <v>79.516</v>
      </c>
      <c r="G102" s="40"/>
      <c r="H102" s="40"/>
      <c r="I102" s="43"/>
      <c r="J102" s="43"/>
      <c r="K102" s="40"/>
    </row>
    <row r="103" spans="1:60" ht="12.75">
      <c r="A103" s="16" t="s">
        <v>249</v>
      </c>
      <c r="B103" s="16"/>
      <c r="C103" s="16" t="s">
        <v>250</v>
      </c>
      <c r="D103" s="32" t="s">
        <v>251</v>
      </c>
      <c r="E103" s="16" t="s">
        <v>192</v>
      </c>
      <c r="F103" s="33">
        <v>79.516</v>
      </c>
      <c r="G103" s="422"/>
      <c r="H103" s="34">
        <f>F103*G103</f>
        <v>0</v>
      </c>
      <c r="I103" s="35">
        <v>0</v>
      </c>
      <c r="J103" s="35">
        <f>F103*I103</f>
        <v>0</v>
      </c>
      <c r="K103" s="36" t="s">
        <v>94</v>
      </c>
      <c r="X103" s="37">
        <f>IF(AO103="5",BH103,0)</f>
        <v>0</v>
      </c>
      <c r="Z103" s="37">
        <f>IF(AO103="1",BF103,0)</f>
        <v>0</v>
      </c>
      <c r="AA103" s="37">
        <f>IF(AO103="1",BG103,0)</f>
        <v>0</v>
      </c>
      <c r="AB103" s="37">
        <f>IF(AO103="7",BF103,0)</f>
        <v>0</v>
      </c>
      <c r="AC103" s="37">
        <f>IF(AO103="7",BG103,0)</f>
        <v>0</v>
      </c>
      <c r="AD103" s="37">
        <f>IF(AO103="2",BF103,0)</f>
        <v>0</v>
      </c>
      <c r="AE103" s="37">
        <f>IF(AO103="2",BG103,0)</f>
        <v>0</v>
      </c>
      <c r="AF103" s="37">
        <f>IF(AO103="0",BH103,0)</f>
        <v>0</v>
      </c>
      <c r="AG103" s="23"/>
      <c r="AH103" s="37">
        <f>IF(AL103=0,H103,0)</f>
        <v>0</v>
      </c>
      <c r="AI103" s="37">
        <f>IF(AL103=15,H103,0)</f>
        <v>0</v>
      </c>
      <c r="AJ103" s="37">
        <f>IF(AL103=21,H103,0)</f>
        <v>0</v>
      </c>
      <c r="AL103" s="37">
        <v>21</v>
      </c>
      <c r="AM103" s="37">
        <f>G103*0</f>
        <v>0</v>
      </c>
      <c r="AN103" s="37">
        <f>G103*(1-0)</f>
        <v>0</v>
      </c>
      <c r="AO103" s="38" t="s">
        <v>90</v>
      </c>
      <c r="AT103" s="37">
        <f>AU103+AV103</f>
        <v>0</v>
      </c>
      <c r="AU103" s="37">
        <f>F103*AM103</f>
        <v>0</v>
      </c>
      <c r="AV103" s="37">
        <f>F103*AN103</f>
        <v>0</v>
      </c>
      <c r="AW103" s="38" t="s">
        <v>214</v>
      </c>
      <c r="AX103" s="38" t="s">
        <v>205</v>
      </c>
      <c r="AY103" s="23" t="s">
        <v>97</v>
      </c>
      <c r="BA103" s="37">
        <f>AU103+AV103</f>
        <v>0</v>
      </c>
      <c r="BB103" s="37">
        <f>G103/(100-BC103)*100</f>
        <v>0</v>
      </c>
      <c r="BC103" s="37">
        <v>0</v>
      </c>
      <c r="BD103" s="37">
        <f>J103</f>
        <v>0</v>
      </c>
      <c r="BF103" s="37">
        <f>F103*AM103</f>
        <v>0</v>
      </c>
      <c r="BG103" s="37">
        <f>F103*AN103</f>
        <v>0</v>
      </c>
      <c r="BH103" s="37">
        <f>F103*G103</f>
        <v>0</v>
      </c>
    </row>
    <row r="104" spans="1:11" ht="12.75">
      <c r="A104" s="39"/>
      <c r="B104" s="40"/>
      <c r="C104" s="40"/>
      <c r="D104" s="41" t="s">
        <v>248</v>
      </c>
      <c r="E104" s="40"/>
      <c r="F104" s="42">
        <v>79.516</v>
      </c>
      <c r="G104" s="40"/>
      <c r="H104" s="40"/>
      <c r="I104" s="43"/>
      <c r="J104" s="43"/>
      <c r="K104" s="40"/>
    </row>
    <row r="105" spans="1:60" ht="12.75">
      <c r="A105" s="44" t="s">
        <v>252</v>
      </c>
      <c r="B105" s="44"/>
      <c r="C105" s="44" t="s">
        <v>253</v>
      </c>
      <c r="D105" s="45" t="s">
        <v>254</v>
      </c>
      <c r="E105" s="44" t="s">
        <v>239</v>
      </c>
      <c r="F105" s="46">
        <v>23.744</v>
      </c>
      <c r="G105" s="423"/>
      <c r="H105" s="47">
        <f>F105*G105</f>
        <v>0</v>
      </c>
      <c r="I105" s="48">
        <v>1.00349</v>
      </c>
      <c r="J105" s="48">
        <f>F105*I105</f>
        <v>23.82686656</v>
      </c>
      <c r="K105" s="49" t="s">
        <v>94</v>
      </c>
      <c r="X105" s="37">
        <f>IF(AO105="5",BH105,0)</f>
        <v>0</v>
      </c>
      <c r="Z105" s="37">
        <f>IF(AO105="1",BF105,0)</f>
        <v>0</v>
      </c>
      <c r="AA105" s="37">
        <f>IF(AO105="1",BG105,0)</f>
        <v>0</v>
      </c>
      <c r="AB105" s="37">
        <f>IF(AO105="7",BF105,0)</f>
        <v>0</v>
      </c>
      <c r="AC105" s="37">
        <f>IF(AO105="7",BG105,0)</f>
        <v>0</v>
      </c>
      <c r="AD105" s="37">
        <f>IF(AO105="2",BF105,0)</f>
        <v>0</v>
      </c>
      <c r="AE105" s="37">
        <f>IF(AO105="2",BG105,0)</f>
        <v>0</v>
      </c>
      <c r="AF105" s="37">
        <f>IF(AO105="0",BH105,0)</f>
        <v>0</v>
      </c>
      <c r="AG105" s="23"/>
      <c r="AH105" s="37">
        <f>IF(AL105=0,H105,0)</f>
        <v>0</v>
      </c>
      <c r="AI105" s="37">
        <f>IF(AL105=15,H105,0)</f>
        <v>0</v>
      </c>
      <c r="AJ105" s="37">
        <f>IF(AL105=21,H105,0)</f>
        <v>0</v>
      </c>
      <c r="AL105" s="37">
        <v>21</v>
      </c>
      <c r="AM105" s="37">
        <f>G105*0.538820861155883</f>
        <v>0</v>
      </c>
      <c r="AN105" s="37">
        <f>G105*(1-0.538820861155883)</f>
        <v>0</v>
      </c>
      <c r="AO105" s="38" t="s">
        <v>90</v>
      </c>
      <c r="AT105" s="37">
        <f>AU105+AV105</f>
        <v>0</v>
      </c>
      <c r="AU105" s="37">
        <f>F105*AM105</f>
        <v>0</v>
      </c>
      <c r="AV105" s="37">
        <f>F105*AN105</f>
        <v>0</v>
      </c>
      <c r="AW105" s="38" t="s">
        <v>214</v>
      </c>
      <c r="AX105" s="38" t="s">
        <v>205</v>
      </c>
      <c r="AY105" s="23" t="s">
        <v>97</v>
      </c>
      <c r="BA105" s="37">
        <f>AU105+AV105</f>
        <v>0</v>
      </c>
      <c r="BB105" s="37">
        <f>G105/(100-BC105)*100</f>
        <v>0</v>
      </c>
      <c r="BC105" s="37">
        <v>0</v>
      </c>
      <c r="BD105" s="37">
        <f>J105</f>
        <v>23.82686656</v>
      </c>
      <c r="BF105" s="37">
        <f>F105*AM105</f>
        <v>0</v>
      </c>
      <c r="BG105" s="37">
        <f>F105*AN105</f>
        <v>0</v>
      </c>
      <c r="BH105" s="37">
        <f>F105*G105</f>
        <v>0</v>
      </c>
    </row>
    <row r="106" spans="1:11" ht="12.75">
      <c r="A106" s="50"/>
      <c r="B106" s="51"/>
      <c r="C106" s="51"/>
      <c r="D106" s="52" t="s">
        <v>255</v>
      </c>
      <c r="E106" s="51"/>
      <c r="F106" s="53">
        <v>23.744</v>
      </c>
      <c r="G106" s="51"/>
      <c r="H106" s="51"/>
      <c r="I106" s="54"/>
      <c r="J106" s="54"/>
      <c r="K106" s="51"/>
    </row>
    <row r="107" spans="1:45" ht="12.75">
      <c r="A107" s="24"/>
      <c r="B107" s="25"/>
      <c r="C107" s="25" t="s">
        <v>256</v>
      </c>
      <c r="D107" s="26" t="s">
        <v>257</v>
      </c>
      <c r="E107" s="24" t="s">
        <v>54</v>
      </c>
      <c r="F107" s="24" t="s">
        <v>54</v>
      </c>
      <c r="G107" s="24" t="s">
        <v>54</v>
      </c>
      <c r="H107" s="27">
        <f>SUM(H108:H124)</f>
        <v>0</v>
      </c>
      <c r="I107" s="28"/>
      <c r="J107" s="28">
        <f>SUM(J108:J124)</f>
        <v>516.6759560899999</v>
      </c>
      <c r="K107" s="29"/>
      <c r="AG107" s="23"/>
      <c r="AQ107" s="31">
        <f>SUM(AH108:AH124)</f>
        <v>0</v>
      </c>
      <c r="AR107" s="31">
        <f>SUM(AI108:AI124)</f>
        <v>0</v>
      </c>
      <c r="AS107" s="31">
        <f>SUM(AJ108:AJ124)</f>
        <v>0</v>
      </c>
    </row>
    <row r="108" spans="1:60" ht="12.75">
      <c r="A108" s="16" t="s">
        <v>258</v>
      </c>
      <c r="B108" s="16"/>
      <c r="C108" s="16" t="s">
        <v>259</v>
      </c>
      <c r="D108" s="32" t="s">
        <v>260</v>
      </c>
      <c r="E108" s="16" t="s">
        <v>102</v>
      </c>
      <c r="F108" s="33">
        <v>172</v>
      </c>
      <c r="G108" s="422"/>
      <c r="H108" s="34">
        <f>F108*G108</f>
        <v>0</v>
      </c>
      <c r="I108" s="35">
        <v>2.52767</v>
      </c>
      <c r="J108" s="35">
        <f>F108*I108</f>
        <v>434.75924000000003</v>
      </c>
      <c r="K108" s="36" t="s">
        <v>94</v>
      </c>
      <c r="X108" s="37">
        <f>IF(AO108="5",BH108,0)</f>
        <v>0</v>
      </c>
      <c r="Z108" s="37">
        <f>IF(AO108="1",BF108,0)</f>
        <v>0</v>
      </c>
      <c r="AA108" s="37">
        <f>IF(AO108="1",BG108,0)</f>
        <v>0</v>
      </c>
      <c r="AB108" s="37">
        <f>IF(AO108="7",BF108,0)</f>
        <v>0</v>
      </c>
      <c r="AC108" s="37">
        <f>IF(AO108="7",BG108,0)</f>
        <v>0</v>
      </c>
      <c r="AD108" s="37">
        <f>IF(AO108="2",BF108,0)</f>
        <v>0</v>
      </c>
      <c r="AE108" s="37">
        <f>IF(AO108="2",BG108,0)</f>
        <v>0</v>
      </c>
      <c r="AF108" s="37">
        <f>IF(AO108="0",BH108,0)</f>
        <v>0</v>
      </c>
      <c r="AG108" s="23"/>
      <c r="AH108" s="37">
        <f>IF(AL108=0,H108,0)</f>
        <v>0</v>
      </c>
      <c r="AI108" s="37">
        <f>IF(AL108=15,H108,0)</f>
        <v>0</v>
      </c>
      <c r="AJ108" s="37">
        <f>IF(AL108=21,H108,0)</f>
        <v>0</v>
      </c>
      <c r="AL108" s="37">
        <v>21</v>
      </c>
      <c r="AM108" s="37">
        <f>G108*0.850106591865358</f>
        <v>0</v>
      </c>
      <c r="AN108" s="37">
        <f>G108*(1-0.850106591865358)</f>
        <v>0</v>
      </c>
      <c r="AO108" s="38" t="s">
        <v>90</v>
      </c>
      <c r="AT108" s="37">
        <f>AU108+AV108</f>
        <v>0</v>
      </c>
      <c r="AU108" s="37">
        <f>F108*AM108</f>
        <v>0</v>
      </c>
      <c r="AV108" s="37">
        <f>F108*AN108</f>
        <v>0</v>
      </c>
      <c r="AW108" s="38" t="s">
        <v>261</v>
      </c>
      <c r="AX108" s="38" t="s">
        <v>262</v>
      </c>
      <c r="AY108" s="23" t="s">
        <v>97</v>
      </c>
      <c r="BA108" s="37">
        <f>AU108+AV108</f>
        <v>0</v>
      </c>
      <c r="BB108" s="37">
        <f>G108/(100-BC108)*100</f>
        <v>0</v>
      </c>
      <c r="BC108" s="37">
        <v>0</v>
      </c>
      <c r="BD108" s="37">
        <f>J108</f>
        <v>434.75924000000003</v>
      </c>
      <c r="BF108" s="37">
        <f>F108*AM108</f>
        <v>0</v>
      </c>
      <c r="BG108" s="37">
        <f>F108*AN108</f>
        <v>0</v>
      </c>
      <c r="BH108" s="37">
        <f>F108*G108</f>
        <v>0</v>
      </c>
    </row>
    <row r="109" spans="1:11" ht="12.75">
      <c r="A109" s="39"/>
      <c r="B109" s="40"/>
      <c r="C109" s="40"/>
      <c r="D109" s="41" t="s">
        <v>263</v>
      </c>
      <c r="E109" s="40"/>
      <c r="F109" s="42">
        <v>172</v>
      </c>
      <c r="G109" s="40"/>
      <c r="H109" s="40"/>
      <c r="I109" s="43"/>
      <c r="J109" s="43"/>
      <c r="K109" s="40"/>
    </row>
    <row r="110" spans="1:60" ht="12.75">
      <c r="A110" s="16" t="s">
        <v>256</v>
      </c>
      <c r="B110" s="16"/>
      <c r="C110" s="16" t="s">
        <v>264</v>
      </c>
      <c r="D110" s="32" t="s">
        <v>265</v>
      </c>
      <c r="E110" s="16" t="s">
        <v>192</v>
      </c>
      <c r="F110" s="33">
        <v>1664.456</v>
      </c>
      <c r="G110" s="422"/>
      <c r="H110" s="34">
        <f>F110*G110</f>
        <v>0</v>
      </c>
      <c r="I110" s="35">
        <v>0.03931</v>
      </c>
      <c r="J110" s="35">
        <f>F110*I110</f>
        <v>65.42976535999999</v>
      </c>
      <c r="K110" s="36" t="s">
        <v>94</v>
      </c>
      <c r="X110" s="37">
        <f>IF(AO110="5",BH110,0)</f>
        <v>0</v>
      </c>
      <c r="Z110" s="37">
        <f>IF(AO110="1",BF110,0)</f>
        <v>0</v>
      </c>
      <c r="AA110" s="37">
        <f>IF(AO110="1",BG110,0)</f>
        <v>0</v>
      </c>
      <c r="AB110" s="37">
        <f>IF(AO110="7",BF110,0)</f>
        <v>0</v>
      </c>
      <c r="AC110" s="37">
        <f>IF(AO110="7",BG110,0)</f>
        <v>0</v>
      </c>
      <c r="AD110" s="37">
        <f>IF(AO110="2",BF110,0)</f>
        <v>0</v>
      </c>
      <c r="AE110" s="37">
        <f>IF(AO110="2",BG110,0)</f>
        <v>0</v>
      </c>
      <c r="AF110" s="37">
        <f>IF(AO110="0",BH110,0)</f>
        <v>0</v>
      </c>
      <c r="AG110" s="23"/>
      <c r="AH110" s="37">
        <f>IF(AL110=0,H110,0)</f>
        <v>0</v>
      </c>
      <c r="AI110" s="37">
        <f>IF(AL110=15,H110,0)</f>
        <v>0</v>
      </c>
      <c r="AJ110" s="37">
        <f>IF(AL110=21,H110,0)</f>
        <v>0</v>
      </c>
      <c r="AL110" s="37">
        <v>21</v>
      </c>
      <c r="AM110" s="37">
        <f>G110*0.328427184466019</f>
        <v>0</v>
      </c>
      <c r="AN110" s="37">
        <f>G110*(1-0.328427184466019)</f>
        <v>0</v>
      </c>
      <c r="AO110" s="38" t="s">
        <v>90</v>
      </c>
      <c r="AT110" s="37">
        <f>AU110+AV110</f>
        <v>0</v>
      </c>
      <c r="AU110" s="37">
        <f>F110*AM110</f>
        <v>0</v>
      </c>
      <c r="AV110" s="37">
        <f>F110*AN110</f>
        <v>0</v>
      </c>
      <c r="AW110" s="38" t="s">
        <v>261</v>
      </c>
      <c r="AX110" s="38" t="s">
        <v>262</v>
      </c>
      <c r="AY110" s="23" t="s">
        <v>97</v>
      </c>
      <c r="BA110" s="37">
        <f>AU110+AV110</f>
        <v>0</v>
      </c>
      <c r="BB110" s="37">
        <f>G110/(100-BC110)*100</f>
        <v>0</v>
      </c>
      <c r="BC110" s="37">
        <v>0</v>
      </c>
      <c r="BD110" s="37">
        <f>J110</f>
        <v>65.42976535999999</v>
      </c>
      <c r="BF110" s="37">
        <f>F110*AM110</f>
        <v>0</v>
      </c>
      <c r="BG110" s="37">
        <f>F110*AN110</f>
        <v>0</v>
      </c>
      <c r="BH110" s="37">
        <f>F110*G110</f>
        <v>0</v>
      </c>
    </row>
    <row r="111" spans="1:11" ht="12.75">
      <c r="A111" s="39"/>
      <c r="B111" s="40"/>
      <c r="C111" s="40"/>
      <c r="D111" s="41" t="s">
        <v>266</v>
      </c>
      <c r="E111" s="40"/>
      <c r="F111" s="42">
        <v>551.057</v>
      </c>
      <c r="G111" s="40"/>
      <c r="H111" s="40"/>
      <c r="I111" s="43"/>
      <c r="J111" s="43"/>
      <c r="K111" s="40"/>
    </row>
    <row r="112" spans="1:11" ht="12.75">
      <c r="A112" s="39"/>
      <c r="B112" s="40"/>
      <c r="C112" s="40"/>
      <c r="D112" s="41" t="s">
        <v>267</v>
      </c>
      <c r="E112" s="40"/>
      <c r="F112" s="42">
        <v>934.337</v>
      </c>
      <c r="G112" s="40"/>
      <c r="H112" s="40"/>
      <c r="I112" s="43"/>
      <c r="J112" s="43"/>
      <c r="K112" s="40"/>
    </row>
    <row r="113" spans="1:11" ht="12.75">
      <c r="A113" s="39"/>
      <c r="B113" s="40"/>
      <c r="C113" s="40"/>
      <c r="D113" s="41" t="s">
        <v>268</v>
      </c>
      <c r="E113" s="40"/>
      <c r="F113" s="42">
        <v>179.062</v>
      </c>
      <c r="G113" s="40"/>
      <c r="H113" s="40"/>
      <c r="I113" s="43"/>
      <c r="J113" s="43"/>
      <c r="K113" s="40"/>
    </row>
    <row r="114" spans="1:60" ht="12.75">
      <c r="A114" s="16" t="s">
        <v>269</v>
      </c>
      <c r="B114" s="16"/>
      <c r="C114" s="16" t="s">
        <v>270</v>
      </c>
      <c r="D114" s="32" t="s">
        <v>271</v>
      </c>
      <c r="E114" s="16" t="s">
        <v>192</v>
      </c>
      <c r="F114" s="33">
        <v>1664.456</v>
      </c>
      <c r="G114" s="422"/>
      <c r="H114" s="34">
        <f>F114*G114</f>
        <v>0</v>
      </c>
      <c r="I114" s="35">
        <v>0</v>
      </c>
      <c r="J114" s="35">
        <f>F114*I114</f>
        <v>0</v>
      </c>
      <c r="K114" s="36" t="s">
        <v>94</v>
      </c>
      <c r="X114" s="37">
        <f>IF(AO114="5",BH114,0)</f>
        <v>0</v>
      </c>
      <c r="Z114" s="37">
        <f>IF(AO114="1",BF114,0)</f>
        <v>0</v>
      </c>
      <c r="AA114" s="37">
        <f>IF(AO114="1",BG114,0)</f>
        <v>0</v>
      </c>
      <c r="AB114" s="37">
        <f>IF(AO114="7",BF114,0)</f>
        <v>0</v>
      </c>
      <c r="AC114" s="37">
        <f>IF(AO114="7",BG114,0)</f>
        <v>0</v>
      </c>
      <c r="AD114" s="37">
        <f>IF(AO114="2",BF114,0)</f>
        <v>0</v>
      </c>
      <c r="AE114" s="37">
        <f>IF(AO114="2",BG114,0)</f>
        <v>0</v>
      </c>
      <c r="AF114" s="37">
        <f>IF(AO114="0",BH114,0)</f>
        <v>0</v>
      </c>
      <c r="AG114" s="23"/>
      <c r="AH114" s="37">
        <f>IF(AL114=0,H114,0)</f>
        <v>0</v>
      </c>
      <c r="AI114" s="37">
        <f>IF(AL114=15,H114,0)</f>
        <v>0</v>
      </c>
      <c r="AJ114" s="37">
        <f>IF(AL114=21,H114,0)</f>
        <v>0</v>
      </c>
      <c r="AL114" s="37">
        <v>21</v>
      </c>
      <c r="AM114" s="37">
        <f>G114*0</f>
        <v>0</v>
      </c>
      <c r="AN114" s="37">
        <f>G114*(1-0)</f>
        <v>0</v>
      </c>
      <c r="AO114" s="38" t="s">
        <v>90</v>
      </c>
      <c r="AT114" s="37">
        <f>AU114+AV114</f>
        <v>0</v>
      </c>
      <c r="AU114" s="37">
        <f>F114*AM114</f>
        <v>0</v>
      </c>
      <c r="AV114" s="37">
        <f>F114*AN114</f>
        <v>0</v>
      </c>
      <c r="AW114" s="38" t="s">
        <v>261</v>
      </c>
      <c r="AX114" s="38" t="s">
        <v>262</v>
      </c>
      <c r="AY114" s="23" t="s">
        <v>97</v>
      </c>
      <c r="BA114" s="37">
        <f>AU114+AV114</f>
        <v>0</v>
      </c>
      <c r="BB114" s="37">
        <f>G114/(100-BC114)*100</f>
        <v>0</v>
      </c>
      <c r="BC114" s="37">
        <v>0</v>
      </c>
      <c r="BD114" s="37">
        <f>J114</f>
        <v>0</v>
      </c>
      <c r="BF114" s="37">
        <f>F114*AM114</f>
        <v>0</v>
      </c>
      <c r="BG114" s="37">
        <f>F114*AN114</f>
        <v>0</v>
      </c>
      <c r="BH114" s="37">
        <f>F114*G114</f>
        <v>0</v>
      </c>
    </row>
    <row r="115" spans="1:11" ht="12.75">
      <c r="A115" s="39"/>
      <c r="B115" s="40"/>
      <c r="C115" s="40"/>
      <c r="D115" s="41" t="s">
        <v>266</v>
      </c>
      <c r="E115" s="40"/>
      <c r="F115" s="42">
        <v>551.057</v>
      </c>
      <c r="G115" s="40"/>
      <c r="H115" s="40"/>
      <c r="I115" s="43"/>
      <c r="J115" s="43"/>
      <c r="K115" s="40"/>
    </row>
    <row r="116" spans="1:11" ht="12.75">
      <c r="A116" s="39"/>
      <c r="B116" s="40"/>
      <c r="C116" s="40"/>
      <c r="D116" s="41" t="s">
        <v>267</v>
      </c>
      <c r="E116" s="40"/>
      <c r="F116" s="42">
        <v>934.337</v>
      </c>
      <c r="G116" s="40"/>
      <c r="H116" s="40"/>
      <c r="I116" s="43"/>
      <c r="J116" s="43"/>
      <c r="K116" s="40"/>
    </row>
    <row r="117" spans="1:11" ht="12.75">
      <c r="A117" s="39"/>
      <c r="B117" s="40"/>
      <c r="C117" s="40"/>
      <c r="D117" s="41" t="s">
        <v>268</v>
      </c>
      <c r="E117" s="40"/>
      <c r="F117" s="42">
        <v>179.062</v>
      </c>
      <c r="G117" s="40"/>
      <c r="H117" s="40"/>
      <c r="I117" s="43"/>
      <c r="J117" s="43"/>
      <c r="K117" s="40"/>
    </row>
    <row r="118" spans="1:60" ht="12.75">
      <c r="A118" s="44" t="s">
        <v>272</v>
      </c>
      <c r="B118" s="44"/>
      <c r="C118" s="44" t="s">
        <v>273</v>
      </c>
      <c r="D118" s="45" t="s">
        <v>274</v>
      </c>
      <c r="E118" s="44" t="s">
        <v>239</v>
      </c>
      <c r="F118" s="46">
        <v>15.037</v>
      </c>
      <c r="G118" s="423"/>
      <c r="H118" s="47">
        <f>F118*G118</f>
        <v>0</v>
      </c>
      <c r="I118" s="48">
        <v>1.02029</v>
      </c>
      <c r="J118" s="48">
        <f>F118*I118</f>
        <v>15.34210073</v>
      </c>
      <c r="K118" s="49" t="s">
        <v>94</v>
      </c>
      <c r="X118" s="37">
        <f>IF(AO118="5",BH118,0)</f>
        <v>0</v>
      </c>
      <c r="Z118" s="37">
        <f>IF(AO118="1",BF118,0)</f>
        <v>0</v>
      </c>
      <c r="AA118" s="37">
        <f>IF(AO118="1",BG118,0)</f>
        <v>0</v>
      </c>
      <c r="AB118" s="37">
        <f>IF(AO118="7",BF118,0)</f>
        <v>0</v>
      </c>
      <c r="AC118" s="37">
        <f>IF(AO118="7",BG118,0)</f>
        <v>0</v>
      </c>
      <c r="AD118" s="37">
        <f>IF(AO118="2",BF118,0)</f>
        <v>0</v>
      </c>
      <c r="AE118" s="37">
        <f>IF(AO118="2",BG118,0)</f>
        <v>0</v>
      </c>
      <c r="AF118" s="37">
        <f>IF(AO118="0",BH118,0)</f>
        <v>0</v>
      </c>
      <c r="AG118" s="23"/>
      <c r="AH118" s="37">
        <f>IF(AL118=0,H118,0)</f>
        <v>0</v>
      </c>
      <c r="AI118" s="37">
        <f>IF(AL118=15,H118,0)</f>
        <v>0</v>
      </c>
      <c r="AJ118" s="37">
        <f>IF(AL118=21,H118,0)</f>
        <v>0</v>
      </c>
      <c r="AL118" s="37">
        <v>21</v>
      </c>
      <c r="AM118" s="37">
        <f>G118*0.663980474934037</f>
        <v>0</v>
      </c>
      <c r="AN118" s="37">
        <f>G118*(1-0.663980474934037)</f>
        <v>0</v>
      </c>
      <c r="AO118" s="38" t="s">
        <v>90</v>
      </c>
      <c r="AT118" s="37">
        <f>AU118+AV118</f>
        <v>0</v>
      </c>
      <c r="AU118" s="37">
        <f>F118*AM118</f>
        <v>0</v>
      </c>
      <c r="AV118" s="37">
        <f>F118*AN118</f>
        <v>0</v>
      </c>
      <c r="AW118" s="38" t="s">
        <v>261</v>
      </c>
      <c r="AX118" s="38" t="s">
        <v>262</v>
      </c>
      <c r="AY118" s="23" t="s">
        <v>97</v>
      </c>
      <c r="BA118" s="37">
        <f>AU118+AV118</f>
        <v>0</v>
      </c>
      <c r="BB118" s="37">
        <f>G118/(100-BC118)*100</f>
        <v>0</v>
      </c>
      <c r="BC118" s="37">
        <v>0</v>
      </c>
      <c r="BD118" s="37">
        <f>J118</f>
        <v>15.34210073</v>
      </c>
      <c r="BF118" s="37">
        <f>F118*AM118</f>
        <v>0</v>
      </c>
      <c r="BG118" s="37">
        <f>F118*AN118</f>
        <v>0</v>
      </c>
      <c r="BH118" s="37">
        <f>F118*G118</f>
        <v>0</v>
      </c>
    </row>
    <row r="119" spans="1:11" ht="12.75">
      <c r="A119" s="50"/>
      <c r="B119" s="51"/>
      <c r="C119" s="51"/>
      <c r="D119" s="52" t="s">
        <v>275</v>
      </c>
      <c r="E119" s="51"/>
      <c r="F119" s="53">
        <v>15.037</v>
      </c>
      <c r="G119" s="51"/>
      <c r="H119" s="51"/>
      <c r="I119" s="54"/>
      <c r="J119" s="54"/>
      <c r="K119" s="51"/>
    </row>
    <row r="120" spans="1:60" ht="12.75">
      <c r="A120" s="16" t="s">
        <v>276</v>
      </c>
      <c r="B120" s="16"/>
      <c r="C120" s="16" t="s">
        <v>277</v>
      </c>
      <c r="D120" s="32" t="s">
        <v>278</v>
      </c>
      <c r="E120" s="16" t="s">
        <v>225</v>
      </c>
      <c r="F120" s="33">
        <v>15</v>
      </c>
      <c r="G120" s="422"/>
      <c r="H120" s="34">
        <f>F120*G120</f>
        <v>0</v>
      </c>
      <c r="I120" s="35">
        <v>0.05803</v>
      </c>
      <c r="J120" s="35">
        <f>F120*I120</f>
        <v>0.87045</v>
      </c>
      <c r="K120" s="36" t="s">
        <v>94</v>
      </c>
      <c r="X120" s="37">
        <f>IF(AO120="5",BH120,0)</f>
        <v>0</v>
      </c>
      <c r="Z120" s="37">
        <f>IF(AO120="1",BF120,0)</f>
        <v>0</v>
      </c>
      <c r="AA120" s="37">
        <f>IF(AO120="1",BG120,0)</f>
        <v>0</v>
      </c>
      <c r="AB120" s="37">
        <f>IF(AO120="7",BF120,0)</f>
        <v>0</v>
      </c>
      <c r="AC120" s="37">
        <f>IF(AO120="7",BG120,0)</f>
        <v>0</v>
      </c>
      <c r="AD120" s="37">
        <f>IF(AO120="2",BF120,0)</f>
        <v>0</v>
      </c>
      <c r="AE120" s="37">
        <f>IF(AO120="2",BG120,0)</f>
        <v>0</v>
      </c>
      <c r="AF120" s="37">
        <f>IF(AO120="0",BH120,0)</f>
        <v>0</v>
      </c>
      <c r="AG120" s="23"/>
      <c r="AH120" s="37">
        <f>IF(AL120=0,H120,0)</f>
        <v>0</v>
      </c>
      <c r="AI120" s="37">
        <f>IF(AL120=15,H120,0)</f>
        <v>0</v>
      </c>
      <c r="AJ120" s="37">
        <f>IF(AL120=21,H120,0)</f>
        <v>0</v>
      </c>
      <c r="AL120" s="37">
        <v>21</v>
      </c>
      <c r="AM120" s="37">
        <f>G120*0.304980599647266</f>
        <v>0</v>
      </c>
      <c r="AN120" s="37">
        <f>G120*(1-0.304980599647266)</f>
        <v>0</v>
      </c>
      <c r="AO120" s="38" t="s">
        <v>90</v>
      </c>
      <c r="AT120" s="37">
        <f>AU120+AV120</f>
        <v>0</v>
      </c>
      <c r="AU120" s="37">
        <f>F120*AM120</f>
        <v>0</v>
      </c>
      <c r="AV120" s="37">
        <f>F120*AN120</f>
        <v>0</v>
      </c>
      <c r="AW120" s="38" t="s">
        <v>261</v>
      </c>
      <c r="AX120" s="38" t="s">
        <v>262</v>
      </c>
      <c r="AY120" s="23" t="s">
        <v>97</v>
      </c>
      <c r="BA120" s="37">
        <f>AU120+AV120</f>
        <v>0</v>
      </c>
      <c r="BB120" s="37">
        <f>G120/(100-BC120)*100</f>
        <v>0</v>
      </c>
      <c r="BC120" s="37">
        <v>0</v>
      </c>
      <c r="BD120" s="37">
        <f>J120</f>
        <v>0.87045</v>
      </c>
      <c r="BF120" s="37">
        <f>F120*AM120</f>
        <v>0</v>
      </c>
      <c r="BG120" s="37">
        <f>F120*AN120</f>
        <v>0</v>
      </c>
      <c r="BH120" s="37">
        <f>F120*G120</f>
        <v>0</v>
      </c>
    </row>
    <row r="121" spans="1:11" ht="12.75">
      <c r="A121" s="39"/>
      <c r="B121" s="40"/>
      <c r="C121" s="40"/>
      <c r="D121" s="41" t="s">
        <v>279</v>
      </c>
      <c r="E121" s="40"/>
      <c r="F121" s="42">
        <v>15</v>
      </c>
      <c r="G121" s="40"/>
      <c r="H121" s="40"/>
      <c r="I121" s="43"/>
      <c r="J121" s="43"/>
      <c r="K121" s="40"/>
    </row>
    <row r="122" spans="1:60" ht="12.75">
      <c r="A122" s="16" t="s">
        <v>280</v>
      </c>
      <c r="B122" s="16"/>
      <c r="C122" s="16" t="s">
        <v>281</v>
      </c>
      <c r="D122" s="32" t="s">
        <v>282</v>
      </c>
      <c r="E122" s="16" t="s">
        <v>225</v>
      </c>
      <c r="F122" s="33">
        <v>2</v>
      </c>
      <c r="G122" s="422"/>
      <c r="H122" s="34">
        <f>F122*G122</f>
        <v>0</v>
      </c>
      <c r="I122" s="35">
        <v>0.11382</v>
      </c>
      <c r="J122" s="35">
        <f>F122*I122</f>
        <v>0.22764</v>
      </c>
      <c r="K122" s="36" t="s">
        <v>94</v>
      </c>
      <c r="X122" s="37">
        <f>IF(AO122="5",BH122,0)</f>
        <v>0</v>
      </c>
      <c r="Z122" s="37">
        <f>IF(AO122="1",BF122,0)</f>
        <v>0</v>
      </c>
      <c r="AA122" s="37">
        <f>IF(AO122="1",BG122,0)</f>
        <v>0</v>
      </c>
      <c r="AB122" s="37">
        <f>IF(AO122="7",BF122,0)</f>
        <v>0</v>
      </c>
      <c r="AC122" s="37">
        <f>IF(AO122="7",BG122,0)</f>
        <v>0</v>
      </c>
      <c r="AD122" s="37">
        <f>IF(AO122="2",BF122,0)</f>
        <v>0</v>
      </c>
      <c r="AE122" s="37">
        <f>IF(AO122="2",BG122,0)</f>
        <v>0</v>
      </c>
      <c r="AF122" s="37">
        <f>IF(AO122="0",BH122,0)</f>
        <v>0</v>
      </c>
      <c r="AG122" s="23"/>
      <c r="AH122" s="37">
        <f>IF(AL122=0,H122,0)</f>
        <v>0</v>
      </c>
      <c r="AI122" s="37">
        <f>IF(AL122=15,H122,0)</f>
        <v>0</v>
      </c>
      <c r="AJ122" s="37">
        <f>IF(AL122=21,H122,0)</f>
        <v>0</v>
      </c>
      <c r="AL122" s="37">
        <v>21</v>
      </c>
      <c r="AM122" s="37">
        <f>G122*0.361856950067476</f>
        <v>0</v>
      </c>
      <c r="AN122" s="37">
        <f>G122*(1-0.361856950067476)</f>
        <v>0</v>
      </c>
      <c r="AO122" s="38" t="s">
        <v>90</v>
      </c>
      <c r="AT122" s="37">
        <f>AU122+AV122</f>
        <v>0</v>
      </c>
      <c r="AU122" s="37">
        <f>F122*AM122</f>
        <v>0</v>
      </c>
      <c r="AV122" s="37">
        <f>F122*AN122</f>
        <v>0</v>
      </c>
      <c r="AW122" s="38" t="s">
        <v>261</v>
      </c>
      <c r="AX122" s="38" t="s">
        <v>262</v>
      </c>
      <c r="AY122" s="23" t="s">
        <v>97</v>
      </c>
      <c r="BA122" s="37">
        <f>AU122+AV122</f>
        <v>0</v>
      </c>
      <c r="BB122" s="37">
        <f>G122/(100-BC122)*100</f>
        <v>0</v>
      </c>
      <c r="BC122" s="37">
        <v>0</v>
      </c>
      <c r="BD122" s="37">
        <f>J122</f>
        <v>0.22764</v>
      </c>
      <c r="BF122" s="37">
        <f>F122*AM122</f>
        <v>0</v>
      </c>
      <c r="BG122" s="37">
        <f>F122*AN122</f>
        <v>0</v>
      </c>
      <c r="BH122" s="37">
        <f>F122*G122</f>
        <v>0</v>
      </c>
    </row>
    <row r="123" spans="1:11" ht="12.75">
      <c r="A123" s="39"/>
      <c r="B123" s="40"/>
      <c r="C123" s="40"/>
      <c r="D123" s="41" t="s">
        <v>283</v>
      </c>
      <c r="E123" s="40"/>
      <c r="F123" s="42">
        <v>2</v>
      </c>
      <c r="G123" s="40"/>
      <c r="H123" s="40"/>
      <c r="I123" s="43"/>
      <c r="J123" s="43"/>
      <c r="K123" s="40"/>
    </row>
    <row r="124" spans="1:60" ht="12.75">
      <c r="A124" s="16" t="s">
        <v>284</v>
      </c>
      <c r="B124" s="16"/>
      <c r="C124" s="16" t="s">
        <v>285</v>
      </c>
      <c r="D124" s="32" t="s">
        <v>286</v>
      </c>
      <c r="E124" s="16" t="s">
        <v>225</v>
      </c>
      <c r="F124" s="33">
        <v>2</v>
      </c>
      <c r="G124" s="422"/>
      <c r="H124" s="34">
        <f>F124*G124</f>
        <v>0</v>
      </c>
      <c r="I124" s="35">
        <v>0.02338</v>
      </c>
      <c r="J124" s="35">
        <f>F124*I124</f>
        <v>0.04676</v>
      </c>
      <c r="K124" s="36" t="s">
        <v>94</v>
      </c>
      <c r="X124" s="37">
        <f>IF(AO124="5",BH124,0)</f>
        <v>0</v>
      </c>
      <c r="Z124" s="37">
        <f>IF(AO124="1",BF124,0)</f>
        <v>0</v>
      </c>
      <c r="AA124" s="37">
        <f>IF(AO124="1",BG124,0)</f>
        <v>0</v>
      </c>
      <c r="AB124" s="37">
        <f>IF(AO124="7",BF124,0)</f>
        <v>0</v>
      </c>
      <c r="AC124" s="37">
        <f>IF(AO124="7",BG124,0)</f>
        <v>0</v>
      </c>
      <c r="AD124" s="37">
        <f>IF(AO124="2",BF124,0)</f>
        <v>0</v>
      </c>
      <c r="AE124" s="37">
        <f>IF(AO124="2",BG124,0)</f>
        <v>0</v>
      </c>
      <c r="AF124" s="37">
        <f>IF(AO124="0",BH124,0)</f>
        <v>0</v>
      </c>
      <c r="AG124" s="23"/>
      <c r="AH124" s="37">
        <f>IF(AL124=0,H124,0)</f>
        <v>0</v>
      </c>
      <c r="AI124" s="37">
        <f>IF(AL124=15,H124,0)</f>
        <v>0</v>
      </c>
      <c r="AJ124" s="37">
        <f>IF(AL124=21,H124,0)</f>
        <v>0</v>
      </c>
      <c r="AL124" s="37">
        <v>21</v>
      </c>
      <c r="AM124" s="37">
        <f>G124*0.287397366382649</f>
        <v>0</v>
      </c>
      <c r="AN124" s="37">
        <f>G124*(1-0.287397366382649)</f>
        <v>0</v>
      </c>
      <c r="AO124" s="38" t="s">
        <v>90</v>
      </c>
      <c r="AT124" s="37">
        <f>AU124+AV124</f>
        <v>0</v>
      </c>
      <c r="AU124" s="37">
        <f>F124*AM124</f>
        <v>0</v>
      </c>
      <c r="AV124" s="37">
        <f>F124*AN124</f>
        <v>0</v>
      </c>
      <c r="AW124" s="38" t="s">
        <v>261</v>
      </c>
      <c r="AX124" s="38" t="s">
        <v>262</v>
      </c>
      <c r="AY124" s="23" t="s">
        <v>97</v>
      </c>
      <c r="BA124" s="37">
        <f>AU124+AV124</f>
        <v>0</v>
      </c>
      <c r="BB124" s="37">
        <f>G124/(100-BC124)*100</f>
        <v>0</v>
      </c>
      <c r="BC124" s="37">
        <v>0</v>
      </c>
      <c r="BD124" s="37">
        <f>J124</f>
        <v>0.04676</v>
      </c>
      <c r="BF124" s="37">
        <f>F124*AM124</f>
        <v>0</v>
      </c>
      <c r="BG124" s="37">
        <f>F124*AN124</f>
        <v>0</v>
      </c>
      <c r="BH124" s="37">
        <f>F124*G124</f>
        <v>0</v>
      </c>
    </row>
    <row r="125" spans="1:11" ht="12.75">
      <c r="A125" s="39"/>
      <c r="B125" s="40"/>
      <c r="C125" s="40"/>
      <c r="D125" s="41" t="s">
        <v>287</v>
      </c>
      <c r="E125" s="40"/>
      <c r="F125" s="42">
        <v>2</v>
      </c>
      <c r="G125" s="40"/>
      <c r="H125" s="40"/>
      <c r="I125" s="43"/>
      <c r="J125" s="43"/>
      <c r="K125" s="40"/>
    </row>
    <row r="126" spans="1:45" ht="12.75">
      <c r="A126" s="24"/>
      <c r="B126" s="25"/>
      <c r="C126" s="25" t="s">
        <v>272</v>
      </c>
      <c r="D126" s="26" t="s">
        <v>288</v>
      </c>
      <c r="E126" s="24" t="s">
        <v>54</v>
      </c>
      <c r="F126" s="24" t="s">
        <v>54</v>
      </c>
      <c r="G126" s="24" t="s">
        <v>54</v>
      </c>
      <c r="H126" s="27">
        <f>SUM(H127:H135)</f>
        <v>0</v>
      </c>
      <c r="I126" s="28"/>
      <c r="J126" s="28">
        <f>SUM(J127:J135)</f>
        <v>14.412630759999997</v>
      </c>
      <c r="K126" s="29"/>
      <c r="AG126" s="23"/>
      <c r="AQ126" s="31">
        <f>SUM(AH127:AH135)</f>
        <v>0</v>
      </c>
      <c r="AR126" s="31">
        <f>SUM(AI127:AI135)</f>
        <v>0</v>
      </c>
      <c r="AS126" s="31">
        <f>SUM(AJ127:AJ135)</f>
        <v>0</v>
      </c>
    </row>
    <row r="127" spans="1:60" ht="12.75">
      <c r="A127" s="16" t="s">
        <v>289</v>
      </c>
      <c r="B127" s="16"/>
      <c r="C127" s="16" t="s">
        <v>290</v>
      </c>
      <c r="D127" s="32" t="s">
        <v>291</v>
      </c>
      <c r="E127" s="16" t="s">
        <v>102</v>
      </c>
      <c r="F127" s="33">
        <v>4.6</v>
      </c>
      <c r="G127" s="422"/>
      <c r="H127" s="34">
        <f>F127*G127</f>
        <v>0</v>
      </c>
      <c r="I127" s="35">
        <v>2.53999</v>
      </c>
      <c r="J127" s="35">
        <f>F127*I127</f>
        <v>11.683953999999998</v>
      </c>
      <c r="K127" s="36" t="s">
        <v>94</v>
      </c>
      <c r="X127" s="37">
        <f>IF(AO127="5",BH127,0)</f>
        <v>0</v>
      </c>
      <c r="Z127" s="37">
        <f>IF(AO127="1",BF127,0)</f>
        <v>0</v>
      </c>
      <c r="AA127" s="37">
        <f>IF(AO127="1",BG127,0)</f>
        <v>0</v>
      </c>
      <c r="AB127" s="37">
        <f>IF(AO127="7",BF127,0)</f>
        <v>0</v>
      </c>
      <c r="AC127" s="37">
        <f>IF(AO127="7",BG127,0)</f>
        <v>0</v>
      </c>
      <c r="AD127" s="37">
        <f>IF(AO127="2",BF127,0)</f>
        <v>0</v>
      </c>
      <c r="AE127" s="37">
        <f>IF(AO127="2",BG127,0)</f>
        <v>0</v>
      </c>
      <c r="AF127" s="37">
        <f>IF(AO127="0",BH127,0)</f>
        <v>0</v>
      </c>
      <c r="AG127" s="23"/>
      <c r="AH127" s="37">
        <f>IF(AL127=0,H127,0)</f>
        <v>0</v>
      </c>
      <c r="AI127" s="37">
        <f>IF(AL127=15,H127,0)</f>
        <v>0</v>
      </c>
      <c r="AJ127" s="37">
        <f>IF(AL127=21,H127,0)</f>
        <v>0</v>
      </c>
      <c r="AL127" s="37">
        <v>21</v>
      </c>
      <c r="AM127" s="37">
        <f>G127*0.752117911288683</f>
        <v>0</v>
      </c>
      <c r="AN127" s="37">
        <f>G127*(1-0.752117911288683)</f>
        <v>0</v>
      </c>
      <c r="AO127" s="38" t="s">
        <v>90</v>
      </c>
      <c r="AT127" s="37">
        <f>AU127+AV127</f>
        <v>0</v>
      </c>
      <c r="AU127" s="37">
        <f>F127*AM127</f>
        <v>0</v>
      </c>
      <c r="AV127" s="37">
        <f>F127*AN127</f>
        <v>0</v>
      </c>
      <c r="AW127" s="38" t="s">
        <v>292</v>
      </c>
      <c r="AX127" s="38" t="s">
        <v>262</v>
      </c>
      <c r="AY127" s="23" t="s">
        <v>97</v>
      </c>
      <c r="BA127" s="37">
        <f>AU127+AV127</f>
        <v>0</v>
      </c>
      <c r="BB127" s="37">
        <f>G127/(100-BC127)*100</f>
        <v>0</v>
      </c>
      <c r="BC127" s="37">
        <v>0</v>
      </c>
      <c r="BD127" s="37">
        <f>J127</f>
        <v>11.683953999999998</v>
      </c>
      <c r="BF127" s="37">
        <f>F127*AM127</f>
        <v>0</v>
      </c>
      <c r="BG127" s="37">
        <f>F127*AN127</f>
        <v>0</v>
      </c>
      <c r="BH127" s="37">
        <f>F127*G127</f>
        <v>0</v>
      </c>
    </row>
    <row r="128" spans="1:11" ht="12.75">
      <c r="A128" s="39"/>
      <c r="B128" s="40"/>
      <c r="C128" s="40"/>
      <c r="D128" s="41" t="s">
        <v>293</v>
      </c>
      <c r="E128" s="40"/>
      <c r="F128" s="42">
        <v>4.6</v>
      </c>
      <c r="G128" s="40"/>
      <c r="H128" s="40"/>
      <c r="I128" s="43"/>
      <c r="J128" s="43"/>
      <c r="K128" s="40"/>
    </row>
    <row r="129" spans="1:60" ht="12.75">
      <c r="A129" s="16" t="s">
        <v>294</v>
      </c>
      <c r="B129" s="16"/>
      <c r="C129" s="16" t="s">
        <v>295</v>
      </c>
      <c r="D129" s="32" t="s">
        <v>296</v>
      </c>
      <c r="E129" s="16" t="s">
        <v>192</v>
      </c>
      <c r="F129" s="33">
        <v>45.54</v>
      </c>
      <c r="G129" s="422"/>
      <c r="H129" s="34">
        <f>F129*G129</f>
        <v>0</v>
      </c>
      <c r="I129" s="35">
        <v>0.03808</v>
      </c>
      <c r="J129" s="35">
        <f>F129*I129</f>
        <v>1.7341632</v>
      </c>
      <c r="K129" s="36" t="s">
        <v>94</v>
      </c>
      <c r="X129" s="37">
        <f>IF(AO129="5",BH129,0)</f>
        <v>0</v>
      </c>
      <c r="Z129" s="37">
        <f>IF(AO129="1",BF129,0)</f>
        <v>0</v>
      </c>
      <c r="AA129" s="37">
        <f>IF(AO129="1",BG129,0)</f>
        <v>0</v>
      </c>
      <c r="AB129" s="37">
        <f>IF(AO129="7",BF129,0)</f>
        <v>0</v>
      </c>
      <c r="AC129" s="37">
        <f>IF(AO129="7",BG129,0)</f>
        <v>0</v>
      </c>
      <c r="AD129" s="37">
        <f>IF(AO129="2",BF129,0)</f>
        <v>0</v>
      </c>
      <c r="AE129" s="37">
        <f>IF(AO129="2",BG129,0)</f>
        <v>0</v>
      </c>
      <c r="AF129" s="37">
        <f>IF(AO129="0",BH129,0)</f>
        <v>0</v>
      </c>
      <c r="AG129" s="23"/>
      <c r="AH129" s="37">
        <f>IF(AL129=0,H129,0)</f>
        <v>0</v>
      </c>
      <c r="AI129" s="37">
        <f>IF(AL129=15,H129,0)</f>
        <v>0</v>
      </c>
      <c r="AJ129" s="37">
        <f>IF(AL129=21,H129,0)</f>
        <v>0</v>
      </c>
      <c r="AL129" s="37">
        <v>21</v>
      </c>
      <c r="AM129" s="37">
        <f>G129*0.479074410163339</f>
        <v>0</v>
      </c>
      <c r="AN129" s="37">
        <f>G129*(1-0.479074410163339)</f>
        <v>0</v>
      </c>
      <c r="AO129" s="38" t="s">
        <v>90</v>
      </c>
      <c r="AT129" s="37">
        <f>AU129+AV129</f>
        <v>0</v>
      </c>
      <c r="AU129" s="37">
        <f>F129*AM129</f>
        <v>0</v>
      </c>
      <c r="AV129" s="37">
        <f>F129*AN129</f>
        <v>0</v>
      </c>
      <c r="AW129" s="38" t="s">
        <v>292</v>
      </c>
      <c r="AX129" s="38" t="s">
        <v>262</v>
      </c>
      <c r="AY129" s="23" t="s">
        <v>97</v>
      </c>
      <c r="BA129" s="37">
        <f>AU129+AV129</f>
        <v>0</v>
      </c>
      <c r="BB129" s="37">
        <f>G129/(100-BC129)*100</f>
        <v>0</v>
      </c>
      <c r="BC129" s="37">
        <v>0</v>
      </c>
      <c r="BD129" s="37">
        <f>J129</f>
        <v>1.7341632</v>
      </c>
      <c r="BF129" s="37">
        <f>F129*AM129</f>
        <v>0</v>
      </c>
      <c r="BG129" s="37">
        <f>F129*AN129</f>
        <v>0</v>
      </c>
      <c r="BH129" s="37">
        <f>F129*G129</f>
        <v>0</v>
      </c>
    </row>
    <row r="130" spans="1:11" ht="12.75">
      <c r="A130" s="39"/>
      <c r="B130" s="40"/>
      <c r="C130" s="40"/>
      <c r="D130" s="41" t="s">
        <v>297</v>
      </c>
      <c r="E130" s="40"/>
      <c r="F130" s="42">
        <v>45.54</v>
      </c>
      <c r="G130" s="40"/>
      <c r="H130" s="40"/>
      <c r="I130" s="43"/>
      <c r="J130" s="43"/>
      <c r="K130" s="40"/>
    </row>
    <row r="131" spans="1:60" ht="12.75">
      <c r="A131" s="16" t="s">
        <v>298</v>
      </c>
      <c r="B131" s="16"/>
      <c r="C131" s="16" t="s">
        <v>299</v>
      </c>
      <c r="D131" s="32" t="s">
        <v>300</v>
      </c>
      <c r="E131" s="16" t="s">
        <v>192</v>
      </c>
      <c r="F131" s="33">
        <v>45.54</v>
      </c>
      <c r="G131" s="422"/>
      <c r="H131" s="34">
        <f>F131*G131</f>
        <v>0</v>
      </c>
      <c r="I131" s="35">
        <v>0</v>
      </c>
      <c r="J131" s="35">
        <f>F131*I131</f>
        <v>0</v>
      </c>
      <c r="K131" s="36" t="s">
        <v>94</v>
      </c>
      <c r="X131" s="37">
        <f>IF(AO131="5",BH131,0)</f>
        <v>0</v>
      </c>
      <c r="Z131" s="37">
        <f>IF(AO131="1",BF131,0)</f>
        <v>0</v>
      </c>
      <c r="AA131" s="37">
        <f>IF(AO131="1",BG131,0)</f>
        <v>0</v>
      </c>
      <c r="AB131" s="37">
        <f>IF(AO131="7",BF131,0)</f>
        <v>0</v>
      </c>
      <c r="AC131" s="37">
        <f>IF(AO131="7",BG131,0)</f>
        <v>0</v>
      </c>
      <c r="AD131" s="37">
        <f>IF(AO131="2",BF131,0)</f>
        <v>0</v>
      </c>
      <c r="AE131" s="37">
        <f>IF(AO131="2",BG131,0)</f>
        <v>0</v>
      </c>
      <c r="AF131" s="37">
        <f>IF(AO131="0",BH131,0)</f>
        <v>0</v>
      </c>
      <c r="AG131" s="23"/>
      <c r="AH131" s="37">
        <f>IF(AL131=0,H131,0)</f>
        <v>0</v>
      </c>
      <c r="AI131" s="37">
        <f>IF(AL131=15,H131,0)</f>
        <v>0</v>
      </c>
      <c r="AJ131" s="37">
        <f>IF(AL131=21,H131,0)</f>
        <v>0</v>
      </c>
      <c r="AL131" s="37">
        <v>21</v>
      </c>
      <c r="AM131" s="37">
        <f>G131*0</f>
        <v>0</v>
      </c>
      <c r="AN131" s="37">
        <f>G131*(1-0)</f>
        <v>0</v>
      </c>
      <c r="AO131" s="38" t="s">
        <v>90</v>
      </c>
      <c r="AT131" s="37">
        <f>AU131+AV131</f>
        <v>0</v>
      </c>
      <c r="AU131" s="37">
        <f>F131*AM131</f>
        <v>0</v>
      </c>
      <c r="AV131" s="37">
        <f>F131*AN131</f>
        <v>0</v>
      </c>
      <c r="AW131" s="38" t="s">
        <v>292</v>
      </c>
      <c r="AX131" s="38" t="s">
        <v>262</v>
      </c>
      <c r="AY131" s="23" t="s">
        <v>97</v>
      </c>
      <c r="BA131" s="37">
        <f>AU131+AV131</f>
        <v>0</v>
      </c>
      <c r="BB131" s="37">
        <f>G131/(100-BC131)*100</f>
        <v>0</v>
      </c>
      <c r="BC131" s="37">
        <v>0</v>
      </c>
      <c r="BD131" s="37">
        <f>J131</f>
        <v>0</v>
      </c>
      <c r="BF131" s="37">
        <f>F131*AM131</f>
        <v>0</v>
      </c>
      <c r="BG131" s="37">
        <f>F131*AN131</f>
        <v>0</v>
      </c>
      <c r="BH131" s="37">
        <f>F131*G131</f>
        <v>0</v>
      </c>
    </row>
    <row r="132" spans="1:11" ht="12.75">
      <c r="A132" s="39"/>
      <c r="B132" s="40"/>
      <c r="C132" s="40"/>
      <c r="D132" s="41" t="s">
        <v>297</v>
      </c>
      <c r="E132" s="40"/>
      <c r="F132" s="42">
        <v>45.54</v>
      </c>
      <c r="G132" s="40"/>
      <c r="H132" s="40"/>
      <c r="I132" s="43"/>
      <c r="J132" s="43"/>
      <c r="K132" s="40"/>
    </row>
    <row r="133" spans="1:60" ht="12.75">
      <c r="A133" s="16" t="s">
        <v>301</v>
      </c>
      <c r="B133" s="16"/>
      <c r="C133" s="16" t="s">
        <v>302</v>
      </c>
      <c r="D133" s="32" t="s">
        <v>303</v>
      </c>
      <c r="E133" s="16" t="s">
        <v>192</v>
      </c>
      <c r="F133" s="33">
        <v>45.54</v>
      </c>
      <c r="G133" s="422"/>
      <c r="H133" s="34">
        <f>F133*G133</f>
        <v>0</v>
      </c>
      <c r="I133" s="35">
        <v>0.0081</v>
      </c>
      <c r="J133" s="35">
        <f>F133*I133</f>
        <v>0.368874</v>
      </c>
      <c r="K133" s="36" t="s">
        <v>94</v>
      </c>
      <c r="X133" s="37">
        <f>IF(AO133="5",BH133,0)</f>
        <v>0</v>
      </c>
      <c r="Z133" s="37">
        <f>IF(AO133="1",BF133,0)</f>
        <v>0</v>
      </c>
      <c r="AA133" s="37">
        <f>IF(AO133="1",BG133,0)</f>
        <v>0</v>
      </c>
      <c r="AB133" s="37">
        <f>IF(AO133="7",BF133,0)</f>
        <v>0</v>
      </c>
      <c r="AC133" s="37">
        <f>IF(AO133="7",BG133,0)</f>
        <v>0</v>
      </c>
      <c r="AD133" s="37">
        <f>IF(AO133="2",BF133,0)</f>
        <v>0</v>
      </c>
      <c r="AE133" s="37">
        <f>IF(AO133="2",BG133,0)</f>
        <v>0</v>
      </c>
      <c r="AF133" s="37">
        <f>IF(AO133="0",BH133,0)</f>
        <v>0</v>
      </c>
      <c r="AG133" s="23"/>
      <c r="AH133" s="37">
        <f>IF(AL133=0,H133,0)</f>
        <v>0</v>
      </c>
      <c r="AI133" s="37">
        <f>IF(AL133=15,H133,0)</f>
        <v>0</v>
      </c>
      <c r="AJ133" s="37">
        <f>IF(AL133=21,H133,0)</f>
        <v>0</v>
      </c>
      <c r="AL133" s="37">
        <v>21</v>
      </c>
      <c r="AM133" s="37">
        <f>G133*0.0959715437514821</f>
        <v>0</v>
      </c>
      <c r="AN133" s="37">
        <f>G133*(1-0.0959715437514821)</f>
        <v>0</v>
      </c>
      <c r="AO133" s="38" t="s">
        <v>90</v>
      </c>
      <c r="AT133" s="37">
        <f>AU133+AV133</f>
        <v>0</v>
      </c>
      <c r="AU133" s="37">
        <f>F133*AM133</f>
        <v>0</v>
      </c>
      <c r="AV133" s="37">
        <f>F133*AN133</f>
        <v>0</v>
      </c>
      <c r="AW133" s="38" t="s">
        <v>292</v>
      </c>
      <c r="AX133" s="38" t="s">
        <v>262</v>
      </c>
      <c r="AY133" s="23" t="s">
        <v>97</v>
      </c>
      <c r="BA133" s="37">
        <f>AU133+AV133</f>
        <v>0</v>
      </c>
      <c r="BB133" s="37">
        <f>G133/(100-BC133)*100</f>
        <v>0</v>
      </c>
      <c r="BC133" s="37">
        <v>0</v>
      </c>
      <c r="BD133" s="37">
        <f>J133</f>
        <v>0.368874</v>
      </c>
      <c r="BF133" s="37">
        <f>F133*AM133</f>
        <v>0</v>
      </c>
      <c r="BG133" s="37">
        <f>F133*AN133</f>
        <v>0</v>
      </c>
      <c r="BH133" s="37">
        <f>F133*G133</f>
        <v>0</v>
      </c>
    </row>
    <row r="134" spans="1:11" ht="12.75">
      <c r="A134" s="39"/>
      <c r="B134" s="40"/>
      <c r="C134" s="40"/>
      <c r="D134" s="41" t="s">
        <v>297</v>
      </c>
      <c r="E134" s="40"/>
      <c r="F134" s="42">
        <v>45.54</v>
      </c>
      <c r="G134" s="40"/>
      <c r="H134" s="40"/>
      <c r="I134" s="43"/>
      <c r="J134" s="43"/>
      <c r="K134" s="40"/>
    </row>
    <row r="135" spans="1:60" ht="12.75">
      <c r="A135" s="16" t="s">
        <v>304</v>
      </c>
      <c r="B135" s="16"/>
      <c r="C135" s="16" t="s">
        <v>305</v>
      </c>
      <c r="D135" s="32" t="s">
        <v>306</v>
      </c>
      <c r="E135" s="16" t="s">
        <v>239</v>
      </c>
      <c r="F135" s="33">
        <v>0.611</v>
      </c>
      <c r="G135" s="422"/>
      <c r="H135" s="34">
        <f>F135*G135</f>
        <v>0</v>
      </c>
      <c r="I135" s="35">
        <v>1.02396</v>
      </c>
      <c r="J135" s="35">
        <f>F135*I135</f>
        <v>0.62563956</v>
      </c>
      <c r="K135" s="36" t="s">
        <v>94</v>
      </c>
      <c r="X135" s="37">
        <f>IF(AO135="5",BH135,0)</f>
        <v>0</v>
      </c>
      <c r="Z135" s="37">
        <f>IF(AO135="1",BF135,0)</f>
        <v>0</v>
      </c>
      <c r="AA135" s="37">
        <f>IF(AO135="1",BG135,0)</f>
        <v>0</v>
      </c>
      <c r="AB135" s="37">
        <f>IF(AO135="7",BF135,0)</f>
        <v>0</v>
      </c>
      <c r="AC135" s="37">
        <f>IF(AO135="7",BG135,0)</f>
        <v>0</v>
      </c>
      <c r="AD135" s="37">
        <f>IF(AO135="2",BF135,0)</f>
        <v>0</v>
      </c>
      <c r="AE135" s="37">
        <f>IF(AO135="2",BG135,0)</f>
        <v>0</v>
      </c>
      <c r="AF135" s="37">
        <f>IF(AO135="0",BH135,0)</f>
        <v>0</v>
      </c>
      <c r="AG135" s="23"/>
      <c r="AH135" s="37">
        <f>IF(AL135=0,H135,0)</f>
        <v>0</v>
      </c>
      <c r="AI135" s="37">
        <f>IF(AL135=15,H135,0)</f>
        <v>0</v>
      </c>
      <c r="AJ135" s="37">
        <f>IF(AL135=21,H135,0)</f>
        <v>0</v>
      </c>
      <c r="AL135" s="37">
        <v>21</v>
      </c>
      <c r="AM135" s="37">
        <f>G135*0.629549361493124</f>
        <v>0</v>
      </c>
      <c r="AN135" s="37">
        <f>G135*(1-0.629549361493124)</f>
        <v>0</v>
      </c>
      <c r="AO135" s="38" t="s">
        <v>90</v>
      </c>
      <c r="AT135" s="37">
        <f>AU135+AV135</f>
        <v>0</v>
      </c>
      <c r="AU135" s="37">
        <f>F135*AM135</f>
        <v>0</v>
      </c>
      <c r="AV135" s="37">
        <f>F135*AN135</f>
        <v>0</v>
      </c>
      <c r="AW135" s="38" t="s">
        <v>292</v>
      </c>
      <c r="AX135" s="38" t="s">
        <v>262</v>
      </c>
      <c r="AY135" s="23" t="s">
        <v>97</v>
      </c>
      <c r="BA135" s="37">
        <f>AU135+AV135</f>
        <v>0</v>
      </c>
      <c r="BB135" s="37">
        <f>G135/(100-BC135)*100</f>
        <v>0</v>
      </c>
      <c r="BC135" s="37">
        <v>0</v>
      </c>
      <c r="BD135" s="37">
        <f>J135</f>
        <v>0.62563956</v>
      </c>
      <c r="BF135" s="37">
        <f>F135*AM135</f>
        <v>0</v>
      </c>
      <c r="BG135" s="37">
        <f>F135*AN135</f>
        <v>0</v>
      </c>
      <c r="BH135" s="37">
        <f>F135*G135</f>
        <v>0</v>
      </c>
    </row>
    <row r="136" spans="1:11" ht="12.75">
      <c r="A136" s="39"/>
      <c r="B136" s="40"/>
      <c r="C136" s="40"/>
      <c r="D136" s="41" t="s">
        <v>307</v>
      </c>
      <c r="E136" s="40"/>
      <c r="F136" s="42">
        <v>0.611</v>
      </c>
      <c r="G136" s="40"/>
      <c r="H136" s="40"/>
      <c r="I136" s="43"/>
      <c r="J136" s="43"/>
      <c r="K136" s="40"/>
    </row>
    <row r="137" spans="1:45" ht="12.75">
      <c r="A137" s="24"/>
      <c r="B137" s="25"/>
      <c r="C137" s="25" t="s">
        <v>276</v>
      </c>
      <c r="D137" s="26" t="s">
        <v>308</v>
      </c>
      <c r="E137" s="24" t="s">
        <v>54</v>
      </c>
      <c r="F137" s="24" t="s">
        <v>54</v>
      </c>
      <c r="G137" s="24" t="s">
        <v>54</v>
      </c>
      <c r="H137" s="27">
        <f>SUM(H138:H165)</f>
        <v>0</v>
      </c>
      <c r="I137" s="28"/>
      <c r="J137" s="28">
        <f>SUM(J138:J165)</f>
        <v>48.5303023</v>
      </c>
      <c r="K137" s="29"/>
      <c r="AG137" s="23"/>
      <c r="AQ137" s="31">
        <f>SUM(AH138:AH159)</f>
        <v>0</v>
      </c>
      <c r="AR137" s="31">
        <f>SUM(AI138:AI159)</f>
        <v>0</v>
      </c>
      <c r="AS137" s="31">
        <f>SUM(AJ138:AJ159)</f>
        <v>0</v>
      </c>
    </row>
    <row r="138" spans="1:60" ht="12.75">
      <c r="A138" s="16" t="s">
        <v>309</v>
      </c>
      <c r="B138" s="16"/>
      <c r="C138" s="16" t="s">
        <v>310</v>
      </c>
      <c r="D138" s="32" t="s">
        <v>311</v>
      </c>
      <c r="E138" s="16" t="s">
        <v>192</v>
      </c>
      <c r="F138" s="33">
        <v>217.372</v>
      </c>
      <c r="G138" s="422"/>
      <c r="H138" s="34">
        <f>F138*G138</f>
        <v>0</v>
      </c>
      <c r="I138" s="35">
        <v>0.04768</v>
      </c>
      <c r="J138" s="35">
        <f>F138*I138</f>
        <v>10.36429696</v>
      </c>
      <c r="K138" s="36" t="s">
        <v>94</v>
      </c>
      <c r="X138" s="37">
        <f>IF(AO138="5",BH138,0)</f>
        <v>0</v>
      </c>
      <c r="Z138" s="37">
        <f>IF(AO138="1",BF138,0)</f>
        <v>0</v>
      </c>
      <c r="AA138" s="37">
        <f>IF(AO138="1",BG138,0)</f>
        <v>0</v>
      </c>
      <c r="AB138" s="37">
        <f>IF(AO138="7",BF138,0)</f>
        <v>0</v>
      </c>
      <c r="AC138" s="37">
        <f>IF(AO138="7",BG138,0)</f>
        <v>0</v>
      </c>
      <c r="AD138" s="37">
        <f>IF(AO138="2",BF138,0)</f>
        <v>0</v>
      </c>
      <c r="AE138" s="37">
        <f>IF(AO138="2",BG138,0)</f>
        <v>0</v>
      </c>
      <c r="AF138" s="37">
        <f>IF(AO138="0",BH138,0)</f>
        <v>0</v>
      </c>
      <c r="AG138" s="23"/>
      <c r="AH138" s="37">
        <f>IF(AL138=0,H138,0)</f>
        <v>0</v>
      </c>
      <c r="AI138" s="37">
        <f>IF(AL138=15,H138,0)</f>
        <v>0</v>
      </c>
      <c r="AJ138" s="37">
        <f>IF(AL138=21,H138,0)</f>
        <v>0</v>
      </c>
      <c r="AL138" s="37">
        <v>21</v>
      </c>
      <c r="AM138" s="37">
        <f>G138*0.472558139534884</f>
        <v>0</v>
      </c>
      <c r="AN138" s="37">
        <f>G138*(1-0.472558139534884)</f>
        <v>0</v>
      </c>
      <c r="AO138" s="38" t="s">
        <v>90</v>
      </c>
      <c r="AT138" s="37">
        <f>AU138+AV138</f>
        <v>0</v>
      </c>
      <c r="AU138" s="37">
        <f>F138*AM138</f>
        <v>0</v>
      </c>
      <c r="AV138" s="37">
        <f>F138*AN138</f>
        <v>0</v>
      </c>
      <c r="AW138" s="38" t="s">
        <v>312</v>
      </c>
      <c r="AX138" s="38" t="s">
        <v>262</v>
      </c>
      <c r="AY138" s="23" t="s">
        <v>97</v>
      </c>
      <c r="BA138" s="37">
        <f>AU138+AV138</f>
        <v>0</v>
      </c>
      <c r="BB138" s="37">
        <f>G138/(100-BC138)*100</f>
        <v>0</v>
      </c>
      <c r="BC138" s="37">
        <v>0</v>
      </c>
      <c r="BD138" s="37">
        <f>J138</f>
        <v>10.36429696</v>
      </c>
      <c r="BF138" s="37">
        <f>F138*AM138</f>
        <v>0</v>
      </c>
      <c r="BG138" s="37">
        <f>F138*AN138</f>
        <v>0</v>
      </c>
      <c r="BH138" s="37">
        <f>F138*G138</f>
        <v>0</v>
      </c>
    </row>
    <row r="139" spans="1:11" ht="12.75">
      <c r="A139" s="39"/>
      <c r="B139" s="40"/>
      <c r="C139" s="40"/>
      <c r="D139" s="41" t="s">
        <v>313</v>
      </c>
      <c r="E139" s="40"/>
      <c r="F139" s="42">
        <v>19.32</v>
      </c>
      <c r="G139" s="40"/>
      <c r="H139" s="40"/>
      <c r="I139" s="43"/>
      <c r="J139" s="43"/>
      <c r="K139" s="40"/>
    </row>
    <row r="140" spans="1:11" ht="12.75">
      <c r="A140" s="39"/>
      <c r="B140" s="40"/>
      <c r="C140" s="40"/>
      <c r="D140" s="41" t="s">
        <v>314</v>
      </c>
      <c r="E140" s="40"/>
      <c r="F140" s="42">
        <v>0</v>
      </c>
      <c r="G140" s="40"/>
      <c r="H140" s="40"/>
      <c r="I140" s="43"/>
      <c r="J140" s="43"/>
      <c r="K140" s="40"/>
    </row>
    <row r="141" spans="1:11" ht="12.75">
      <c r="A141" s="39"/>
      <c r="B141" s="40"/>
      <c r="C141" s="40"/>
      <c r="D141" s="41" t="s">
        <v>315</v>
      </c>
      <c r="E141" s="40"/>
      <c r="F141" s="42">
        <v>9.795</v>
      </c>
      <c r="G141" s="40"/>
      <c r="H141" s="40"/>
      <c r="I141" s="43"/>
      <c r="J141" s="43"/>
      <c r="K141" s="40"/>
    </row>
    <row r="142" spans="1:11" ht="12.75">
      <c r="A142" s="39"/>
      <c r="B142" s="40"/>
      <c r="C142" s="40"/>
      <c r="D142" s="41" t="s">
        <v>316</v>
      </c>
      <c r="E142" s="40"/>
      <c r="F142" s="42">
        <v>28.523</v>
      </c>
      <c r="G142" s="40"/>
      <c r="H142" s="40"/>
      <c r="I142" s="43"/>
      <c r="J142" s="43"/>
      <c r="K142" s="40"/>
    </row>
    <row r="143" spans="1:11" ht="12.75">
      <c r="A143" s="39"/>
      <c r="B143" s="40"/>
      <c r="C143" s="40"/>
      <c r="D143" s="41" t="s">
        <v>317</v>
      </c>
      <c r="E143" s="40"/>
      <c r="F143" s="42">
        <v>31.481</v>
      </c>
      <c r="G143" s="40"/>
      <c r="H143" s="40"/>
      <c r="I143" s="43"/>
      <c r="J143" s="43"/>
      <c r="K143" s="40"/>
    </row>
    <row r="144" spans="1:11" ht="12.75">
      <c r="A144" s="39"/>
      <c r="B144" s="40"/>
      <c r="C144" s="40"/>
      <c r="D144" s="41" t="s">
        <v>318</v>
      </c>
      <c r="E144" s="40"/>
      <c r="F144" s="42">
        <v>50.196</v>
      </c>
      <c r="G144" s="40"/>
      <c r="H144" s="40"/>
      <c r="I144" s="43"/>
      <c r="J144" s="43"/>
      <c r="K144" s="40"/>
    </row>
    <row r="145" spans="1:11" ht="12.75">
      <c r="A145" s="39"/>
      <c r="B145" s="40"/>
      <c r="C145" s="40"/>
      <c r="D145" s="41" t="s">
        <v>319</v>
      </c>
      <c r="E145" s="40"/>
      <c r="F145" s="42">
        <v>78.057</v>
      </c>
      <c r="G145" s="40"/>
      <c r="H145" s="40"/>
      <c r="I145" s="43"/>
      <c r="J145" s="43"/>
      <c r="K145" s="40"/>
    </row>
    <row r="146" spans="1:60" ht="12.75">
      <c r="A146" s="16" t="s">
        <v>320</v>
      </c>
      <c r="B146" s="16"/>
      <c r="C146" s="16" t="s">
        <v>321</v>
      </c>
      <c r="D146" s="32" t="s">
        <v>322</v>
      </c>
      <c r="E146" s="16" t="s">
        <v>192</v>
      </c>
      <c r="F146" s="33">
        <v>188.006</v>
      </c>
      <c r="G146" s="422"/>
      <c r="H146" s="34">
        <f>F146*G146</f>
        <v>0</v>
      </c>
      <c r="I146" s="35">
        <v>0.05089</v>
      </c>
      <c r="J146" s="35">
        <f>F146*I146</f>
        <v>9.56762534</v>
      </c>
      <c r="K146" s="36" t="s">
        <v>94</v>
      </c>
      <c r="X146" s="37">
        <f>IF(AO146="5",BH146,0)</f>
        <v>0</v>
      </c>
      <c r="Z146" s="37">
        <f>IF(AO146="1",BF146,0)</f>
        <v>0</v>
      </c>
      <c r="AA146" s="37">
        <f>IF(AO146="1",BG146,0)</f>
        <v>0</v>
      </c>
      <c r="AB146" s="37">
        <f>IF(AO146="7",BF146,0)</f>
        <v>0</v>
      </c>
      <c r="AC146" s="37">
        <f>IF(AO146="7",BG146,0)</f>
        <v>0</v>
      </c>
      <c r="AD146" s="37">
        <f>IF(AO146="2",BF146,0)</f>
        <v>0</v>
      </c>
      <c r="AE146" s="37">
        <f>IF(AO146="2",BG146,0)</f>
        <v>0</v>
      </c>
      <c r="AF146" s="37">
        <f>IF(AO146="0",BH146,0)</f>
        <v>0</v>
      </c>
      <c r="AG146" s="23"/>
      <c r="AH146" s="37">
        <f>IF(AL146=0,H146,0)</f>
        <v>0</v>
      </c>
      <c r="AI146" s="37">
        <f>IF(AL146=15,H146,0)</f>
        <v>0</v>
      </c>
      <c r="AJ146" s="37">
        <f>IF(AL146=21,H146,0)</f>
        <v>0</v>
      </c>
      <c r="AL146" s="37">
        <v>21</v>
      </c>
      <c r="AM146" s="37">
        <f>G146*0.459694566212713</f>
        <v>0</v>
      </c>
      <c r="AN146" s="37">
        <f>G146*(1-0.459694566212713)</f>
        <v>0</v>
      </c>
      <c r="AO146" s="38" t="s">
        <v>90</v>
      </c>
      <c r="AT146" s="37">
        <f>AU146+AV146</f>
        <v>0</v>
      </c>
      <c r="AU146" s="37">
        <f>F146*AM146</f>
        <v>0</v>
      </c>
      <c r="AV146" s="37">
        <f>F146*AN146</f>
        <v>0</v>
      </c>
      <c r="AW146" s="38" t="s">
        <v>312</v>
      </c>
      <c r="AX146" s="38" t="s">
        <v>262</v>
      </c>
      <c r="AY146" s="23" t="s">
        <v>97</v>
      </c>
      <c r="BA146" s="37">
        <f>AU146+AV146</f>
        <v>0</v>
      </c>
      <c r="BB146" s="37">
        <f>G146/(100-BC146)*100</f>
        <v>0</v>
      </c>
      <c r="BC146" s="37">
        <v>0</v>
      </c>
      <c r="BD146" s="37">
        <f>J146</f>
        <v>9.56762534</v>
      </c>
      <c r="BF146" s="37">
        <f>F146*AM146</f>
        <v>0</v>
      </c>
      <c r="BG146" s="37">
        <f>F146*AN146</f>
        <v>0</v>
      </c>
      <c r="BH146" s="37">
        <f>F146*G146</f>
        <v>0</v>
      </c>
    </row>
    <row r="147" spans="1:11" ht="12.75">
      <c r="A147" s="39"/>
      <c r="B147" s="40"/>
      <c r="C147" s="40"/>
      <c r="D147" s="41" t="s">
        <v>323</v>
      </c>
      <c r="E147" s="40"/>
      <c r="F147" s="42">
        <v>22.396</v>
      </c>
      <c r="G147" s="40"/>
      <c r="H147" s="40"/>
      <c r="I147" s="43"/>
      <c r="J147" s="43"/>
      <c r="K147" s="40"/>
    </row>
    <row r="148" spans="1:11" ht="12.75">
      <c r="A148" s="39"/>
      <c r="B148" s="40"/>
      <c r="C148" s="40"/>
      <c r="D148" s="41" t="s">
        <v>324</v>
      </c>
      <c r="E148" s="40"/>
      <c r="F148" s="42">
        <v>29.027</v>
      </c>
      <c r="G148" s="40"/>
      <c r="H148" s="40"/>
      <c r="I148" s="43"/>
      <c r="J148" s="43"/>
      <c r="K148" s="40"/>
    </row>
    <row r="149" spans="1:11" ht="12.75">
      <c r="A149" s="39"/>
      <c r="B149" s="40"/>
      <c r="C149" s="40"/>
      <c r="D149" s="41" t="s">
        <v>325</v>
      </c>
      <c r="E149" s="40"/>
      <c r="F149" s="42">
        <v>108.585</v>
      </c>
      <c r="G149" s="40"/>
      <c r="H149" s="40"/>
      <c r="I149" s="43"/>
      <c r="J149" s="43"/>
      <c r="K149" s="40"/>
    </row>
    <row r="150" spans="1:11" ht="12.75">
      <c r="A150" s="39"/>
      <c r="B150" s="40"/>
      <c r="C150" s="40"/>
      <c r="D150" s="41" t="s">
        <v>326</v>
      </c>
      <c r="E150" s="40"/>
      <c r="F150" s="42">
        <v>27.998</v>
      </c>
      <c r="G150" s="40"/>
      <c r="H150" s="40"/>
      <c r="I150" s="43"/>
      <c r="J150" s="43"/>
      <c r="K150" s="40"/>
    </row>
    <row r="151" spans="1:60" ht="12.75">
      <c r="A151" s="16" t="s">
        <v>327</v>
      </c>
      <c r="B151" s="16"/>
      <c r="C151" s="16" t="s">
        <v>328</v>
      </c>
      <c r="D151" s="32" t="s">
        <v>329</v>
      </c>
      <c r="E151" s="16" t="s">
        <v>225</v>
      </c>
      <c r="F151" s="33">
        <v>25</v>
      </c>
      <c r="G151" s="422"/>
      <c r="H151" s="34">
        <f>F151*G151</f>
        <v>0</v>
      </c>
      <c r="I151" s="35">
        <v>0.00647</v>
      </c>
      <c r="J151" s="35">
        <f>F151*I151</f>
        <v>0.16175</v>
      </c>
      <c r="K151" s="36" t="s">
        <v>94</v>
      </c>
      <c r="X151" s="37">
        <f>IF(AO151="5",BH151,0)</f>
        <v>0</v>
      </c>
      <c r="Z151" s="37">
        <f>IF(AO151="1",BF151,0)</f>
        <v>0</v>
      </c>
      <c r="AA151" s="37">
        <f>IF(AO151="1",BG151,0)</f>
        <v>0</v>
      </c>
      <c r="AB151" s="37">
        <f>IF(AO151="7",BF151,0)</f>
        <v>0</v>
      </c>
      <c r="AC151" s="37">
        <f>IF(AO151="7",BG151,0)</f>
        <v>0</v>
      </c>
      <c r="AD151" s="37">
        <f>IF(AO151="2",BF151,0)</f>
        <v>0</v>
      </c>
      <c r="AE151" s="37">
        <f>IF(AO151="2",BG151,0)</f>
        <v>0</v>
      </c>
      <c r="AF151" s="37">
        <f>IF(AO151="0",BH151,0)</f>
        <v>0</v>
      </c>
      <c r="AG151" s="23"/>
      <c r="AH151" s="37">
        <f>IF(AL151=0,H151,0)</f>
        <v>0</v>
      </c>
      <c r="AI151" s="37">
        <f>IF(AL151=15,H151,0)</f>
        <v>0</v>
      </c>
      <c r="AJ151" s="37">
        <f>IF(AL151=21,H151,0)</f>
        <v>0</v>
      </c>
      <c r="AL151" s="37">
        <v>21</v>
      </c>
      <c r="AM151" s="37">
        <f>G151*0.492096069868996</f>
        <v>0</v>
      </c>
      <c r="AN151" s="37">
        <f>G151*(1-0.492096069868996)</f>
        <v>0</v>
      </c>
      <c r="AO151" s="38" t="s">
        <v>90</v>
      </c>
      <c r="AT151" s="37">
        <f>AU151+AV151</f>
        <v>0</v>
      </c>
      <c r="AU151" s="37">
        <f>F151*AM151</f>
        <v>0</v>
      </c>
      <c r="AV151" s="37">
        <f>F151*AN151</f>
        <v>0</v>
      </c>
      <c r="AW151" s="38" t="s">
        <v>312</v>
      </c>
      <c r="AX151" s="38" t="s">
        <v>262</v>
      </c>
      <c r="AY151" s="23" t="s">
        <v>97</v>
      </c>
      <c r="BA151" s="37">
        <f>AU151+AV151</f>
        <v>0</v>
      </c>
      <c r="BB151" s="37">
        <f>G151/(100-BC151)*100</f>
        <v>0</v>
      </c>
      <c r="BC151" s="37">
        <v>0</v>
      </c>
      <c r="BD151" s="37">
        <f>J151</f>
        <v>0.16175</v>
      </c>
      <c r="BF151" s="37">
        <f>F151*AM151</f>
        <v>0</v>
      </c>
      <c r="BG151" s="37">
        <f>F151*AN151</f>
        <v>0</v>
      </c>
      <c r="BH151" s="37">
        <f>F151*G151</f>
        <v>0</v>
      </c>
    </row>
    <row r="152" spans="1:11" ht="12.75">
      <c r="A152" s="39"/>
      <c r="B152" s="40"/>
      <c r="C152" s="40"/>
      <c r="D152" s="41" t="s">
        <v>330</v>
      </c>
      <c r="E152" s="40"/>
      <c r="F152" s="42">
        <v>25</v>
      </c>
      <c r="G152" s="40"/>
      <c r="H152" s="40"/>
      <c r="I152" s="43"/>
      <c r="J152" s="43"/>
      <c r="K152" s="40"/>
    </row>
    <row r="153" spans="1:60" ht="12.75">
      <c r="A153" s="16" t="s">
        <v>331</v>
      </c>
      <c r="B153" s="16"/>
      <c r="C153" s="16" t="s">
        <v>332</v>
      </c>
      <c r="D153" s="32" t="s">
        <v>333</v>
      </c>
      <c r="E153" s="16" t="s">
        <v>225</v>
      </c>
      <c r="F153" s="33">
        <v>2</v>
      </c>
      <c r="G153" s="422"/>
      <c r="H153" s="34">
        <f>F153*G153</f>
        <v>0</v>
      </c>
      <c r="I153" s="35">
        <v>0</v>
      </c>
      <c r="J153" s="35">
        <f>F153*I153</f>
        <v>0</v>
      </c>
      <c r="K153" s="36" t="s">
        <v>94</v>
      </c>
      <c r="X153" s="37">
        <f>IF(AO153="5",BH153,0)</f>
        <v>0</v>
      </c>
      <c r="Z153" s="37">
        <f>IF(AO153="1",BF153,0)</f>
        <v>0</v>
      </c>
      <c r="AA153" s="37">
        <f>IF(AO153="1",BG153,0)</f>
        <v>0</v>
      </c>
      <c r="AB153" s="37">
        <f>IF(AO153="7",BF153,0)</f>
        <v>0</v>
      </c>
      <c r="AC153" s="37">
        <f>IF(AO153="7",BG153,0)</f>
        <v>0</v>
      </c>
      <c r="AD153" s="37">
        <f>IF(AO153="2",BF153,0)</f>
        <v>0</v>
      </c>
      <c r="AE153" s="37">
        <f>IF(AO153="2",BG153,0)</f>
        <v>0</v>
      </c>
      <c r="AF153" s="37">
        <f>IF(AO153="0",BH153,0)</f>
        <v>0</v>
      </c>
      <c r="AG153" s="23"/>
      <c r="AH153" s="37">
        <f>IF(AL153=0,H153,0)</f>
        <v>0</v>
      </c>
      <c r="AI153" s="37">
        <f>IF(AL153=15,H153,0)</f>
        <v>0</v>
      </c>
      <c r="AJ153" s="37">
        <f>IF(AL153=21,H153,0)</f>
        <v>0</v>
      </c>
      <c r="AL153" s="37">
        <v>21</v>
      </c>
      <c r="AM153" s="37">
        <f>G153*0</f>
        <v>0</v>
      </c>
      <c r="AN153" s="37">
        <f>G153*(1-0)</f>
        <v>0</v>
      </c>
      <c r="AO153" s="38" t="s">
        <v>90</v>
      </c>
      <c r="AT153" s="37">
        <f>AU153+AV153</f>
        <v>0</v>
      </c>
      <c r="AU153" s="37">
        <f>F153*AM153</f>
        <v>0</v>
      </c>
      <c r="AV153" s="37">
        <f>F153*AN153</f>
        <v>0</v>
      </c>
      <c r="AW153" s="38" t="s">
        <v>312</v>
      </c>
      <c r="AX153" s="38" t="s">
        <v>262</v>
      </c>
      <c r="AY153" s="23" t="s">
        <v>97</v>
      </c>
      <c r="BA153" s="37">
        <f>AU153+AV153</f>
        <v>0</v>
      </c>
      <c r="BB153" s="37">
        <f>G153/(100-BC153)*100</f>
        <v>0</v>
      </c>
      <c r="BC153" s="37">
        <v>0</v>
      </c>
      <c r="BD153" s="37">
        <f>J153</f>
        <v>0</v>
      </c>
      <c r="BF153" s="37">
        <f>F153*AM153</f>
        <v>0</v>
      </c>
      <c r="BG153" s="37">
        <f>F153*AN153</f>
        <v>0</v>
      </c>
      <c r="BH153" s="37">
        <f>F153*G153</f>
        <v>0</v>
      </c>
    </row>
    <row r="154" spans="1:11" ht="12.75">
      <c r="A154" s="39"/>
      <c r="B154" s="40"/>
      <c r="C154" s="40"/>
      <c r="D154" s="41" t="s">
        <v>334</v>
      </c>
      <c r="E154" s="40"/>
      <c r="F154" s="42">
        <v>2</v>
      </c>
      <c r="G154" s="40"/>
      <c r="H154" s="40"/>
      <c r="I154" s="43"/>
      <c r="J154" s="43"/>
      <c r="K154" s="40"/>
    </row>
    <row r="155" spans="1:60" ht="25.5">
      <c r="A155" s="16" t="s">
        <v>335</v>
      </c>
      <c r="B155" s="16"/>
      <c r="C155" s="16" t="s">
        <v>336</v>
      </c>
      <c r="D155" s="32" t="s">
        <v>337</v>
      </c>
      <c r="E155" s="16" t="s">
        <v>192</v>
      </c>
      <c r="F155" s="33">
        <v>351</v>
      </c>
      <c r="G155" s="422"/>
      <c r="H155" s="34">
        <f>F155*G155</f>
        <v>0</v>
      </c>
      <c r="I155" s="35">
        <v>0.01215</v>
      </c>
      <c r="J155" s="35">
        <f>F155*I155</f>
        <v>4.26465</v>
      </c>
      <c r="K155" s="36" t="s">
        <v>94</v>
      </c>
      <c r="X155" s="37">
        <f>IF(AO155="5",BH155,0)</f>
        <v>0</v>
      </c>
      <c r="Z155" s="37">
        <f>IF(AO155="1",BF155,0)</f>
        <v>0</v>
      </c>
      <c r="AA155" s="37">
        <f>IF(AO155="1",BG155,0)</f>
        <v>0</v>
      </c>
      <c r="AB155" s="37">
        <f>IF(AO155="7",BF155,0)</f>
        <v>0</v>
      </c>
      <c r="AC155" s="37">
        <f>IF(AO155="7",BG155,0)</f>
        <v>0</v>
      </c>
      <c r="AD155" s="37">
        <f>IF(AO155="2",BF155,0)</f>
        <v>0</v>
      </c>
      <c r="AE155" s="37">
        <f>IF(AO155="2",BG155,0)</f>
        <v>0</v>
      </c>
      <c r="AF155" s="37">
        <f>IF(AO155="0",BH155,0)</f>
        <v>0</v>
      </c>
      <c r="AG155" s="23"/>
      <c r="AH155" s="37">
        <f>IF(AL155=0,H155,0)</f>
        <v>0</v>
      </c>
      <c r="AI155" s="37">
        <f>IF(AL155=15,H155,0)</f>
        <v>0</v>
      </c>
      <c r="AJ155" s="37">
        <f>IF(AL155=21,H155,0)</f>
        <v>0</v>
      </c>
      <c r="AL155" s="37">
        <v>21</v>
      </c>
      <c r="AM155" s="37">
        <f>G155*0.315389281225014</f>
        <v>0</v>
      </c>
      <c r="AN155" s="37">
        <f>G155*(1-0.315389281225014)</f>
        <v>0</v>
      </c>
      <c r="AO155" s="38" t="s">
        <v>90</v>
      </c>
      <c r="AT155" s="37">
        <f>AU155+AV155</f>
        <v>0</v>
      </c>
      <c r="AU155" s="37">
        <f>F155*AM155</f>
        <v>0</v>
      </c>
      <c r="AV155" s="37">
        <f>F155*AN155</f>
        <v>0</v>
      </c>
      <c r="AW155" s="38" t="s">
        <v>312</v>
      </c>
      <c r="AX155" s="38" t="s">
        <v>262</v>
      </c>
      <c r="AY155" s="23" t="s">
        <v>97</v>
      </c>
      <c r="BA155" s="37">
        <f>AU155+AV155</f>
        <v>0</v>
      </c>
      <c r="BB155" s="37">
        <f>G155/(100-BC155)*100</f>
        <v>0</v>
      </c>
      <c r="BC155" s="37">
        <v>0</v>
      </c>
      <c r="BD155" s="37">
        <f>J155</f>
        <v>4.26465</v>
      </c>
      <c r="BF155" s="37">
        <f>F155*AM155</f>
        <v>0</v>
      </c>
      <c r="BG155" s="37">
        <f>F155*AN155</f>
        <v>0</v>
      </c>
      <c r="BH155" s="37">
        <f>F155*G155</f>
        <v>0</v>
      </c>
    </row>
    <row r="156" spans="1:11" ht="12.75">
      <c r="A156" s="39"/>
      <c r="B156" s="40"/>
      <c r="C156" s="40"/>
      <c r="D156" s="41" t="s">
        <v>338</v>
      </c>
      <c r="E156" s="40"/>
      <c r="F156" s="42">
        <v>351</v>
      </c>
      <c r="G156" s="40"/>
      <c r="H156" s="40"/>
      <c r="I156" s="43"/>
      <c r="J156" s="43"/>
      <c r="K156" s="40"/>
    </row>
    <row r="157" spans="1:60" ht="25.5">
      <c r="A157" s="16" t="s">
        <v>339</v>
      </c>
      <c r="B157" s="16"/>
      <c r="C157" s="16" t="s">
        <v>340</v>
      </c>
      <c r="D157" s="32" t="s">
        <v>341</v>
      </c>
      <c r="E157" s="16" t="s">
        <v>192</v>
      </c>
      <c r="F157" s="33">
        <v>93</v>
      </c>
      <c r="G157" s="422"/>
      <c r="H157" s="34">
        <f>F157*G157</f>
        <v>0</v>
      </c>
      <c r="I157" s="35">
        <v>0.01215</v>
      </c>
      <c r="J157" s="35">
        <f>F157*I157</f>
        <v>1.12995</v>
      </c>
      <c r="K157" s="36" t="s">
        <v>94</v>
      </c>
      <c r="X157" s="37">
        <f>IF(AO157="5",BH157,0)</f>
        <v>0</v>
      </c>
      <c r="Z157" s="37">
        <f>IF(AO157="1",BF157,0)</f>
        <v>0</v>
      </c>
      <c r="AA157" s="37">
        <f>IF(AO157="1",BG157,0)</f>
        <v>0</v>
      </c>
      <c r="AB157" s="37">
        <f>IF(AO157="7",BF157,0)</f>
        <v>0</v>
      </c>
      <c r="AC157" s="37">
        <f>IF(AO157="7",BG157,0)</f>
        <v>0</v>
      </c>
      <c r="AD157" s="37">
        <f>IF(AO157="2",BF157,0)</f>
        <v>0</v>
      </c>
      <c r="AE157" s="37">
        <f>IF(AO157="2",BG157,0)</f>
        <v>0</v>
      </c>
      <c r="AF157" s="37">
        <f>IF(AO157="0",BH157,0)</f>
        <v>0</v>
      </c>
      <c r="AG157" s="23"/>
      <c r="AH157" s="37">
        <f>IF(AL157=0,H157,0)</f>
        <v>0</v>
      </c>
      <c r="AI157" s="37">
        <f>IF(AL157=15,H157,0)</f>
        <v>0</v>
      </c>
      <c r="AJ157" s="37">
        <f>IF(AL157=21,H157,0)</f>
        <v>0</v>
      </c>
      <c r="AL157" s="37">
        <v>21</v>
      </c>
      <c r="AM157" s="37">
        <f>G157*0.357227169072044</f>
        <v>0</v>
      </c>
      <c r="AN157" s="37">
        <f>G157*(1-0.357227169072044)</f>
        <v>0</v>
      </c>
      <c r="AO157" s="38" t="s">
        <v>90</v>
      </c>
      <c r="AT157" s="37">
        <f>AU157+AV157</f>
        <v>0</v>
      </c>
      <c r="AU157" s="37">
        <f>F157*AM157</f>
        <v>0</v>
      </c>
      <c r="AV157" s="37">
        <f>F157*AN157</f>
        <v>0</v>
      </c>
      <c r="AW157" s="38" t="s">
        <v>312</v>
      </c>
      <c r="AX157" s="38" t="s">
        <v>262</v>
      </c>
      <c r="AY157" s="23" t="s">
        <v>97</v>
      </c>
      <c r="BA157" s="37">
        <f>AU157+AV157</f>
        <v>0</v>
      </c>
      <c r="BB157" s="37">
        <f>G157/(100-BC157)*100</f>
        <v>0</v>
      </c>
      <c r="BC157" s="37">
        <v>0</v>
      </c>
      <c r="BD157" s="37">
        <f>J157</f>
        <v>1.12995</v>
      </c>
      <c r="BF157" s="37">
        <f>F157*AM157</f>
        <v>0</v>
      </c>
      <c r="BG157" s="37">
        <f>F157*AN157</f>
        <v>0</v>
      </c>
      <c r="BH157" s="37">
        <f>F157*G157</f>
        <v>0</v>
      </c>
    </row>
    <row r="158" spans="1:11" ht="12.75">
      <c r="A158" s="39"/>
      <c r="B158" s="40"/>
      <c r="C158" s="40"/>
      <c r="D158" s="41" t="s">
        <v>342</v>
      </c>
      <c r="E158" s="40"/>
      <c r="F158" s="42">
        <v>93</v>
      </c>
      <c r="G158" s="40"/>
      <c r="H158" s="40"/>
      <c r="I158" s="43"/>
      <c r="J158" s="43"/>
      <c r="K158" s="40"/>
    </row>
    <row r="159" spans="1:60" ht="12.75">
      <c r="A159" s="16" t="s">
        <v>343</v>
      </c>
      <c r="B159" s="16"/>
      <c r="C159" s="16" t="s">
        <v>344</v>
      </c>
      <c r="D159" s="32" t="s">
        <v>345</v>
      </c>
      <c r="E159" s="16" t="s">
        <v>192</v>
      </c>
      <c r="F159" s="33">
        <v>300.5</v>
      </c>
      <c r="G159" s="422"/>
      <c r="H159" s="34">
        <f>F159*G159</f>
        <v>0</v>
      </c>
      <c r="I159" s="35">
        <v>0.03058</v>
      </c>
      <c r="J159" s="35">
        <f>F159*I159</f>
        <v>9.18929</v>
      </c>
      <c r="K159" s="36" t="s">
        <v>226</v>
      </c>
      <c r="X159" s="37">
        <f>IF(AO159="5",BH159,0)</f>
        <v>0</v>
      </c>
      <c r="Z159" s="37">
        <f>IF(AO159="1",BF159,0)</f>
        <v>0</v>
      </c>
      <c r="AA159" s="37">
        <f>IF(AO159="1",BG159,0)</f>
        <v>0</v>
      </c>
      <c r="AB159" s="37">
        <f>IF(AO159="7",BF159,0)</f>
        <v>0</v>
      </c>
      <c r="AC159" s="37">
        <f>IF(AO159="7",BG159,0)</f>
        <v>0</v>
      </c>
      <c r="AD159" s="37">
        <f>IF(AO159="2",BF159,0)</f>
        <v>0</v>
      </c>
      <c r="AE159" s="37">
        <f>IF(AO159="2",BG159,0)</f>
        <v>0</v>
      </c>
      <c r="AF159" s="37">
        <f>IF(AO159="0",BH159,0)</f>
        <v>0</v>
      </c>
      <c r="AG159" s="23"/>
      <c r="AH159" s="37">
        <f>IF(AL159=0,H159,0)</f>
        <v>0</v>
      </c>
      <c r="AI159" s="37">
        <f>IF(AL159=15,H159,0)</f>
        <v>0</v>
      </c>
      <c r="AJ159" s="37">
        <f>IF(AL159=21,H159,0)</f>
        <v>0</v>
      </c>
      <c r="AL159" s="37">
        <v>21</v>
      </c>
      <c r="AM159" s="37">
        <f>G159*0.616590667189283</f>
        <v>0</v>
      </c>
      <c r="AN159" s="37">
        <f>G159*(1-0.616590667189283)</f>
        <v>0</v>
      </c>
      <c r="AO159" s="38" t="s">
        <v>90</v>
      </c>
      <c r="AT159" s="37">
        <f>AU159+AV159</f>
        <v>0</v>
      </c>
      <c r="AU159" s="37">
        <f>F159*AM159</f>
        <v>0</v>
      </c>
      <c r="AV159" s="37">
        <f>F159*AN159</f>
        <v>0</v>
      </c>
      <c r="AW159" s="38" t="s">
        <v>312</v>
      </c>
      <c r="AX159" s="38" t="s">
        <v>262</v>
      </c>
      <c r="AY159" s="23" t="s">
        <v>97</v>
      </c>
      <c r="BA159" s="37">
        <f>AU159+AV159</f>
        <v>0</v>
      </c>
      <c r="BB159" s="37">
        <f>G159/(100-BC159)*100</f>
        <v>0</v>
      </c>
      <c r="BC159" s="37">
        <v>0</v>
      </c>
      <c r="BD159" s="37">
        <f>J159</f>
        <v>9.18929</v>
      </c>
      <c r="BF159" s="37">
        <f>F159*AM159</f>
        <v>0</v>
      </c>
      <c r="BG159" s="37">
        <f>F159*AN159</f>
        <v>0</v>
      </c>
      <c r="BH159" s="37">
        <f>F159*G159</f>
        <v>0</v>
      </c>
    </row>
    <row r="160" spans="1:11" ht="12.75">
      <c r="A160" s="39"/>
      <c r="B160" s="40"/>
      <c r="C160" s="40"/>
      <c r="D160" s="41" t="s">
        <v>346</v>
      </c>
      <c r="E160" s="40"/>
      <c r="F160" s="42">
        <v>265</v>
      </c>
      <c r="G160" s="40"/>
      <c r="H160" s="40"/>
      <c r="I160" s="43"/>
      <c r="J160" s="43"/>
      <c r="K160" s="40"/>
    </row>
    <row r="161" spans="1:11" ht="12.75">
      <c r="A161" s="39"/>
      <c r="B161" s="40"/>
      <c r="C161" s="40"/>
      <c r="D161" s="41" t="s">
        <v>347</v>
      </c>
      <c r="E161" s="40"/>
      <c r="F161" s="42">
        <v>35.5</v>
      </c>
      <c r="G161" s="40"/>
      <c r="H161" s="40"/>
      <c r="I161" s="43"/>
      <c r="J161" s="43"/>
      <c r="K161" s="40"/>
    </row>
    <row r="162" spans="1:11" ht="12.75">
      <c r="A162" s="39">
        <v>49</v>
      </c>
      <c r="B162" s="40"/>
      <c r="C162" s="16" t="s">
        <v>348</v>
      </c>
      <c r="D162" s="32" t="s">
        <v>349</v>
      </c>
      <c r="E162" s="16" t="s">
        <v>192</v>
      </c>
      <c r="F162" s="33">
        <v>24</v>
      </c>
      <c r="G162" s="422"/>
      <c r="H162" s="34">
        <f>F162*G162</f>
        <v>0</v>
      </c>
      <c r="I162" s="35">
        <v>0.03058</v>
      </c>
      <c r="J162" s="35">
        <f>F162*I162</f>
        <v>0.73392</v>
      </c>
      <c r="K162" s="36" t="s">
        <v>226</v>
      </c>
    </row>
    <row r="163" spans="1:11" ht="12.75">
      <c r="A163" s="39"/>
      <c r="B163" s="40"/>
      <c r="C163" s="40"/>
      <c r="D163" s="41" t="s">
        <v>346</v>
      </c>
      <c r="E163" s="40"/>
      <c r="F163" s="42">
        <v>24</v>
      </c>
      <c r="G163" s="40"/>
      <c r="H163" s="40"/>
      <c r="I163" s="43"/>
      <c r="J163" s="43"/>
      <c r="K163" s="40"/>
    </row>
    <row r="164" spans="1:11" ht="12.75">
      <c r="A164" s="16" t="s">
        <v>350</v>
      </c>
      <c r="B164" s="16"/>
      <c r="C164" s="16" t="s">
        <v>348</v>
      </c>
      <c r="D164" s="32" t="s">
        <v>351</v>
      </c>
      <c r="E164" s="16" t="s">
        <v>192</v>
      </c>
      <c r="F164" s="33">
        <v>429</v>
      </c>
      <c r="G164" s="422"/>
      <c r="H164" s="34">
        <f>F164*G164</f>
        <v>0</v>
      </c>
      <c r="I164" s="35">
        <v>0.03058</v>
      </c>
      <c r="J164" s="35">
        <f>F164*I164</f>
        <v>13.11882</v>
      </c>
      <c r="K164" s="36" t="s">
        <v>226</v>
      </c>
    </row>
    <row r="165" spans="1:11" ht="12.75">
      <c r="A165" s="39"/>
      <c r="B165" s="40"/>
      <c r="C165" s="40"/>
      <c r="D165" s="41" t="s">
        <v>352</v>
      </c>
      <c r="E165" s="40"/>
      <c r="F165" s="42">
        <v>429</v>
      </c>
      <c r="G165" s="40"/>
      <c r="H165" s="40"/>
      <c r="I165" s="43"/>
      <c r="J165" s="43"/>
      <c r="K165" s="40"/>
    </row>
    <row r="166" spans="1:45" ht="12.75">
      <c r="A166" s="24"/>
      <c r="B166" s="25"/>
      <c r="C166" s="25" t="s">
        <v>304</v>
      </c>
      <c r="D166" s="26" t="s">
        <v>353</v>
      </c>
      <c r="E166" s="24" t="s">
        <v>54</v>
      </c>
      <c r="F166" s="24" t="s">
        <v>54</v>
      </c>
      <c r="G166" s="24" t="s">
        <v>54</v>
      </c>
      <c r="H166" s="27">
        <f>SUM(H167:H207)</f>
        <v>0</v>
      </c>
      <c r="I166" s="28"/>
      <c r="J166" s="28">
        <f>SUM(J167:J207)</f>
        <v>633.0684931</v>
      </c>
      <c r="K166" s="29"/>
      <c r="AG166" s="23"/>
      <c r="AQ166" s="31">
        <f>SUM(AH167:AH207)</f>
        <v>0</v>
      </c>
      <c r="AR166" s="31">
        <f>SUM(AI167:AI207)</f>
        <v>0</v>
      </c>
      <c r="AS166" s="31">
        <f>SUM(AJ167:AJ207)</f>
        <v>0</v>
      </c>
    </row>
    <row r="167" spans="1:60" ht="12.75">
      <c r="A167" s="16" t="s">
        <v>354</v>
      </c>
      <c r="B167" s="16"/>
      <c r="C167" s="16" t="s">
        <v>355</v>
      </c>
      <c r="D167" s="32" t="s">
        <v>356</v>
      </c>
      <c r="E167" s="16" t="s">
        <v>102</v>
      </c>
      <c r="F167" s="33">
        <v>30.8</v>
      </c>
      <c r="G167" s="422"/>
      <c r="H167" s="34">
        <f>F167*G167</f>
        <v>0</v>
      </c>
      <c r="I167" s="35">
        <v>2.52507</v>
      </c>
      <c r="J167" s="35">
        <f>F167*I167</f>
        <v>77.772156</v>
      </c>
      <c r="K167" s="36" t="s">
        <v>94</v>
      </c>
      <c r="X167" s="37">
        <f>IF(AO167="5",BH167,0)</f>
        <v>0</v>
      </c>
      <c r="Z167" s="37">
        <f>IF(AO167="1",BF167,0)</f>
        <v>0</v>
      </c>
      <c r="AA167" s="37">
        <f>IF(AO167="1",BG167,0)</f>
        <v>0</v>
      </c>
      <c r="AB167" s="37">
        <f>IF(AO167="7",BF167,0)</f>
        <v>0</v>
      </c>
      <c r="AC167" s="37">
        <f>IF(AO167="7",BG167,0)</f>
        <v>0</v>
      </c>
      <c r="AD167" s="37">
        <f>IF(AO167="2",BF167,0)</f>
        <v>0</v>
      </c>
      <c r="AE167" s="37">
        <f>IF(AO167="2",BG167,0)</f>
        <v>0</v>
      </c>
      <c r="AF167" s="37">
        <f>IF(AO167="0",BH167,0)</f>
        <v>0</v>
      </c>
      <c r="AG167" s="23"/>
      <c r="AH167" s="37">
        <f>IF(AL167=0,H167,0)</f>
        <v>0</v>
      </c>
      <c r="AI167" s="37">
        <f>IF(AL167=15,H167,0)</f>
        <v>0</v>
      </c>
      <c r="AJ167" s="37">
        <f>IF(AL167=21,H167,0)</f>
        <v>0</v>
      </c>
      <c r="AL167" s="37">
        <v>21</v>
      </c>
      <c r="AM167" s="37">
        <f>G167*0.866296943231441</f>
        <v>0</v>
      </c>
      <c r="AN167" s="37">
        <f>G167*(1-0.866296943231441)</f>
        <v>0</v>
      </c>
      <c r="AO167" s="38" t="s">
        <v>90</v>
      </c>
      <c r="AT167" s="37">
        <f>AU167+AV167</f>
        <v>0</v>
      </c>
      <c r="AU167" s="37">
        <f>F167*AM167</f>
        <v>0</v>
      </c>
      <c r="AV167" s="37">
        <f>F167*AN167</f>
        <v>0</v>
      </c>
      <c r="AW167" s="38" t="s">
        <v>357</v>
      </c>
      <c r="AX167" s="38" t="s">
        <v>358</v>
      </c>
      <c r="AY167" s="23" t="s">
        <v>97</v>
      </c>
      <c r="BA167" s="37">
        <f>AU167+AV167</f>
        <v>0</v>
      </c>
      <c r="BB167" s="37">
        <f>G167/(100-BC167)*100</f>
        <v>0</v>
      </c>
      <c r="BC167" s="37">
        <v>0</v>
      </c>
      <c r="BD167" s="37">
        <f>J167</f>
        <v>77.772156</v>
      </c>
      <c r="BF167" s="37">
        <f>F167*AM167</f>
        <v>0</v>
      </c>
      <c r="BG167" s="37">
        <f>F167*AN167</f>
        <v>0</v>
      </c>
      <c r="BH167" s="37">
        <f>F167*G167</f>
        <v>0</v>
      </c>
    </row>
    <row r="168" spans="1:11" ht="12.75">
      <c r="A168" s="39"/>
      <c r="B168" s="40"/>
      <c r="C168" s="40"/>
      <c r="D168" s="41" t="s">
        <v>359</v>
      </c>
      <c r="E168" s="40"/>
      <c r="F168" s="42">
        <v>30.8</v>
      </c>
      <c r="G168" s="40"/>
      <c r="H168" s="40"/>
      <c r="I168" s="43"/>
      <c r="J168" s="43"/>
      <c r="K168" s="40"/>
    </row>
    <row r="169" spans="1:60" ht="12.75">
      <c r="A169" s="16" t="s">
        <v>360</v>
      </c>
      <c r="B169" s="16"/>
      <c r="C169" s="16" t="s">
        <v>361</v>
      </c>
      <c r="D169" s="32" t="s">
        <v>362</v>
      </c>
      <c r="E169" s="16" t="s">
        <v>192</v>
      </c>
      <c r="F169" s="33">
        <v>104.458</v>
      </c>
      <c r="G169" s="422"/>
      <c r="H169" s="34">
        <f>F169*G169</f>
        <v>0</v>
      </c>
      <c r="I169" s="35">
        <v>0.0577</v>
      </c>
      <c r="J169" s="35">
        <f>F169*I169</f>
        <v>6.0272266</v>
      </c>
      <c r="K169" s="36" t="s">
        <v>94</v>
      </c>
      <c r="X169" s="37">
        <f>IF(AO169="5",BH169,0)</f>
        <v>0</v>
      </c>
      <c r="Z169" s="37">
        <f>IF(AO169="1",BF169,0)</f>
        <v>0</v>
      </c>
      <c r="AA169" s="37">
        <f>IF(AO169="1",BG169,0)</f>
        <v>0</v>
      </c>
      <c r="AB169" s="37">
        <f>IF(AO169="7",BF169,0)</f>
        <v>0</v>
      </c>
      <c r="AC169" s="37">
        <f>IF(AO169="7",BG169,0)</f>
        <v>0</v>
      </c>
      <c r="AD169" s="37">
        <f>IF(AO169="2",BF169,0)</f>
        <v>0</v>
      </c>
      <c r="AE169" s="37">
        <f>IF(AO169="2",BG169,0)</f>
        <v>0</v>
      </c>
      <c r="AF169" s="37">
        <f>IF(AO169="0",BH169,0)</f>
        <v>0</v>
      </c>
      <c r="AG169" s="23"/>
      <c r="AH169" s="37">
        <f>IF(AL169=0,H169,0)</f>
        <v>0</v>
      </c>
      <c r="AI169" s="37">
        <f>IF(AL169=15,H169,0)</f>
        <v>0</v>
      </c>
      <c r="AJ169" s="37">
        <f>IF(AL169=21,H169,0)</f>
        <v>0</v>
      </c>
      <c r="AL169" s="37">
        <v>21</v>
      </c>
      <c r="AM169" s="37">
        <f>G169*0.227698732225147</f>
        <v>0</v>
      </c>
      <c r="AN169" s="37">
        <f>G169*(1-0.227698732225147)</f>
        <v>0</v>
      </c>
      <c r="AO169" s="38" t="s">
        <v>90</v>
      </c>
      <c r="AT169" s="37">
        <f>AU169+AV169</f>
        <v>0</v>
      </c>
      <c r="AU169" s="37">
        <f>F169*AM169</f>
        <v>0</v>
      </c>
      <c r="AV169" s="37">
        <f>F169*AN169</f>
        <v>0</v>
      </c>
      <c r="AW169" s="38" t="s">
        <v>357</v>
      </c>
      <c r="AX169" s="38" t="s">
        <v>358</v>
      </c>
      <c r="AY169" s="23" t="s">
        <v>97</v>
      </c>
      <c r="BA169" s="37">
        <f>AU169+AV169</f>
        <v>0</v>
      </c>
      <c r="BB169" s="37">
        <f>G169/(100-BC169)*100</f>
        <v>0</v>
      </c>
      <c r="BC169" s="37">
        <v>0</v>
      </c>
      <c r="BD169" s="37">
        <f>J169</f>
        <v>6.0272266</v>
      </c>
      <c r="BF169" s="37">
        <f>F169*AM169</f>
        <v>0</v>
      </c>
      <c r="BG169" s="37">
        <f>F169*AN169</f>
        <v>0</v>
      </c>
      <c r="BH169" s="37">
        <f>F169*G169</f>
        <v>0</v>
      </c>
    </row>
    <row r="170" spans="1:11" ht="12.75">
      <c r="A170" s="39"/>
      <c r="B170" s="40"/>
      <c r="C170" s="40"/>
      <c r="D170" s="41" t="s">
        <v>363</v>
      </c>
      <c r="E170" s="40"/>
      <c r="F170" s="42">
        <v>104.458</v>
      </c>
      <c r="G170" s="40"/>
      <c r="H170" s="40"/>
      <c r="I170" s="43"/>
      <c r="J170" s="43"/>
      <c r="K170" s="40"/>
    </row>
    <row r="171" spans="1:60" ht="12.75">
      <c r="A171" s="16" t="s">
        <v>364</v>
      </c>
      <c r="B171" s="16"/>
      <c r="C171" s="16" t="s">
        <v>365</v>
      </c>
      <c r="D171" s="32" t="s">
        <v>366</v>
      </c>
      <c r="E171" s="16" t="s">
        <v>192</v>
      </c>
      <c r="F171" s="33">
        <v>104.458</v>
      </c>
      <c r="G171" s="422"/>
      <c r="H171" s="34">
        <f>F171*G171</f>
        <v>0</v>
      </c>
      <c r="I171" s="35">
        <v>0</v>
      </c>
      <c r="J171" s="35">
        <f>F171*I171</f>
        <v>0</v>
      </c>
      <c r="K171" s="36" t="s">
        <v>94</v>
      </c>
      <c r="X171" s="37">
        <f>IF(AO171="5",BH171,0)</f>
        <v>0</v>
      </c>
      <c r="Z171" s="37">
        <f>IF(AO171="1",BF171,0)</f>
        <v>0</v>
      </c>
      <c r="AA171" s="37">
        <f>IF(AO171="1",BG171,0)</f>
        <v>0</v>
      </c>
      <c r="AB171" s="37">
        <f>IF(AO171="7",BF171,0)</f>
        <v>0</v>
      </c>
      <c r="AC171" s="37">
        <f>IF(AO171="7",BG171,0)</f>
        <v>0</v>
      </c>
      <c r="AD171" s="37">
        <f>IF(AO171="2",BF171,0)</f>
        <v>0</v>
      </c>
      <c r="AE171" s="37">
        <f>IF(AO171="2",BG171,0)</f>
        <v>0</v>
      </c>
      <c r="AF171" s="37">
        <f>IF(AO171="0",BH171,0)</f>
        <v>0</v>
      </c>
      <c r="AG171" s="23"/>
      <c r="AH171" s="37">
        <f>IF(AL171=0,H171,0)</f>
        <v>0</v>
      </c>
      <c r="AI171" s="37">
        <f>IF(AL171=15,H171,0)</f>
        <v>0</v>
      </c>
      <c r="AJ171" s="37">
        <f>IF(AL171=21,H171,0)</f>
        <v>0</v>
      </c>
      <c r="AL171" s="37">
        <v>21</v>
      </c>
      <c r="AM171" s="37">
        <f>G171*0</f>
        <v>0</v>
      </c>
      <c r="AN171" s="37">
        <f>G171*(1-0)</f>
        <v>0</v>
      </c>
      <c r="AO171" s="38" t="s">
        <v>90</v>
      </c>
      <c r="AT171" s="37">
        <f>AU171+AV171</f>
        <v>0</v>
      </c>
      <c r="AU171" s="37">
        <f>F171*AM171</f>
        <v>0</v>
      </c>
      <c r="AV171" s="37">
        <f>F171*AN171</f>
        <v>0</v>
      </c>
      <c r="AW171" s="38" t="s">
        <v>357</v>
      </c>
      <c r="AX171" s="38" t="s">
        <v>358</v>
      </c>
      <c r="AY171" s="23" t="s">
        <v>97</v>
      </c>
      <c r="BA171" s="37">
        <f>AU171+AV171</f>
        <v>0</v>
      </c>
      <c r="BB171" s="37">
        <f>G171/(100-BC171)*100</f>
        <v>0</v>
      </c>
      <c r="BC171" s="37">
        <v>0</v>
      </c>
      <c r="BD171" s="37">
        <f>J171</f>
        <v>0</v>
      </c>
      <c r="BF171" s="37">
        <f>F171*AM171</f>
        <v>0</v>
      </c>
      <c r="BG171" s="37">
        <f>F171*AN171</f>
        <v>0</v>
      </c>
      <c r="BH171" s="37">
        <f>F171*G171</f>
        <v>0</v>
      </c>
    </row>
    <row r="172" spans="1:11" ht="12.75">
      <c r="A172" s="39"/>
      <c r="B172" s="40"/>
      <c r="C172" s="40"/>
      <c r="D172" s="41" t="s">
        <v>363</v>
      </c>
      <c r="E172" s="40"/>
      <c r="F172" s="42">
        <v>104.458</v>
      </c>
      <c r="G172" s="40"/>
      <c r="H172" s="40"/>
      <c r="I172" s="43"/>
      <c r="J172" s="43"/>
      <c r="K172" s="40"/>
    </row>
    <row r="173" spans="1:60" ht="12.75">
      <c r="A173" s="16" t="s">
        <v>367</v>
      </c>
      <c r="B173" s="16"/>
      <c r="C173" s="16" t="s">
        <v>368</v>
      </c>
      <c r="D173" s="32" t="s">
        <v>369</v>
      </c>
      <c r="E173" s="16" t="s">
        <v>192</v>
      </c>
      <c r="F173" s="33">
        <v>25.214</v>
      </c>
      <c r="G173" s="422"/>
      <c r="H173" s="34">
        <f>F173*G173</f>
        <v>0</v>
      </c>
      <c r="I173" s="35">
        <v>0.00633</v>
      </c>
      <c r="J173" s="35">
        <f>F173*I173</f>
        <v>0.15960461999999997</v>
      </c>
      <c r="K173" s="36" t="s">
        <v>94</v>
      </c>
      <c r="X173" s="37">
        <f>IF(AO173="5",BH173,0)</f>
        <v>0</v>
      </c>
      <c r="Z173" s="37">
        <f>IF(AO173="1",BF173,0)</f>
        <v>0</v>
      </c>
      <c r="AA173" s="37">
        <f>IF(AO173="1",BG173,0)</f>
        <v>0</v>
      </c>
      <c r="AB173" s="37">
        <f>IF(AO173="7",BF173,0)</f>
        <v>0</v>
      </c>
      <c r="AC173" s="37">
        <f>IF(AO173="7",BG173,0)</f>
        <v>0</v>
      </c>
      <c r="AD173" s="37">
        <f>IF(AO173="2",BF173,0)</f>
        <v>0</v>
      </c>
      <c r="AE173" s="37">
        <f>IF(AO173="2",BG173,0)</f>
        <v>0</v>
      </c>
      <c r="AF173" s="37">
        <f>IF(AO173="0",BH173,0)</f>
        <v>0</v>
      </c>
      <c r="AG173" s="23"/>
      <c r="AH173" s="37">
        <f>IF(AL173=0,H173,0)</f>
        <v>0</v>
      </c>
      <c r="AI173" s="37">
        <f>IF(AL173=15,H173,0)</f>
        <v>0</v>
      </c>
      <c r="AJ173" s="37">
        <f>IF(AL173=21,H173,0)</f>
        <v>0</v>
      </c>
      <c r="AL173" s="37">
        <v>21</v>
      </c>
      <c r="AM173" s="37">
        <f>G173*0.098787893628704</f>
        <v>0</v>
      </c>
      <c r="AN173" s="37">
        <f>G173*(1-0.098787893628704)</f>
        <v>0</v>
      </c>
      <c r="AO173" s="38" t="s">
        <v>90</v>
      </c>
      <c r="AT173" s="37">
        <f>AU173+AV173</f>
        <v>0</v>
      </c>
      <c r="AU173" s="37">
        <f>F173*AM173</f>
        <v>0</v>
      </c>
      <c r="AV173" s="37">
        <f>F173*AN173</f>
        <v>0</v>
      </c>
      <c r="AW173" s="38" t="s">
        <v>357</v>
      </c>
      <c r="AX173" s="38" t="s">
        <v>358</v>
      </c>
      <c r="AY173" s="23" t="s">
        <v>97</v>
      </c>
      <c r="BA173" s="37">
        <f>AU173+AV173</f>
        <v>0</v>
      </c>
      <c r="BB173" s="37">
        <f>G173/(100-BC173)*100</f>
        <v>0</v>
      </c>
      <c r="BC173" s="37">
        <v>0</v>
      </c>
      <c r="BD173" s="37">
        <f>J173</f>
        <v>0.15960461999999997</v>
      </c>
      <c r="BF173" s="37">
        <f>F173*AM173</f>
        <v>0</v>
      </c>
      <c r="BG173" s="37">
        <f>F173*AN173</f>
        <v>0</v>
      </c>
      <c r="BH173" s="37">
        <f>F173*G173</f>
        <v>0</v>
      </c>
    </row>
    <row r="174" spans="1:11" ht="12.75">
      <c r="A174" s="39"/>
      <c r="B174" s="40"/>
      <c r="C174" s="40"/>
      <c r="D174" s="41" t="s">
        <v>370</v>
      </c>
      <c r="E174" s="40"/>
      <c r="F174" s="42">
        <v>25.214</v>
      </c>
      <c r="G174" s="40"/>
      <c r="H174" s="40"/>
      <c r="I174" s="43"/>
      <c r="J174" s="43"/>
      <c r="K174" s="40"/>
    </row>
    <row r="175" spans="1:60" ht="12.75">
      <c r="A175" s="16" t="s">
        <v>371</v>
      </c>
      <c r="B175" s="16"/>
      <c r="C175" s="16" t="s">
        <v>372</v>
      </c>
      <c r="D175" s="32" t="s">
        <v>373</v>
      </c>
      <c r="E175" s="16" t="s">
        <v>192</v>
      </c>
      <c r="F175" s="33">
        <v>25.214</v>
      </c>
      <c r="G175" s="422"/>
      <c r="H175" s="34">
        <f>F175*G175</f>
        <v>0</v>
      </c>
      <c r="I175" s="35">
        <v>0</v>
      </c>
      <c r="J175" s="35">
        <f>F175*I175</f>
        <v>0</v>
      </c>
      <c r="K175" s="36" t="s">
        <v>94</v>
      </c>
      <c r="X175" s="37">
        <f>IF(AO175="5",BH175,0)</f>
        <v>0</v>
      </c>
      <c r="Z175" s="37">
        <f>IF(AO175="1",BF175,0)</f>
        <v>0</v>
      </c>
      <c r="AA175" s="37">
        <f>IF(AO175="1",BG175,0)</f>
        <v>0</v>
      </c>
      <c r="AB175" s="37">
        <f>IF(AO175="7",BF175,0)</f>
        <v>0</v>
      </c>
      <c r="AC175" s="37">
        <f>IF(AO175="7",BG175,0)</f>
        <v>0</v>
      </c>
      <c r="AD175" s="37">
        <f>IF(AO175="2",BF175,0)</f>
        <v>0</v>
      </c>
      <c r="AE175" s="37">
        <f>IF(AO175="2",BG175,0)</f>
        <v>0</v>
      </c>
      <c r="AF175" s="37">
        <f>IF(AO175="0",BH175,0)</f>
        <v>0</v>
      </c>
      <c r="AG175" s="23"/>
      <c r="AH175" s="37">
        <f>IF(AL175=0,H175,0)</f>
        <v>0</v>
      </c>
      <c r="AI175" s="37">
        <f>IF(AL175=15,H175,0)</f>
        <v>0</v>
      </c>
      <c r="AJ175" s="37">
        <f>IF(AL175=21,H175,0)</f>
        <v>0</v>
      </c>
      <c r="AL175" s="37">
        <v>21</v>
      </c>
      <c r="AM175" s="37">
        <f>G175*0</f>
        <v>0</v>
      </c>
      <c r="AN175" s="37">
        <f>G175*(1-0)</f>
        <v>0</v>
      </c>
      <c r="AO175" s="38" t="s">
        <v>90</v>
      </c>
      <c r="AT175" s="37">
        <f>AU175+AV175</f>
        <v>0</v>
      </c>
      <c r="AU175" s="37">
        <f>F175*AM175</f>
        <v>0</v>
      </c>
      <c r="AV175" s="37">
        <f>F175*AN175</f>
        <v>0</v>
      </c>
      <c r="AW175" s="38" t="s">
        <v>357</v>
      </c>
      <c r="AX175" s="38" t="s">
        <v>358</v>
      </c>
      <c r="AY175" s="23" t="s">
        <v>97</v>
      </c>
      <c r="BA175" s="37">
        <f>AU175+AV175</f>
        <v>0</v>
      </c>
      <c r="BB175" s="37">
        <f>G175/(100-BC175)*100</f>
        <v>0</v>
      </c>
      <c r="BC175" s="37">
        <v>0</v>
      </c>
      <c r="BD175" s="37">
        <f>J175</f>
        <v>0</v>
      </c>
      <c r="BF175" s="37">
        <f>F175*AM175</f>
        <v>0</v>
      </c>
      <c r="BG175" s="37">
        <f>F175*AN175</f>
        <v>0</v>
      </c>
      <c r="BH175" s="37">
        <f>F175*G175</f>
        <v>0</v>
      </c>
    </row>
    <row r="176" spans="1:11" ht="12.75">
      <c r="A176" s="39"/>
      <c r="B176" s="40"/>
      <c r="C176" s="40"/>
      <c r="D176" s="41" t="s">
        <v>370</v>
      </c>
      <c r="E176" s="40"/>
      <c r="F176" s="42">
        <v>25.214</v>
      </c>
      <c r="G176" s="40"/>
      <c r="H176" s="40"/>
      <c r="I176" s="43"/>
      <c r="J176" s="43"/>
      <c r="K176" s="40"/>
    </row>
    <row r="177" spans="1:60" ht="12.75">
      <c r="A177" s="16" t="s">
        <v>374</v>
      </c>
      <c r="B177" s="16"/>
      <c r="C177" s="16" t="s">
        <v>375</v>
      </c>
      <c r="D177" s="32" t="s">
        <v>376</v>
      </c>
      <c r="E177" s="16" t="s">
        <v>239</v>
      </c>
      <c r="F177" s="33">
        <v>2.75</v>
      </c>
      <c r="G177" s="422"/>
      <c r="H177" s="34">
        <f>F177*G177</f>
        <v>0</v>
      </c>
      <c r="I177" s="35">
        <v>1.01939</v>
      </c>
      <c r="J177" s="35">
        <f>F177*I177</f>
        <v>2.8033225</v>
      </c>
      <c r="K177" s="36" t="s">
        <v>94</v>
      </c>
      <c r="X177" s="37">
        <f>IF(AO177="5",BH177,0)</f>
        <v>0</v>
      </c>
      <c r="Z177" s="37">
        <f>IF(AO177="1",BF177,0)</f>
        <v>0</v>
      </c>
      <c r="AA177" s="37">
        <f>IF(AO177="1",BG177,0)</f>
        <v>0</v>
      </c>
      <c r="AB177" s="37">
        <f>IF(AO177="7",BF177,0)</f>
        <v>0</v>
      </c>
      <c r="AC177" s="37">
        <f>IF(AO177="7",BG177,0)</f>
        <v>0</v>
      </c>
      <c r="AD177" s="37">
        <f>IF(AO177="2",BF177,0)</f>
        <v>0</v>
      </c>
      <c r="AE177" s="37">
        <f>IF(AO177="2",BG177,0)</f>
        <v>0</v>
      </c>
      <c r="AF177" s="37">
        <f>IF(AO177="0",BH177,0)</f>
        <v>0</v>
      </c>
      <c r="AG177" s="23"/>
      <c r="AH177" s="37">
        <f>IF(AL177=0,H177,0)</f>
        <v>0</v>
      </c>
      <c r="AI177" s="37">
        <f>IF(AL177=15,H177,0)</f>
        <v>0</v>
      </c>
      <c r="AJ177" s="37">
        <f>IF(AL177=21,H177,0)</f>
        <v>0</v>
      </c>
      <c r="AL177" s="37">
        <v>21</v>
      </c>
      <c r="AM177" s="37">
        <f>G177*0.633596266532166</f>
        <v>0</v>
      </c>
      <c r="AN177" s="37">
        <f>G177*(1-0.633596266532166)</f>
        <v>0</v>
      </c>
      <c r="AO177" s="38" t="s">
        <v>90</v>
      </c>
      <c r="AT177" s="37">
        <f>AU177+AV177</f>
        <v>0</v>
      </c>
      <c r="AU177" s="37">
        <f>F177*AM177</f>
        <v>0</v>
      </c>
      <c r="AV177" s="37">
        <f>F177*AN177</f>
        <v>0</v>
      </c>
      <c r="AW177" s="38" t="s">
        <v>357</v>
      </c>
      <c r="AX177" s="38" t="s">
        <v>358</v>
      </c>
      <c r="AY177" s="23" t="s">
        <v>97</v>
      </c>
      <c r="BA177" s="37">
        <f>AU177+AV177</f>
        <v>0</v>
      </c>
      <c r="BB177" s="37">
        <f>G177/(100-BC177)*100</f>
        <v>0</v>
      </c>
      <c r="BC177" s="37">
        <v>0</v>
      </c>
      <c r="BD177" s="37">
        <f>J177</f>
        <v>2.8033225</v>
      </c>
      <c r="BF177" s="37">
        <f>F177*AM177</f>
        <v>0</v>
      </c>
      <c r="BG177" s="37">
        <f>F177*AN177</f>
        <v>0</v>
      </c>
      <c r="BH177" s="37">
        <f>F177*G177</f>
        <v>0</v>
      </c>
    </row>
    <row r="178" spans="1:11" ht="12.75">
      <c r="A178" s="39"/>
      <c r="B178" s="40"/>
      <c r="C178" s="40"/>
      <c r="D178" s="41" t="s">
        <v>377</v>
      </c>
      <c r="E178" s="40"/>
      <c r="F178" s="42">
        <v>2.75</v>
      </c>
      <c r="G178" s="40"/>
      <c r="H178" s="40"/>
      <c r="I178" s="43"/>
      <c r="J178" s="43"/>
      <c r="K178" s="40"/>
    </row>
    <row r="179" spans="1:60" ht="12.75">
      <c r="A179" s="16" t="s">
        <v>378</v>
      </c>
      <c r="B179" s="16"/>
      <c r="C179" s="16" t="s">
        <v>379</v>
      </c>
      <c r="D179" s="32" t="s">
        <v>380</v>
      </c>
      <c r="E179" s="16" t="s">
        <v>102</v>
      </c>
      <c r="F179" s="33">
        <v>188</v>
      </c>
      <c r="G179" s="422"/>
      <c r="H179" s="34">
        <f>F179*G179</f>
        <v>0</v>
      </c>
      <c r="I179" s="35">
        <v>2.52514</v>
      </c>
      <c r="J179" s="35">
        <f>F179*I179</f>
        <v>474.72632</v>
      </c>
      <c r="K179" s="36" t="s">
        <v>94</v>
      </c>
      <c r="X179" s="37">
        <f>IF(AO179="5",BH179,0)</f>
        <v>0</v>
      </c>
      <c r="Z179" s="37">
        <f>IF(AO179="1",BF179,0)</f>
        <v>0</v>
      </c>
      <c r="AA179" s="37">
        <f>IF(AO179="1",BG179,0)</f>
        <v>0</v>
      </c>
      <c r="AB179" s="37">
        <f>IF(AO179="7",BF179,0)</f>
        <v>0</v>
      </c>
      <c r="AC179" s="37">
        <f>IF(AO179="7",BG179,0)</f>
        <v>0</v>
      </c>
      <c r="AD179" s="37">
        <f>IF(AO179="2",BF179,0)</f>
        <v>0</v>
      </c>
      <c r="AE179" s="37">
        <f>IF(AO179="2",BG179,0)</f>
        <v>0</v>
      </c>
      <c r="AF179" s="37">
        <f>IF(AO179="0",BH179,0)</f>
        <v>0</v>
      </c>
      <c r="AG179" s="23"/>
      <c r="AH179" s="37">
        <f>IF(AL179=0,H179,0)</f>
        <v>0</v>
      </c>
      <c r="AI179" s="37">
        <f>IF(AL179=15,H179,0)</f>
        <v>0</v>
      </c>
      <c r="AJ179" s="37">
        <f>IF(AL179=21,H179,0)</f>
        <v>0</v>
      </c>
      <c r="AL179" s="37">
        <v>21</v>
      </c>
      <c r="AM179" s="37">
        <f>G179*0.859789321789322</f>
        <v>0</v>
      </c>
      <c r="AN179" s="37">
        <f>G179*(1-0.859789321789322)</f>
        <v>0</v>
      </c>
      <c r="AO179" s="38" t="s">
        <v>90</v>
      </c>
      <c r="AT179" s="37">
        <f>AU179+AV179</f>
        <v>0</v>
      </c>
      <c r="AU179" s="37">
        <f>F179*AM179</f>
        <v>0</v>
      </c>
      <c r="AV179" s="37">
        <f>F179*AN179</f>
        <v>0</v>
      </c>
      <c r="AW179" s="38" t="s">
        <v>357</v>
      </c>
      <c r="AX179" s="38" t="s">
        <v>358</v>
      </c>
      <c r="AY179" s="23" t="s">
        <v>97</v>
      </c>
      <c r="BA179" s="37">
        <f>AU179+AV179</f>
        <v>0</v>
      </c>
      <c r="BB179" s="37">
        <f>G179/(100-BC179)*100</f>
        <v>0</v>
      </c>
      <c r="BC179" s="37">
        <v>0</v>
      </c>
      <c r="BD179" s="37">
        <f>J179</f>
        <v>474.72632</v>
      </c>
      <c r="BF179" s="37">
        <f>F179*AM179</f>
        <v>0</v>
      </c>
      <c r="BG179" s="37">
        <f>F179*AN179</f>
        <v>0</v>
      </c>
      <c r="BH179" s="37">
        <f>F179*G179</f>
        <v>0</v>
      </c>
    </row>
    <row r="180" spans="1:11" ht="12.75">
      <c r="A180" s="39"/>
      <c r="B180" s="40"/>
      <c r="C180" s="40"/>
      <c r="D180" s="41" t="s">
        <v>381</v>
      </c>
      <c r="E180" s="40"/>
      <c r="F180" s="42">
        <v>188</v>
      </c>
      <c r="G180" s="40"/>
      <c r="H180" s="40"/>
      <c r="I180" s="43"/>
      <c r="J180" s="43"/>
      <c r="K180" s="40"/>
    </row>
    <row r="181" spans="1:60" ht="12.75">
      <c r="A181" s="16" t="s">
        <v>382</v>
      </c>
      <c r="B181" s="16"/>
      <c r="C181" s="16" t="s">
        <v>383</v>
      </c>
      <c r="D181" s="32" t="s">
        <v>384</v>
      </c>
      <c r="E181" s="16" t="s">
        <v>192</v>
      </c>
      <c r="F181" s="33">
        <v>719.108</v>
      </c>
      <c r="G181" s="422"/>
      <c r="H181" s="34">
        <f>F181*G181</f>
        <v>0</v>
      </c>
      <c r="I181" s="35">
        <v>0.04678</v>
      </c>
      <c r="J181" s="35">
        <f>F181*I181</f>
        <v>33.63987224</v>
      </c>
      <c r="K181" s="36" t="s">
        <v>94</v>
      </c>
      <c r="X181" s="37">
        <f>IF(AO181="5",BH181,0)</f>
        <v>0</v>
      </c>
      <c r="Z181" s="37">
        <f>IF(AO181="1",BF181,0)</f>
        <v>0</v>
      </c>
      <c r="AA181" s="37">
        <f>IF(AO181="1",BG181,0)</f>
        <v>0</v>
      </c>
      <c r="AB181" s="37">
        <f>IF(AO181="7",BF181,0)</f>
        <v>0</v>
      </c>
      <c r="AC181" s="37">
        <f>IF(AO181="7",BG181,0)</f>
        <v>0</v>
      </c>
      <c r="AD181" s="37">
        <f>IF(AO181="2",BF181,0)</f>
        <v>0</v>
      </c>
      <c r="AE181" s="37">
        <f>IF(AO181="2",BG181,0)</f>
        <v>0</v>
      </c>
      <c r="AF181" s="37">
        <f>IF(AO181="0",BH181,0)</f>
        <v>0</v>
      </c>
      <c r="AG181" s="23"/>
      <c r="AH181" s="37">
        <f>IF(AL181=0,H181,0)</f>
        <v>0</v>
      </c>
      <c r="AI181" s="37">
        <f>IF(AL181=15,H181,0)</f>
        <v>0</v>
      </c>
      <c r="AJ181" s="37">
        <f>IF(AL181=21,H181,0)</f>
        <v>0</v>
      </c>
      <c r="AL181" s="37">
        <v>21</v>
      </c>
      <c r="AM181" s="37">
        <f>G181*0.334544268199675</f>
        <v>0</v>
      </c>
      <c r="AN181" s="37">
        <f>G181*(1-0.334544268199675)</f>
        <v>0</v>
      </c>
      <c r="AO181" s="38" t="s">
        <v>90</v>
      </c>
      <c r="AT181" s="37">
        <f>AU181+AV181</f>
        <v>0</v>
      </c>
      <c r="AU181" s="37">
        <f>F181*AM181</f>
        <v>0</v>
      </c>
      <c r="AV181" s="37">
        <f>F181*AN181</f>
        <v>0</v>
      </c>
      <c r="AW181" s="38" t="s">
        <v>357</v>
      </c>
      <c r="AX181" s="38" t="s">
        <v>358</v>
      </c>
      <c r="AY181" s="23" t="s">
        <v>97</v>
      </c>
      <c r="BA181" s="37">
        <f>AU181+AV181</f>
        <v>0</v>
      </c>
      <c r="BB181" s="37">
        <f>G181/(100-BC181)*100</f>
        <v>0</v>
      </c>
      <c r="BC181" s="37">
        <v>0</v>
      </c>
      <c r="BD181" s="37">
        <f>J181</f>
        <v>33.63987224</v>
      </c>
      <c r="BF181" s="37">
        <f>F181*AM181</f>
        <v>0</v>
      </c>
      <c r="BG181" s="37">
        <f>F181*AN181</f>
        <v>0</v>
      </c>
      <c r="BH181" s="37">
        <f>F181*G181</f>
        <v>0</v>
      </c>
    </row>
    <row r="182" spans="1:11" ht="12.75">
      <c r="A182" s="39"/>
      <c r="B182" s="40"/>
      <c r="C182" s="40"/>
      <c r="D182" s="41" t="s">
        <v>385</v>
      </c>
      <c r="E182" s="40"/>
      <c r="F182" s="42">
        <v>149.438</v>
      </c>
      <c r="G182" s="40"/>
      <c r="H182" s="40"/>
      <c r="I182" s="43"/>
      <c r="J182" s="43"/>
      <c r="K182" s="40"/>
    </row>
    <row r="183" spans="1:11" ht="12.75">
      <c r="A183" s="39"/>
      <c r="B183" s="40"/>
      <c r="C183" s="40"/>
      <c r="D183" s="41" t="s">
        <v>386</v>
      </c>
      <c r="E183" s="40"/>
      <c r="F183" s="42">
        <v>462.83</v>
      </c>
      <c r="G183" s="40"/>
      <c r="H183" s="40"/>
      <c r="I183" s="43"/>
      <c r="J183" s="43"/>
      <c r="K183" s="40"/>
    </row>
    <row r="184" spans="1:11" ht="12.75">
      <c r="A184" s="39"/>
      <c r="B184" s="40"/>
      <c r="C184" s="40"/>
      <c r="D184" s="41" t="s">
        <v>387</v>
      </c>
      <c r="E184" s="40"/>
      <c r="F184" s="42">
        <v>106.84</v>
      </c>
      <c r="G184" s="40"/>
      <c r="H184" s="40"/>
      <c r="I184" s="43"/>
      <c r="J184" s="43"/>
      <c r="K184" s="40"/>
    </row>
    <row r="185" spans="1:60" ht="12.75">
      <c r="A185" s="16" t="s">
        <v>388</v>
      </c>
      <c r="B185" s="16"/>
      <c r="C185" s="16" t="s">
        <v>389</v>
      </c>
      <c r="D185" s="32" t="s">
        <v>390</v>
      </c>
      <c r="E185" s="16" t="s">
        <v>192</v>
      </c>
      <c r="F185" s="33">
        <v>719.108</v>
      </c>
      <c r="G185" s="422"/>
      <c r="H185" s="34">
        <f>F185*G185</f>
        <v>0</v>
      </c>
      <c r="I185" s="35">
        <v>0</v>
      </c>
      <c r="J185" s="35">
        <f>F185*I185</f>
        <v>0</v>
      </c>
      <c r="K185" s="36" t="s">
        <v>94</v>
      </c>
      <c r="X185" s="37">
        <f>IF(AO185="5",BH185,0)</f>
        <v>0</v>
      </c>
      <c r="Z185" s="37">
        <f>IF(AO185="1",BF185,0)</f>
        <v>0</v>
      </c>
      <c r="AA185" s="37">
        <f>IF(AO185="1",BG185,0)</f>
        <v>0</v>
      </c>
      <c r="AB185" s="37">
        <f>IF(AO185="7",BF185,0)</f>
        <v>0</v>
      </c>
      <c r="AC185" s="37">
        <f>IF(AO185="7",BG185,0)</f>
        <v>0</v>
      </c>
      <c r="AD185" s="37">
        <f>IF(AO185="2",BF185,0)</f>
        <v>0</v>
      </c>
      <c r="AE185" s="37">
        <f>IF(AO185="2",BG185,0)</f>
        <v>0</v>
      </c>
      <c r="AF185" s="37">
        <f>IF(AO185="0",BH185,0)</f>
        <v>0</v>
      </c>
      <c r="AG185" s="23"/>
      <c r="AH185" s="37">
        <f>IF(AL185=0,H185,0)</f>
        <v>0</v>
      </c>
      <c r="AI185" s="37">
        <f>IF(AL185=15,H185,0)</f>
        <v>0</v>
      </c>
      <c r="AJ185" s="37">
        <f>IF(AL185=21,H185,0)</f>
        <v>0</v>
      </c>
      <c r="AL185" s="37">
        <v>21</v>
      </c>
      <c r="AM185" s="37">
        <f>G185*0</f>
        <v>0</v>
      </c>
      <c r="AN185" s="37">
        <f>G185*(1-0)</f>
        <v>0</v>
      </c>
      <c r="AO185" s="38" t="s">
        <v>90</v>
      </c>
      <c r="AT185" s="37">
        <f>AU185+AV185</f>
        <v>0</v>
      </c>
      <c r="AU185" s="37">
        <f>F185*AM185</f>
        <v>0</v>
      </c>
      <c r="AV185" s="37">
        <f>F185*AN185</f>
        <v>0</v>
      </c>
      <c r="AW185" s="38" t="s">
        <v>357</v>
      </c>
      <c r="AX185" s="38" t="s">
        <v>358</v>
      </c>
      <c r="AY185" s="23" t="s">
        <v>97</v>
      </c>
      <c r="BA185" s="37">
        <f>AU185+AV185</f>
        <v>0</v>
      </c>
      <c r="BB185" s="37">
        <f>G185/(100-BC185)*100</f>
        <v>0</v>
      </c>
      <c r="BC185" s="37">
        <v>0</v>
      </c>
      <c r="BD185" s="37">
        <f>J185</f>
        <v>0</v>
      </c>
      <c r="BF185" s="37">
        <f>F185*AM185</f>
        <v>0</v>
      </c>
      <c r="BG185" s="37">
        <f>F185*AN185</f>
        <v>0</v>
      </c>
      <c r="BH185" s="37">
        <f>F185*G185</f>
        <v>0</v>
      </c>
    </row>
    <row r="186" spans="1:11" ht="12.75">
      <c r="A186" s="39"/>
      <c r="B186" s="40"/>
      <c r="C186" s="40"/>
      <c r="D186" s="41" t="s">
        <v>385</v>
      </c>
      <c r="E186" s="40"/>
      <c r="F186" s="42">
        <v>149.438</v>
      </c>
      <c r="G186" s="40"/>
      <c r="H186" s="40"/>
      <c r="I186" s="43"/>
      <c r="J186" s="43"/>
      <c r="K186" s="40"/>
    </row>
    <row r="187" spans="1:11" ht="12.75">
      <c r="A187" s="39"/>
      <c r="B187" s="40"/>
      <c r="C187" s="40"/>
      <c r="D187" s="41" t="s">
        <v>386</v>
      </c>
      <c r="E187" s="40"/>
      <c r="F187" s="42">
        <v>462.83</v>
      </c>
      <c r="G187" s="40"/>
      <c r="H187" s="40"/>
      <c r="I187" s="43"/>
      <c r="J187" s="43"/>
      <c r="K187" s="40"/>
    </row>
    <row r="188" spans="1:11" ht="12.75">
      <c r="A188" s="39"/>
      <c r="B188" s="40"/>
      <c r="C188" s="40"/>
      <c r="D188" s="41" t="s">
        <v>391</v>
      </c>
      <c r="E188" s="40"/>
      <c r="F188" s="42">
        <v>106.84</v>
      </c>
      <c r="G188" s="40"/>
      <c r="H188" s="40"/>
      <c r="I188" s="43"/>
      <c r="J188" s="43"/>
      <c r="K188" s="40"/>
    </row>
    <row r="189" spans="1:60" ht="12.75">
      <c r="A189" s="16" t="s">
        <v>392</v>
      </c>
      <c r="B189" s="16"/>
      <c r="C189" s="16" t="s">
        <v>393</v>
      </c>
      <c r="D189" s="32" t="s">
        <v>394</v>
      </c>
      <c r="E189" s="16" t="s">
        <v>395</v>
      </c>
      <c r="F189" s="33">
        <v>224.865</v>
      </c>
      <c r="G189" s="422"/>
      <c r="H189" s="34">
        <f>F189*G189</f>
        <v>0</v>
      </c>
      <c r="I189" s="35">
        <v>0.03047</v>
      </c>
      <c r="J189" s="35">
        <f>F189*I189</f>
        <v>6.85163655</v>
      </c>
      <c r="K189" s="36" t="s">
        <v>94</v>
      </c>
      <c r="X189" s="37">
        <f>IF(AO189="5",BH189,0)</f>
        <v>0</v>
      </c>
      <c r="Z189" s="37">
        <f>IF(AO189="1",BF189,0)</f>
        <v>0</v>
      </c>
      <c r="AA189" s="37">
        <f>IF(AO189="1",BG189,0)</f>
        <v>0</v>
      </c>
      <c r="AB189" s="37">
        <f>IF(AO189="7",BF189,0)</f>
        <v>0</v>
      </c>
      <c r="AC189" s="37">
        <f>IF(AO189="7",BG189,0)</f>
        <v>0</v>
      </c>
      <c r="AD189" s="37">
        <f>IF(AO189="2",BF189,0)</f>
        <v>0</v>
      </c>
      <c r="AE189" s="37">
        <f>IF(AO189="2",BG189,0)</f>
        <v>0</v>
      </c>
      <c r="AF189" s="37">
        <f>IF(AO189="0",BH189,0)</f>
        <v>0</v>
      </c>
      <c r="AG189" s="23"/>
      <c r="AH189" s="37">
        <f>IF(AL189=0,H189,0)</f>
        <v>0</v>
      </c>
      <c r="AI189" s="37">
        <f>IF(AL189=15,H189,0)</f>
        <v>0</v>
      </c>
      <c r="AJ189" s="37">
        <f>IF(AL189=21,H189,0)</f>
        <v>0</v>
      </c>
      <c r="AL189" s="37">
        <v>21</v>
      </c>
      <c r="AM189" s="37">
        <f>G189*0.209346263406653</f>
        <v>0</v>
      </c>
      <c r="AN189" s="37">
        <f>G189*(1-0.209346263406653)</f>
        <v>0</v>
      </c>
      <c r="AO189" s="38" t="s">
        <v>90</v>
      </c>
      <c r="AT189" s="37">
        <f>AU189+AV189</f>
        <v>0</v>
      </c>
      <c r="AU189" s="37">
        <f>F189*AM189</f>
        <v>0</v>
      </c>
      <c r="AV189" s="37">
        <f>F189*AN189</f>
        <v>0</v>
      </c>
      <c r="AW189" s="38" t="s">
        <v>357</v>
      </c>
      <c r="AX189" s="38" t="s">
        <v>358</v>
      </c>
      <c r="AY189" s="23" t="s">
        <v>97</v>
      </c>
      <c r="BA189" s="37">
        <f>AU189+AV189</f>
        <v>0</v>
      </c>
      <c r="BB189" s="37">
        <f>G189/(100-BC189)*100</f>
        <v>0</v>
      </c>
      <c r="BC189" s="37">
        <v>0</v>
      </c>
      <c r="BD189" s="37">
        <f>J189</f>
        <v>6.85163655</v>
      </c>
      <c r="BF189" s="37">
        <f>F189*AM189</f>
        <v>0</v>
      </c>
      <c r="BG189" s="37">
        <f>F189*AN189</f>
        <v>0</v>
      </c>
      <c r="BH189" s="37">
        <f>F189*G189</f>
        <v>0</v>
      </c>
    </row>
    <row r="190" spans="1:11" ht="12.75">
      <c r="A190" s="39"/>
      <c r="B190" s="40"/>
      <c r="C190" s="40"/>
      <c r="D190" s="41" t="s">
        <v>396</v>
      </c>
      <c r="E190" s="40"/>
      <c r="F190" s="42">
        <v>75.6</v>
      </c>
      <c r="G190" s="40"/>
      <c r="H190" s="40"/>
      <c r="I190" s="43"/>
      <c r="J190" s="43"/>
      <c r="K190" s="40"/>
    </row>
    <row r="191" spans="1:11" ht="12.75">
      <c r="A191" s="39"/>
      <c r="B191" s="40"/>
      <c r="C191" s="40"/>
      <c r="D191" s="41" t="s">
        <v>397</v>
      </c>
      <c r="E191" s="40"/>
      <c r="F191" s="42">
        <v>76.575</v>
      </c>
      <c r="G191" s="40"/>
      <c r="H191" s="40"/>
      <c r="I191" s="43"/>
      <c r="J191" s="43"/>
      <c r="K191" s="40"/>
    </row>
    <row r="192" spans="1:11" ht="12.75">
      <c r="A192" s="39"/>
      <c r="B192" s="40"/>
      <c r="C192" s="40"/>
      <c r="D192" s="41" t="s">
        <v>398</v>
      </c>
      <c r="E192" s="40"/>
      <c r="F192" s="42">
        <v>72.69</v>
      </c>
      <c r="G192" s="40"/>
      <c r="H192" s="40"/>
      <c r="I192" s="43"/>
      <c r="J192" s="43"/>
      <c r="K192" s="40"/>
    </row>
    <row r="193" spans="1:60" ht="12.75">
      <c r="A193" s="16" t="s">
        <v>399</v>
      </c>
      <c r="B193" s="16"/>
      <c r="C193" s="16" t="s">
        <v>400</v>
      </c>
      <c r="D193" s="32" t="s">
        <v>401</v>
      </c>
      <c r="E193" s="16" t="s">
        <v>395</v>
      </c>
      <c r="F193" s="33">
        <v>224.865</v>
      </c>
      <c r="G193" s="422"/>
      <c r="H193" s="34">
        <f>F193*G193</f>
        <v>0</v>
      </c>
      <c r="I193" s="35">
        <v>0</v>
      </c>
      <c r="J193" s="35">
        <f>F193*I193</f>
        <v>0</v>
      </c>
      <c r="K193" s="36" t="s">
        <v>94</v>
      </c>
      <c r="X193" s="37">
        <f>IF(AO193="5",BH193,0)</f>
        <v>0</v>
      </c>
      <c r="Z193" s="37">
        <f>IF(AO193="1",BF193,0)</f>
        <v>0</v>
      </c>
      <c r="AA193" s="37">
        <f>IF(AO193="1",BG193,0)</f>
        <v>0</v>
      </c>
      <c r="AB193" s="37">
        <f>IF(AO193="7",BF193,0)</f>
        <v>0</v>
      </c>
      <c r="AC193" s="37">
        <f>IF(AO193="7",BG193,0)</f>
        <v>0</v>
      </c>
      <c r="AD193" s="37">
        <f>IF(AO193="2",BF193,0)</f>
        <v>0</v>
      </c>
      <c r="AE193" s="37">
        <f>IF(AO193="2",BG193,0)</f>
        <v>0</v>
      </c>
      <c r="AF193" s="37">
        <f>IF(AO193="0",BH193,0)</f>
        <v>0</v>
      </c>
      <c r="AG193" s="23"/>
      <c r="AH193" s="37">
        <f>IF(AL193=0,H193,0)</f>
        <v>0</v>
      </c>
      <c r="AI193" s="37">
        <f>IF(AL193=15,H193,0)</f>
        <v>0</v>
      </c>
      <c r="AJ193" s="37">
        <f>IF(AL193=21,H193,0)</f>
        <v>0</v>
      </c>
      <c r="AL193" s="37">
        <v>21</v>
      </c>
      <c r="AM193" s="37">
        <f>G193*0</f>
        <v>0</v>
      </c>
      <c r="AN193" s="37">
        <f>G193*(1-0)</f>
        <v>0</v>
      </c>
      <c r="AO193" s="38" t="s">
        <v>90</v>
      </c>
      <c r="AT193" s="37">
        <f>AU193+AV193</f>
        <v>0</v>
      </c>
      <c r="AU193" s="37">
        <f>F193*AM193</f>
        <v>0</v>
      </c>
      <c r="AV193" s="37">
        <f>F193*AN193</f>
        <v>0</v>
      </c>
      <c r="AW193" s="38" t="s">
        <v>357</v>
      </c>
      <c r="AX193" s="38" t="s">
        <v>358</v>
      </c>
      <c r="AY193" s="23" t="s">
        <v>97</v>
      </c>
      <c r="BA193" s="37">
        <f>AU193+AV193</f>
        <v>0</v>
      </c>
      <c r="BB193" s="37">
        <f>G193/(100-BC193)*100</f>
        <v>0</v>
      </c>
      <c r="BC193" s="37">
        <v>0</v>
      </c>
      <c r="BD193" s="37">
        <f>J193</f>
        <v>0</v>
      </c>
      <c r="BF193" s="37">
        <f>F193*AM193</f>
        <v>0</v>
      </c>
      <c r="BG193" s="37">
        <f>F193*AN193</f>
        <v>0</v>
      </c>
      <c r="BH193" s="37">
        <f>F193*G193</f>
        <v>0</v>
      </c>
    </row>
    <row r="194" spans="1:11" ht="12.75">
      <c r="A194" s="39"/>
      <c r="B194" s="40"/>
      <c r="C194" s="40"/>
      <c r="D194" s="41" t="s">
        <v>396</v>
      </c>
      <c r="E194" s="40"/>
      <c r="F194" s="42">
        <v>75.6</v>
      </c>
      <c r="G194" s="40"/>
      <c r="H194" s="40"/>
      <c r="I194" s="43"/>
      <c r="J194" s="43"/>
      <c r="K194" s="40"/>
    </row>
    <row r="195" spans="1:11" ht="12.75">
      <c r="A195" s="39"/>
      <c r="B195" s="40"/>
      <c r="C195" s="40"/>
      <c r="D195" s="41" t="s">
        <v>402</v>
      </c>
      <c r="E195" s="40"/>
      <c r="F195" s="42">
        <v>76.575</v>
      </c>
      <c r="G195" s="40"/>
      <c r="H195" s="40"/>
      <c r="I195" s="43"/>
      <c r="J195" s="43"/>
      <c r="K195" s="40"/>
    </row>
    <row r="196" spans="1:11" ht="12.75">
      <c r="A196" s="39"/>
      <c r="B196" s="40"/>
      <c r="C196" s="40"/>
      <c r="D196" s="41" t="s">
        <v>398</v>
      </c>
      <c r="E196" s="40"/>
      <c r="F196" s="42">
        <v>72.69</v>
      </c>
      <c r="G196" s="40"/>
      <c r="H196" s="40"/>
      <c r="I196" s="43"/>
      <c r="J196" s="43"/>
      <c r="K196" s="40"/>
    </row>
    <row r="197" spans="1:60" ht="12.75">
      <c r="A197" s="16" t="s">
        <v>403</v>
      </c>
      <c r="B197" s="16"/>
      <c r="C197" s="16" t="s">
        <v>404</v>
      </c>
      <c r="D197" s="32" t="s">
        <v>405</v>
      </c>
      <c r="E197" s="16" t="s">
        <v>239</v>
      </c>
      <c r="F197" s="33">
        <v>24.475</v>
      </c>
      <c r="G197" s="422"/>
      <c r="H197" s="34">
        <f>F197*G197</f>
        <v>0</v>
      </c>
      <c r="I197" s="35">
        <v>1.02139</v>
      </c>
      <c r="J197" s="35">
        <f>F197*I197</f>
        <v>24.998520250000002</v>
      </c>
      <c r="K197" s="36" t="s">
        <v>94</v>
      </c>
      <c r="X197" s="37">
        <f>IF(AO197="5",BH197,0)</f>
        <v>0</v>
      </c>
      <c r="Z197" s="37">
        <f>IF(AO197="1",BF197,0)</f>
        <v>0</v>
      </c>
      <c r="AA197" s="37">
        <f>IF(AO197="1",BG197,0)</f>
        <v>0</v>
      </c>
      <c r="AB197" s="37">
        <f>IF(AO197="7",BF197,0)</f>
        <v>0</v>
      </c>
      <c r="AC197" s="37">
        <f>IF(AO197="7",BG197,0)</f>
        <v>0</v>
      </c>
      <c r="AD197" s="37">
        <f>IF(AO197="2",BF197,0)</f>
        <v>0</v>
      </c>
      <c r="AE197" s="37">
        <f>IF(AO197="2",BG197,0)</f>
        <v>0</v>
      </c>
      <c r="AF197" s="37">
        <f>IF(AO197="0",BH197,0)</f>
        <v>0</v>
      </c>
      <c r="AG197" s="23"/>
      <c r="AH197" s="37">
        <f>IF(AL197=0,H197,0)</f>
        <v>0</v>
      </c>
      <c r="AI197" s="37">
        <f>IF(AL197=15,H197,0)</f>
        <v>0</v>
      </c>
      <c r="AJ197" s="37">
        <f>IF(AL197=21,H197,0)</f>
        <v>0</v>
      </c>
      <c r="AL197" s="37">
        <v>21</v>
      </c>
      <c r="AM197" s="37">
        <f>G197*0.655156620298815</f>
        <v>0</v>
      </c>
      <c r="AN197" s="37">
        <f>G197*(1-0.655156620298815)</f>
        <v>0</v>
      </c>
      <c r="AO197" s="38" t="s">
        <v>90</v>
      </c>
      <c r="AT197" s="37">
        <f>AU197+AV197</f>
        <v>0</v>
      </c>
      <c r="AU197" s="37">
        <f>F197*AM197</f>
        <v>0</v>
      </c>
      <c r="AV197" s="37">
        <f>F197*AN197</f>
        <v>0</v>
      </c>
      <c r="AW197" s="38" t="s">
        <v>357</v>
      </c>
      <c r="AX197" s="38" t="s">
        <v>358</v>
      </c>
      <c r="AY197" s="23" t="s">
        <v>97</v>
      </c>
      <c r="BA197" s="37">
        <f>AU197+AV197</f>
        <v>0</v>
      </c>
      <c r="BB197" s="37">
        <f>G197/(100-BC197)*100</f>
        <v>0</v>
      </c>
      <c r="BC197" s="37">
        <v>0</v>
      </c>
      <c r="BD197" s="37">
        <f>J197</f>
        <v>24.998520250000002</v>
      </c>
      <c r="BF197" s="37">
        <f>F197*AM197</f>
        <v>0</v>
      </c>
      <c r="BG197" s="37">
        <f>F197*AN197</f>
        <v>0</v>
      </c>
      <c r="BH197" s="37">
        <f>F197*G197</f>
        <v>0</v>
      </c>
    </row>
    <row r="198" spans="1:11" ht="12.75">
      <c r="A198" s="39"/>
      <c r="B198" s="40"/>
      <c r="C198" s="40"/>
      <c r="D198" s="41" t="s">
        <v>406</v>
      </c>
      <c r="E198" s="40"/>
      <c r="F198" s="42">
        <v>24.475</v>
      </c>
      <c r="G198" s="40"/>
      <c r="H198" s="40"/>
      <c r="I198" s="43"/>
      <c r="J198" s="43"/>
      <c r="K198" s="40"/>
    </row>
    <row r="199" spans="1:60" ht="12.75">
      <c r="A199" s="16" t="s">
        <v>407</v>
      </c>
      <c r="B199" s="16"/>
      <c r="C199" s="16" t="s">
        <v>408</v>
      </c>
      <c r="D199" s="32" t="s">
        <v>409</v>
      </c>
      <c r="E199" s="16" t="s">
        <v>239</v>
      </c>
      <c r="F199" s="33">
        <v>2.011</v>
      </c>
      <c r="G199" s="422"/>
      <c r="H199" s="34">
        <f>F199*G199</f>
        <v>0</v>
      </c>
      <c r="I199" s="35">
        <v>1.05438</v>
      </c>
      <c r="J199" s="35">
        <f>F199*I199</f>
        <v>2.12035818</v>
      </c>
      <c r="K199" s="36" t="s">
        <v>94</v>
      </c>
      <c r="X199" s="37">
        <f>IF(AO199="5",BH199,0)</f>
        <v>0</v>
      </c>
      <c r="Z199" s="37">
        <f>IF(AO199="1",BF199,0)</f>
        <v>0</v>
      </c>
      <c r="AA199" s="37">
        <f>IF(AO199="1",BG199,0)</f>
        <v>0</v>
      </c>
      <c r="AB199" s="37">
        <f>IF(AO199="7",BF199,0)</f>
        <v>0</v>
      </c>
      <c r="AC199" s="37">
        <f>IF(AO199="7",BG199,0)</f>
        <v>0</v>
      </c>
      <c r="AD199" s="37">
        <f>IF(AO199="2",BF199,0)</f>
        <v>0</v>
      </c>
      <c r="AE199" s="37">
        <f>IF(AO199="2",BG199,0)</f>
        <v>0</v>
      </c>
      <c r="AF199" s="37">
        <f>IF(AO199="0",BH199,0)</f>
        <v>0</v>
      </c>
      <c r="AG199" s="23"/>
      <c r="AH199" s="37">
        <f>IF(AL199=0,H199,0)</f>
        <v>0</v>
      </c>
      <c r="AI199" s="37">
        <f>IF(AL199=15,H199,0)</f>
        <v>0</v>
      </c>
      <c r="AJ199" s="37">
        <f>IF(AL199=21,H199,0)</f>
        <v>0</v>
      </c>
      <c r="AL199" s="37">
        <v>21</v>
      </c>
      <c r="AM199" s="37">
        <f>G199*0.807715721865401</f>
        <v>0</v>
      </c>
      <c r="AN199" s="37">
        <f>G199*(1-0.807715721865401)</f>
        <v>0</v>
      </c>
      <c r="AO199" s="38" t="s">
        <v>90</v>
      </c>
      <c r="AT199" s="37">
        <f>AU199+AV199</f>
        <v>0</v>
      </c>
      <c r="AU199" s="37">
        <f>F199*AM199</f>
        <v>0</v>
      </c>
      <c r="AV199" s="37">
        <f>F199*AN199</f>
        <v>0</v>
      </c>
      <c r="AW199" s="38" t="s">
        <v>357</v>
      </c>
      <c r="AX199" s="38" t="s">
        <v>358</v>
      </c>
      <c r="AY199" s="23" t="s">
        <v>97</v>
      </c>
      <c r="BA199" s="37">
        <f>AU199+AV199</f>
        <v>0</v>
      </c>
      <c r="BB199" s="37">
        <f>G199/(100-BC199)*100</f>
        <v>0</v>
      </c>
      <c r="BC199" s="37">
        <v>0</v>
      </c>
      <c r="BD199" s="37">
        <f>J199</f>
        <v>2.12035818</v>
      </c>
      <c r="BF199" s="37">
        <f>F199*AM199</f>
        <v>0</v>
      </c>
      <c r="BG199" s="37">
        <f>F199*AN199</f>
        <v>0</v>
      </c>
      <c r="BH199" s="37">
        <f>F199*G199</f>
        <v>0</v>
      </c>
    </row>
    <row r="200" spans="1:11" ht="12.75">
      <c r="A200" s="39"/>
      <c r="B200" s="40"/>
      <c r="C200" s="40"/>
      <c r="D200" s="41" t="s">
        <v>410</v>
      </c>
      <c r="E200" s="40"/>
      <c r="F200" s="42">
        <v>0.418</v>
      </c>
      <c r="G200" s="40"/>
      <c r="H200" s="40"/>
      <c r="I200" s="43"/>
      <c r="J200" s="43"/>
      <c r="K200" s="40"/>
    </row>
    <row r="201" spans="1:11" ht="12.75">
      <c r="A201" s="39"/>
      <c r="B201" s="40"/>
      <c r="C201" s="40"/>
      <c r="D201" s="41" t="s">
        <v>411</v>
      </c>
      <c r="E201" s="40"/>
      <c r="F201" s="42">
        <v>1.294</v>
      </c>
      <c r="G201" s="40"/>
      <c r="H201" s="40"/>
      <c r="I201" s="43"/>
      <c r="J201" s="43"/>
      <c r="K201" s="40"/>
    </row>
    <row r="202" spans="1:11" ht="12.75">
      <c r="A202" s="39"/>
      <c r="B202" s="40"/>
      <c r="C202" s="40"/>
      <c r="D202" s="41" t="s">
        <v>412</v>
      </c>
      <c r="E202" s="40"/>
      <c r="F202" s="42">
        <v>0.299</v>
      </c>
      <c r="G202" s="40"/>
      <c r="H202" s="40"/>
      <c r="I202" s="43"/>
      <c r="J202" s="43"/>
      <c r="K202" s="40"/>
    </row>
    <row r="203" spans="1:60" ht="12.75">
      <c r="A203" s="16" t="s">
        <v>413</v>
      </c>
      <c r="B203" s="16"/>
      <c r="C203" s="16" t="s">
        <v>414</v>
      </c>
      <c r="D203" s="32" t="s">
        <v>415</v>
      </c>
      <c r="E203" s="16" t="s">
        <v>192</v>
      </c>
      <c r="F203" s="33">
        <v>719.108</v>
      </c>
      <c r="G203" s="422"/>
      <c r="H203" s="34">
        <f>F203*G203</f>
        <v>0</v>
      </c>
      <c r="I203" s="35">
        <v>0.00552</v>
      </c>
      <c r="J203" s="35">
        <f>F203*I203</f>
        <v>3.9694761599999997</v>
      </c>
      <c r="K203" s="36" t="s">
        <v>94</v>
      </c>
      <c r="X203" s="37">
        <f>IF(AO203="5",BH203,0)</f>
        <v>0</v>
      </c>
      <c r="Z203" s="37">
        <f>IF(AO203="1",BF203,0)</f>
        <v>0</v>
      </c>
      <c r="AA203" s="37">
        <f>IF(AO203="1",BG203,0)</f>
        <v>0</v>
      </c>
      <c r="AB203" s="37">
        <f>IF(AO203="7",BF203,0)</f>
        <v>0</v>
      </c>
      <c r="AC203" s="37">
        <f>IF(AO203="7",BG203,0)</f>
        <v>0</v>
      </c>
      <c r="AD203" s="37">
        <f>IF(AO203="2",BF203,0)</f>
        <v>0</v>
      </c>
      <c r="AE203" s="37">
        <f>IF(AO203="2",BG203,0)</f>
        <v>0</v>
      </c>
      <c r="AF203" s="37">
        <f>IF(AO203="0",BH203,0)</f>
        <v>0</v>
      </c>
      <c r="AG203" s="23"/>
      <c r="AH203" s="37">
        <f>IF(AL203=0,H203,0)</f>
        <v>0</v>
      </c>
      <c r="AI203" s="37">
        <f>IF(AL203=15,H203,0)</f>
        <v>0</v>
      </c>
      <c r="AJ203" s="37">
        <f>IF(AL203=21,H203,0)</f>
        <v>0</v>
      </c>
      <c r="AL203" s="37">
        <v>21</v>
      </c>
      <c r="AM203" s="37">
        <f>G203*0.153106797494577</f>
        <v>0</v>
      </c>
      <c r="AN203" s="37">
        <f>G203*(1-0.153106797494577)</f>
        <v>0</v>
      </c>
      <c r="AO203" s="38" t="s">
        <v>90</v>
      </c>
      <c r="AT203" s="37">
        <f>AU203+AV203</f>
        <v>0</v>
      </c>
      <c r="AU203" s="37">
        <f>F203*AM203</f>
        <v>0</v>
      </c>
      <c r="AV203" s="37">
        <f>F203*AN203</f>
        <v>0</v>
      </c>
      <c r="AW203" s="38" t="s">
        <v>357</v>
      </c>
      <c r="AX203" s="38" t="s">
        <v>358</v>
      </c>
      <c r="AY203" s="23" t="s">
        <v>97</v>
      </c>
      <c r="BA203" s="37">
        <f>AU203+AV203</f>
        <v>0</v>
      </c>
      <c r="BB203" s="37">
        <f>G203/(100-BC203)*100</f>
        <v>0</v>
      </c>
      <c r="BC203" s="37">
        <v>0</v>
      </c>
      <c r="BD203" s="37">
        <f>J203</f>
        <v>3.9694761599999997</v>
      </c>
      <c r="BF203" s="37">
        <f>F203*AM203</f>
        <v>0</v>
      </c>
      <c r="BG203" s="37">
        <f>F203*AN203</f>
        <v>0</v>
      </c>
      <c r="BH203" s="37">
        <f>F203*G203</f>
        <v>0</v>
      </c>
    </row>
    <row r="204" spans="1:11" ht="12.75">
      <c r="A204" s="39"/>
      <c r="B204" s="40"/>
      <c r="C204" s="40"/>
      <c r="D204" s="41" t="s">
        <v>385</v>
      </c>
      <c r="E204" s="40"/>
      <c r="F204" s="42">
        <v>149.438</v>
      </c>
      <c r="G204" s="40"/>
      <c r="H204" s="40"/>
      <c r="I204" s="43"/>
      <c r="J204" s="43"/>
      <c r="K204" s="40"/>
    </row>
    <row r="205" spans="1:11" ht="12.75">
      <c r="A205" s="39"/>
      <c r="B205" s="40"/>
      <c r="C205" s="40"/>
      <c r="D205" s="41" t="s">
        <v>386</v>
      </c>
      <c r="E205" s="40"/>
      <c r="F205" s="42">
        <v>462.83</v>
      </c>
      <c r="G205" s="40"/>
      <c r="H205" s="40"/>
      <c r="I205" s="43"/>
      <c r="J205" s="43"/>
      <c r="K205" s="40"/>
    </row>
    <row r="206" spans="1:11" ht="12.75">
      <c r="A206" s="39"/>
      <c r="B206" s="40"/>
      <c r="C206" s="40"/>
      <c r="D206" s="41" t="s">
        <v>391</v>
      </c>
      <c r="E206" s="40"/>
      <c r="F206" s="42">
        <v>106.84</v>
      </c>
      <c r="G206" s="40"/>
      <c r="H206" s="40"/>
      <c r="I206" s="43"/>
      <c r="J206" s="43"/>
      <c r="K206" s="40"/>
    </row>
    <row r="207" spans="1:60" ht="12.75">
      <c r="A207" s="16" t="s">
        <v>416</v>
      </c>
      <c r="B207" s="16"/>
      <c r="C207" s="16" t="s">
        <v>417</v>
      </c>
      <c r="D207" s="32" t="s">
        <v>418</v>
      </c>
      <c r="E207" s="16" t="s">
        <v>192</v>
      </c>
      <c r="F207" s="33">
        <v>719.108</v>
      </c>
      <c r="G207" s="422"/>
      <c r="H207" s="34">
        <f>F207*G207</f>
        <v>0</v>
      </c>
      <c r="I207" s="35">
        <v>0</v>
      </c>
      <c r="J207" s="35">
        <f>F207*I207</f>
        <v>0</v>
      </c>
      <c r="K207" s="36" t="s">
        <v>94</v>
      </c>
      <c r="X207" s="37">
        <f>IF(AO207="5",BH207,0)</f>
        <v>0</v>
      </c>
      <c r="Z207" s="37">
        <f>IF(AO207="1",BF207,0)</f>
        <v>0</v>
      </c>
      <c r="AA207" s="37">
        <f>IF(AO207="1",BG207,0)</f>
        <v>0</v>
      </c>
      <c r="AB207" s="37">
        <f>IF(AO207="7",BF207,0)</f>
        <v>0</v>
      </c>
      <c r="AC207" s="37">
        <f>IF(AO207="7",BG207,0)</f>
        <v>0</v>
      </c>
      <c r="AD207" s="37">
        <f>IF(AO207="2",BF207,0)</f>
        <v>0</v>
      </c>
      <c r="AE207" s="37">
        <f>IF(AO207="2",BG207,0)</f>
        <v>0</v>
      </c>
      <c r="AF207" s="37">
        <f>IF(AO207="0",BH207,0)</f>
        <v>0</v>
      </c>
      <c r="AG207" s="23"/>
      <c r="AH207" s="37">
        <f>IF(AL207=0,H207,0)</f>
        <v>0</v>
      </c>
      <c r="AI207" s="37">
        <f>IF(AL207=15,H207,0)</f>
        <v>0</v>
      </c>
      <c r="AJ207" s="37">
        <f>IF(AL207=21,H207,0)</f>
        <v>0</v>
      </c>
      <c r="AL207" s="37">
        <v>21</v>
      </c>
      <c r="AM207" s="37">
        <f>G207*0</f>
        <v>0</v>
      </c>
      <c r="AN207" s="37">
        <f>G207*(1-0)</f>
        <v>0</v>
      </c>
      <c r="AO207" s="38" t="s">
        <v>90</v>
      </c>
      <c r="AT207" s="37">
        <f>AU207+AV207</f>
        <v>0</v>
      </c>
      <c r="AU207" s="37">
        <f>F207*AM207</f>
        <v>0</v>
      </c>
      <c r="AV207" s="37">
        <f>F207*AN207</f>
        <v>0</v>
      </c>
      <c r="AW207" s="38" t="s">
        <v>357</v>
      </c>
      <c r="AX207" s="38" t="s">
        <v>358</v>
      </c>
      <c r="AY207" s="23" t="s">
        <v>97</v>
      </c>
      <c r="BA207" s="37">
        <f>AU207+AV207</f>
        <v>0</v>
      </c>
      <c r="BB207" s="37">
        <f>G207/(100-BC207)*100</f>
        <v>0</v>
      </c>
      <c r="BC207" s="37">
        <v>0</v>
      </c>
      <c r="BD207" s="37">
        <f>J207</f>
        <v>0</v>
      </c>
      <c r="BF207" s="37">
        <f>F207*AM207</f>
        <v>0</v>
      </c>
      <c r="BG207" s="37">
        <f>F207*AN207</f>
        <v>0</v>
      </c>
      <c r="BH207" s="37">
        <f>F207*G207</f>
        <v>0</v>
      </c>
    </row>
    <row r="208" spans="1:11" ht="12.75">
      <c r="A208" s="39"/>
      <c r="B208" s="40"/>
      <c r="C208" s="40"/>
      <c r="D208" s="41" t="s">
        <v>385</v>
      </c>
      <c r="E208" s="40"/>
      <c r="F208" s="42">
        <v>149.438</v>
      </c>
      <c r="G208" s="40"/>
      <c r="H208" s="40"/>
      <c r="I208" s="43"/>
      <c r="J208" s="43"/>
      <c r="K208" s="40"/>
    </row>
    <row r="209" spans="1:11" ht="12.75">
      <c r="A209" s="39"/>
      <c r="B209" s="40"/>
      <c r="C209" s="40"/>
      <c r="D209" s="41" t="s">
        <v>386</v>
      </c>
      <c r="E209" s="40"/>
      <c r="F209" s="42">
        <v>462.83</v>
      </c>
      <c r="G209" s="40"/>
      <c r="H209" s="40"/>
      <c r="I209" s="43"/>
      <c r="J209" s="43"/>
      <c r="K209" s="40"/>
    </row>
    <row r="210" spans="1:11" ht="12.75">
      <c r="A210" s="39"/>
      <c r="B210" s="40"/>
      <c r="C210" s="40"/>
      <c r="D210" s="41" t="s">
        <v>391</v>
      </c>
      <c r="E210" s="40"/>
      <c r="F210" s="42">
        <v>106.84</v>
      </c>
      <c r="G210" s="40"/>
      <c r="H210" s="40"/>
      <c r="I210" s="43"/>
      <c r="J210" s="43"/>
      <c r="K210" s="40"/>
    </row>
    <row r="211" spans="1:45" ht="12.75">
      <c r="A211" s="24"/>
      <c r="B211" s="25"/>
      <c r="C211" s="25" t="s">
        <v>320</v>
      </c>
      <c r="D211" s="26" t="s">
        <v>419</v>
      </c>
      <c r="E211" s="24" t="s">
        <v>54</v>
      </c>
      <c r="F211" s="24" t="s">
        <v>54</v>
      </c>
      <c r="G211" s="24" t="s">
        <v>54</v>
      </c>
      <c r="H211" s="27">
        <f>SUM(H212:H246)</f>
        <v>0</v>
      </c>
      <c r="I211" s="28"/>
      <c r="J211" s="28">
        <f>SUM(J212:J246)</f>
        <v>21.31426162</v>
      </c>
      <c r="K211" s="29"/>
      <c r="AG211" s="23"/>
      <c r="AQ211" s="31">
        <f>SUM(AH212:AH246)</f>
        <v>0</v>
      </c>
      <c r="AR211" s="31">
        <f>SUM(AI212:AI246)</f>
        <v>0</v>
      </c>
      <c r="AS211" s="31">
        <f>SUM(AJ212:AJ246)</f>
        <v>0</v>
      </c>
    </row>
    <row r="212" spans="1:60" ht="12.75">
      <c r="A212" s="16" t="s">
        <v>420</v>
      </c>
      <c r="B212" s="16"/>
      <c r="C212" s="16" t="s">
        <v>421</v>
      </c>
      <c r="D212" s="32" t="s">
        <v>422</v>
      </c>
      <c r="E212" s="16" t="s">
        <v>102</v>
      </c>
      <c r="F212" s="33">
        <v>4.895</v>
      </c>
      <c r="G212" s="422"/>
      <c r="H212" s="34">
        <f>F212*G212</f>
        <v>0</v>
      </c>
      <c r="I212" s="35">
        <v>2.52508</v>
      </c>
      <c r="J212" s="35">
        <f>F212*I212</f>
        <v>12.3602666</v>
      </c>
      <c r="K212" s="36" t="s">
        <v>94</v>
      </c>
      <c r="X212" s="37">
        <f>IF(AO212="5",BH212,0)</f>
        <v>0</v>
      </c>
      <c r="Z212" s="37">
        <f>IF(AO212="1",BF212,0)</f>
        <v>0</v>
      </c>
      <c r="AA212" s="37">
        <f>IF(AO212="1",BG212,0)</f>
        <v>0</v>
      </c>
      <c r="AB212" s="37">
        <f>IF(AO212="7",BF212,0)</f>
        <v>0</v>
      </c>
      <c r="AC212" s="37">
        <f>IF(AO212="7",BG212,0)</f>
        <v>0</v>
      </c>
      <c r="AD212" s="37">
        <f>IF(AO212="2",BF212,0)</f>
        <v>0</v>
      </c>
      <c r="AE212" s="37">
        <f>IF(AO212="2",BG212,0)</f>
        <v>0</v>
      </c>
      <c r="AF212" s="37">
        <f>IF(AO212="0",BH212,0)</f>
        <v>0</v>
      </c>
      <c r="AG212" s="23"/>
      <c r="AH212" s="37">
        <f>IF(AL212=0,H212,0)</f>
        <v>0</v>
      </c>
      <c r="AI212" s="37">
        <f>IF(AL212=15,H212,0)</f>
        <v>0</v>
      </c>
      <c r="AJ212" s="37">
        <f>IF(AL212=21,H212,0)</f>
        <v>0</v>
      </c>
      <c r="AL212" s="37">
        <v>21</v>
      </c>
      <c r="AM212" s="37">
        <f>G212*0.63962741585625</f>
        <v>0</v>
      </c>
      <c r="AN212" s="37">
        <f>G212*(1-0.63962741585625)</f>
        <v>0</v>
      </c>
      <c r="AO212" s="38" t="s">
        <v>90</v>
      </c>
      <c r="AT212" s="37">
        <f>AU212+AV212</f>
        <v>0</v>
      </c>
      <c r="AU212" s="37">
        <f>F212*AM212</f>
        <v>0</v>
      </c>
      <c r="AV212" s="37">
        <f>F212*AN212</f>
        <v>0</v>
      </c>
      <c r="AW212" s="38" t="s">
        <v>423</v>
      </c>
      <c r="AX212" s="38" t="s">
        <v>358</v>
      </c>
      <c r="AY212" s="23" t="s">
        <v>97</v>
      </c>
      <c r="BA212" s="37">
        <f>AU212+AV212</f>
        <v>0</v>
      </c>
      <c r="BB212" s="37">
        <f>G212/(100-BC212)*100</f>
        <v>0</v>
      </c>
      <c r="BC212" s="37">
        <v>0</v>
      </c>
      <c r="BD212" s="37">
        <f>J212</f>
        <v>12.3602666</v>
      </c>
      <c r="BF212" s="37">
        <f>F212*AM212</f>
        <v>0</v>
      </c>
      <c r="BG212" s="37">
        <f>F212*AN212</f>
        <v>0</v>
      </c>
      <c r="BH212" s="37">
        <f>F212*G212</f>
        <v>0</v>
      </c>
    </row>
    <row r="213" spans="1:11" ht="12.75">
      <c r="A213" s="39"/>
      <c r="B213" s="40"/>
      <c r="C213" s="40"/>
      <c r="D213" s="41" t="s">
        <v>424</v>
      </c>
      <c r="E213" s="40"/>
      <c r="F213" s="42">
        <v>1.343</v>
      </c>
      <c r="G213" s="40"/>
      <c r="H213" s="40"/>
      <c r="I213" s="43"/>
      <c r="J213" s="43"/>
      <c r="K213" s="40"/>
    </row>
    <row r="214" spans="1:11" ht="12.75">
      <c r="A214" s="39"/>
      <c r="B214" s="40"/>
      <c r="C214" s="40"/>
      <c r="D214" s="41" t="s">
        <v>425</v>
      </c>
      <c r="E214" s="40"/>
      <c r="F214" s="42">
        <v>1.692</v>
      </c>
      <c r="G214" s="40"/>
      <c r="H214" s="40"/>
      <c r="I214" s="43"/>
      <c r="J214" s="43"/>
      <c r="K214" s="40"/>
    </row>
    <row r="215" spans="1:11" ht="12.75">
      <c r="A215" s="39"/>
      <c r="B215" s="40"/>
      <c r="C215" s="40"/>
      <c r="D215" s="41" t="s">
        <v>426</v>
      </c>
      <c r="E215" s="40"/>
      <c r="F215" s="42">
        <v>1.86</v>
      </c>
      <c r="G215" s="40"/>
      <c r="H215" s="40"/>
      <c r="I215" s="43"/>
      <c r="J215" s="43"/>
      <c r="K215" s="40"/>
    </row>
    <row r="216" spans="1:60" ht="12.75">
      <c r="A216" s="16" t="s">
        <v>427</v>
      </c>
      <c r="B216" s="16"/>
      <c r="C216" s="16" t="s">
        <v>428</v>
      </c>
      <c r="D216" s="32" t="s">
        <v>429</v>
      </c>
      <c r="E216" s="16" t="s">
        <v>239</v>
      </c>
      <c r="F216" s="33">
        <v>0.736</v>
      </c>
      <c r="G216" s="422"/>
      <c r="H216" s="34">
        <f>F216*G216</f>
        <v>0</v>
      </c>
      <c r="I216" s="35">
        <v>1.02092</v>
      </c>
      <c r="J216" s="35">
        <f>F216*I216</f>
        <v>0.75139712</v>
      </c>
      <c r="K216" s="36" t="s">
        <v>94</v>
      </c>
      <c r="X216" s="37">
        <f>IF(AO216="5",BH216,0)</f>
        <v>0</v>
      </c>
      <c r="Z216" s="37">
        <f>IF(AO216="1",BF216,0)</f>
        <v>0</v>
      </c>
      <c r="AA216" s="37">
        <f>IF(AO216="1",BG216,0)</f>
        <v>0</v>
      </c>
      <c r="AB216" s="37">
        <f>IF(AO216="7",BF216,0)</f>
        <v>0</v>
      </c>
      <c r="AC216" s="37">
        <f>IF(AO216="7",BG216,0)</f>
        <v>0</v>
      </c>
      <c r="AD216" s="37">
        <f>IF(AO216="2",BF216,0)</f>
        <v>0</v>
      </c>
      <c r="AE216" s="37">
        <f>IF(AO216="2",BG216,0)</f>
        <v>0</v>
      </c>
      <c r="AF216" s="37">
        <f>IF(AO216="0",BH216,0)</f>
        <v>0</v>
      </c>
      <c r="AG216" s="23"/>
      <c r="AH216" s="37">
        <f>IF(AL216=0,H216,0)</f>
        <v>0</v>
      </c>
      <c r="AI216" s="37">
        <f>IF(AL216=15,H216,0)</f>
        <v>0</v>
      </c>
      <c r="AJ216" s="37">
        <f>IF(AL216=21,H216,0)</f>
        <v>0</v>
      </c>
      <c r="AL216" s="37">
        <v>21</v>
      </c>
      <c r="AM216" s="37">
        <f>G216*0.501256893473517</f>
        <v>0</v>
      </c>
      <c r="AN216" s="37">
        <f>G216*(1-0.501256893473517)</f>
        <v>0</v>
      </c>
      <c r="AO216" s="38" t="s">
        <v>90</v>
      </c>
      <c r="AT216" s="37">
        <f>AU216+AV216</f>
        <v>0</v>
      </c>
      <c r="AU216" s="37">
        <f>F216*AM216</f>
        <v>0</v>
      </c>
      <c r="AV216" s="37">
        <f>F216*AN216</f>
        <v>0</v>
      </c>
      <c r="AW216" s="38" t="s">
        <v>423</v>
      </c>
      <c r="AX216" s="38" t="s">
        <v>358</v>
      </c>
      <c r="AY216" s="23" t="s">
        <v>97</v>
      </c>
      <c r="BA216" s="37">
        <f>AU216+AV216</f>
        <v>0</v>
      </c>
      <c r="BB216" s="37">
        <f>G216/(100-BC216)*100</f>
        <v>0</v>
      </c>
      <c r="BC216" s="37">
        <v>0</v>
      </c>
      <c r="BD216" s="37">
        <f>J216</f>
        <v>0.75139712</v>
      </c>
      <c r="BF216" s="37">
        <f>F216*AM216</f>
        <v>0</v>
      </c>
      <c r="BG216" s="37">
        <f>F216*AN216</f>
        <v>0</v>
      </c>
      <c r="BH216" s="37">
        <f>F216*G216</f>
        <v>0</v>
      </c>
    </row>
    <row r="217" spans="1:11" ht="12.75">
      <c r="A217" s="39"/>
      <c r="B217" s="40"/>
      <c r="C217" s="40"/>
      <c r="D217" s="41" t="s">
        <v>430</v>
      </c>
      <c r="E217" s="40"/>
      <c r="F217" s="42">
        <v>0.203</v>
      </c>
      <c r="G217" s="40"/>
      <c r="H217" s="40"/>
      <c r="I217" s="43"/>
      <c r="J217" s="43"/>
      <c r="K217" s="40"/>
    </row>
    <row r="218" spans="1:11" ht="12.75">
      <c r="A218" s="39"/>
      <c r="B218" s="40"/>
      <c r="C218" s="40"/>
      <c r="D218" s="41" t="s">
        <v>431</v>
      </c>
      <c r="E218" s="40"/>
      <c r="F218" s="42">
        <v>0.254</v>
      </c>
      <c r="G218" s="40"/>
      <c r="H218" s="40"/>
      <c r="I218" s="43"/>
      <c r="J218" s="43"/>
      <c r="K218" s="40"/>
    </row>
    <row r="219" spans="1:11" ht="12.75">
      <c r="A219" s="39"/>
      <c r="B219" s="40"/>
      <c r="C219" s="40"/>
      <c r="D219" s="41" t="s">
        <v>432</v>
      </c>
      <c r="E219" s="40"/>
      <c r="F219" s="42">
        <v>0.279</v>
      </c>
      <c r="G219" s="40"/>
      <c r="H219" s="40"/>
      <c r="I219" s="43"/>
      <c r="J219" s="43"/>
      <c r="K219" s="40"/>
    </row>
    <row r="220" spans="1:60" ht="12.75">
      <c r="A220" s="16" t="s">
        <v>433</v>
      </c>
      <c r="B220" s="16"/>
      <c r="C220" s="16" t="s">
        <v>434</v>
      </c>
      <c r="D220" s="32" t="s">
        <v>435</v>
      </c>
      <c r="E220" s="16" t="s">
        <v>192</v>
      </c>
      <c r="F220" s="33">
        <v>29.194</v>
      </c>
      <c r="G220" s="422"/>
      <c r="H220" s="34">
        <f>F220*G220</f>
        <v>0</v>
      </c>
      <c r="I220" s="35">
        <v>0.0324</v>
      </c>
      <c r="J220" s="35">
        <f>F220*I220</f>
        <v>0.9458855999999999</v>
      </c>
      <c r="K220" s="36" t="s">
        <v>94</v>
      </c>
      <c r="X220" s="37">
        <f>IF(AO220="5",BH220,0)</f>
        <v>0</v>
      </c>
      <c r="Z220" s="37">
        <f>IF(AO220="1",BF220,0)</f>
        <v>0</v>
      </c>
      <c r="AA220" s="37">
        <f>IF(AO220="1",BG220,0)</f>
        <v>0</v>
      </c>
      <c r="AB220" s="37">
        <f>IF(AO220="7",BF220,0)</f>
        <v>0</v>
      </c>
      <c r="AC220" s="37">
        <f>IF(AO220="7",BG220,0)</f>
        <v>0</v>
      </c>
      <c r="AD220" s="37">
        <f>IF(AO220="2",BF220,0)</f>
        <v>0</v>
      </c>
      <c r="AE220" s="37">
        <f>IF(AO220="2",BG220,0)</f>
        <v>0</v>
      </c>
      <c r="AF220" s="37">
        <f>IF(AO220="0",BH220,0)</f>
        <v>0</v>
      </c>
      <c r="AG220" s="23"/>
      <c r="AH220" s="37">
        <f>IF(AL220=0,H220,0)</f>
        <v>0</v>
      </c>
      <c r="AI220" s="37">
        <f>IF(AL220=15,H220,0)</f>
        <v>0</v>
      </c>
      <c r="AJ220" s="37">
        <f>IF(AL220=21,H220,0)</f>
        <v>0</v>
      </c>
      <c r="AL220" s="37">
        <v>21</v>
      </c>
      <c r="AM220" s="37">
        <f>G220*0.291476259065306</f>
        <v>0</v>
      </c>
      <c r="AN220" s="37">
        <f>G220*(1-0.291476259065306)</f>
        <v>0</v>
      </c>
      <c r="AO220" s="38" t="s">
        <v>90</v>
      </c>
      <c r="AT220" s="37">
        <f>AU220+AV220</f>
        <v>0</v>
      </c>
      <c r="AU220" s="37">
        <f>F220*AM220</f>
        <v>0</v>
      </c>
      <c r="AV220" s="37">
        <f>F220*AN220</f>
        <v>0</v>
      </c>
      <c r="AW220" s="38" t="s">
        <v>423</v>
      </c>
      <c r="AX220" s="38" t="s">
        <v>358</v>
      </c>
      <c r="AY220" s="23" t="s">
        <v>97</v>
      </c>
      <c r="BA220" s="37">
        <f>AU220+AV220</f>
        <v>0</v>
      </c>
      <c r="BB220" s="37">
        <f>G220/(100-BC220)*100</f>
        <v>0</v>
      </c>
      <c r="BC220" s="37">
        <v>0</v>
      </c>
      <c r="BD220" s="37">
        <f>J220</f>
        <v>0.9458855999999999</v>
      </c>
      <c r="BF220" s="37">
        <f>F220*AM220</f>
        <v>0</v>
      </c>
      <c r="BG220" s="37">
        <f>F220*AN220</f>
        <v>0</v>
      </c>
      <c r="BH220" s="37">
        <f>F220*G220</f>
        <v>0</v>
      </c>
    </row>
    <row r="221" spans="1:11" ht="12.75">
      <c r="A221" s="39"/>
      <c r="B221" s="40"/>
      <c r="C221" s="40"/>
      <c r="D221" s="41" t="s">
        <v>436</v>
      </c>
      <c r="E221" s="40"/>
      <c r="F221" s="42">
        <v>7.358</v>
      </c>
      <c r="G221" s="40"/>
      <c r="H221" s="40"/>
      <c r="I221" s="43"/>
      <c r="J221" s="43"/>
      <c r="K221" s="40"/>
    </row>
    <row r="222" spans="1:11" ht="12.75">
      <c r="A222" s="39"/>
      <c r="B222" s="40"/>
      <c r="C222" s="40"/>
      <c r="D222" s="41" t="s">
        <v>437</v>
      </c>
      <c r="E222" s="40"/>
      <c r="F222" s="42">
        <v>9.401</v>
      </c>
      <c r="G222" s="40"/>
      <c r="H222" s="40"/>
      <c r="I222" s="43"/>
      <c r="J222" s="43"/>
      <c r="K222" s="40"/>
    </row>
    <row r="223" spans="1:11" ht="12.75">
      <c r="A223" s="39"/>
      <c r="B223" s="40"/>
      <c r="C223" s="40"/>
      <c r="D223" s="41" t="s">
        <v>438</v>
      </c>
      <c r="E223" s="40"/>
      <c r="F223" s="42">
        <v>12.435</v>
      </c>
      <c r="G223" s="40"/>
      <c r="H223" s="40"/>
      <c r="I223" s="43"/>
      <c r="J223" s="43"/>
      <c r="K223" s="40"/>
    </row>
    <row r="224" spans="1:60" ht="12.75">
      <c r="A224" s="16" t="s">
        <v>439</v>
      </c>
      <c r="B224" s="16"/>
      <c r="C224" s="16" t="s">
        <v>440</v>
      </c>
      <c r="D224" s="32" t="s">
        <v>441</v>
      </c>
      <c r="E224" s="16" t="s">
        <v>192</v>
      </c>
      <c r="F224" s="33">
        <v>29.194</v>
      </c>
      <c r="G224" s="422"/>
      <c r="H224" s="34">
        <f>F224*G224</f>
        <v>0</v>
      </c>
      <c r="I224" s="35">
        <v>0</v>
      </c>
      <c r="J224" s="35">
        <f>F224*I224</f>
        <v>0</v>
      </c>
      <c r="K224" s="36" t="s">
        <v>94</v>
      </c>
      <c r="X224" s="37">
        <f>IF(AO224="5",BH224,0)</f>
        <v>0</v>
      </c>
      <c r="Z224" s="37">
        <f>IF(AO224="1",BF224,0)</f>
        <v>0</v>
      </c>
      <c r="AA224" s="37">
        <f>IF(AO224="1",BG224,0)</f>
        <v>0</v>
      </c>
      <c r="AB224" s="37">
        <f>IF(AO224="7",BF224,0)</f>
        <v>0</v>
      </c>
      <c r="AC224" s="37">
        <f>IF(AO224="7",BG224,0)</f>
        <v>0</v>
      </c>
      <c r="AD224" s="37">
        <f>IF(AO224="2",BF224,0)</f>
        <v>0</v>
      </c>
      <c r="AE224" s="37">
        <f>IF(AO224="2",BG224,0)</f>
        <v>0</v>
      </c>
      <c r="AF224" s="37">
        <f>IF(AO224="0",BH224,0)</f>
        <v>0</v>
      </c>
      <c r="AG224" s="23"/>
      <c r="AH224" s="37">
        <f>IF(AL224=0,H224,0)</f>
        <v>0</v>
      </c>
      <c r="AI224" s="37">
        <f>IF(AL224=15,H224,0)</f>
        <v>0</v>
      </c>
      <c r="AJ224" s="37">
        <f>IF(AL224=21,H224,0)</f>
        <v>0</v>
      </c>
      <c r="AL224" s="37">
        <v>21</v>
      </c>
      <c r="AM224" s="37">
        <f>G224*0</f>
        <v>0</v>
      </c>
      <c r="AN224" s="37">
        <f>G224*(1-0)</f>
        <v>0</v>
      </c>
      <c r="AO224" s="38" t="s">
        <v>90</v>
      </c>
      <c r="AT224" s="37">
        <f>AU224+AV224</f>
        <v>0</v>
      </c>
      <c r="AU224" s="37">
        <f>F224*AM224</f>
        <v>0</v>
      </c>
      <c r="AV224" s="37">
        <f>F224*AN224</f>
        <v>0</v>
      </c>
      <c r="AW224" s="38" t="s">
        <v>423</v>
      </c>
      <c r="AX224" s="38" t="s">
        <v>358</v>
      </c>
      <c r="AY224" s="23" t="s">
        <v>97</v>
      </c>
      <c r="BA224" s="37">
        <f>AU224+AV224</f>
        <v>0</v>
      </c>
      <c r="BB224" s="37">
        <f>G224/(100-BC224)*100</f>
        <v>0</v>
      </c>
      <c r="BC224" s="37">
        <v>0</v>
      </c>
      <c r="BD224" s="37">
        <f>J224</f>
        <v>0</v>
      </c>
      <c r="BF224" s="37">
        <f>F224*AM224</f>
        <v>0</v>
      </c>
      <c r="BG224" s="37">
        <f>F224*AN224</f>
        <v>0</v>
      </c>
      <c r="BH224" s="37">
        <f>F224*G224</f>
        <v>0</v>
      </c>
    </row>
    <row r="225" spans="1:11" ht="12.75">
      <c r="A225" s="39"/>
      <c r="B225" s="40"/>
      <c r="C225" s="40"/>
      <c r="D225" s="41" t="s">
        <v>436</v>
      </c>
      <c r="E225" s="40"/>
      <c r="F225" s="42">
        <v>7.358</v>
      </c>
      <c r="G225" s="40"/>
      <c r="H225" s="40"/>
      <c r="I225" s="43"/>
      <c r="J225" s="43"/>
      <c r="K225" s="40"/>
    </row>
    <row r="226" spans="1:11" ht="12.75">
      <c r="A226" s="39"/>
      <c r="B226" s="40"/>
      <c r="C226" s="40"/>
      <c r="D226" s="41" t="s">
        <v>437</v>
      </c>
      <c r="E226" s="40"/>
      <c r="F226" s="42">
        <v>9.401</v>
      </c>
      <c r="G226" s="40"/>
      <c r="H226" s="40"/>
      <c r="I226" s="43"/>
      <c r="J226" s="43"/>
      <c r="K226" s="40"/>
    </row>
    <row r="227" spans="1:11" ht="12.75">
      <c r="A227" s="39"/>
      <c r="B227" s="40"/>
      <c r="C227" s="40"/>
      <c r="D227" s="41" t="s">
        <v>438</v>
      </c>
      <c r="E227" s="40"/>
      <c r="F227" s="42">
        <v>12.435</v>
      </c>
      <c r="G227" s="40"/>
      <c r="H227" s="40"/>
      <c r="I227" s="43"/>
      <c r="J227" s="43"/>
      <c r="K227" s="40"/>
    </row>
    <row r="228" spans="1:60" ht="12.75">
      <c r="A228" s="16" t="s">
        <v>442</v>
      </c>
      <c r="B228" s="16"/>
      <c r="C228" s="16" t="s">
        <v>443</v>
      </c>
      <c r="D228" s="32" t="s">
        <v>444</v>
      </c>
      <c r="E228" s="16" t="s">
        <v>192</v>
      </c>
      <c r="F228" s="33">
        <v>17.693</v>
      </c>
      <c r="G228" s="422"/>
      <c r="H228" s="34">
        <f>F228*G228</f>
        <v>0</v>
      </c>
      <c r="I228" s="35">
        <v>0.0023</v>
      </c>
      <c r="J228" s="35">
        <f>F228*I228</f>
        <v>0.040693900000000005</v>
      </c>
      <c r="K228" s="36" t="s">
        <v>94</v>
      </c>
      <c r="X228" s="37">
        <f>IF(AO228="5",BH228,0)</f>
        <v>0</v>
      </c>
      <c r="Z228" s="37">
        <f>IF(AO228="1",BF228,0)</f>
        <v>0</v>
      </c>
      <c r="AA228" s="37">
        <f>IF(AO228="1",BG228,0)</f>
        <v>0</v>
      </c>
      <c r="AB228" s="37">
        <f>IF(AO228="7",BF228,0)</f>
        <v>0</v>
      </c>
      <c r="AC228" s="37">
        <f>IF(AO228="7",BG228,0)</f>
        <v>0</v>
      </c>
      <c r="AD228" s="37">
        <f>IF(AO228="2",BF228,0)</f>
        <v>0</v>
      </c>
      <c r="AE228" s="37">
        <f>IF(AO228="2",BG228,0)</f>
        <v>0</v>
      </c>
      <c r="AF228" s="37">
        <f>IF(AO228="0",BH228,0)</f>
        <v>0</v>
      </c>
      <c r="AG228" s="23"/>
      <c r="AH228" s="37">
        <f>IF(AL228=0,H228,0)</f>
        <v>0</v>
      </c>
      <c r="AI228" s="37">
        <f>IF(AL228=15,H228,0)</f>
        <v>0</v>
      </c>
      <c r="AJ228" s="37">
        <f>IF(AL228=21,H228,0)</f>
        <v>0</v>
      </c>
      <c r="AL228" s="37">
        <v>21</v>
      </c>
      <c r="AM228" s="37">
        <f>G228*0.148599009214624</f>
        <v>0</v>
      </c>
      <c r="AN228" s="37">
        <f>G228*(1-0.148599009214624)</f>
        <v>0</v>
      </c>
      <c r="AO228" s="38" t="s">
        <v>90</v>
      </c>
      <c r="AT228" s="37">
        <f>AU228+AV228</f>
        <v>0</v>
      </c>
      <c r="AU228" s="37">
        <f>F228*AM228</f>
        <v>0</v>
      </c>
      <c r="AV228" s="37">
        <f>F228*AN228</f>
        <v>0</v>
      </c>
      <c r="AW228" s="38" t="s">
        <v>423</v>
      </c>
      <c r="AX228" s="38" t="s">
        <v>358</v>
      </c>
      <c r="AY228" s="23" t="s">
        <v>97</v>
      </c>
      <c r="BA228" s="37">
        <f>AU228+AV228</f>
        <v>0</v>
      </c>
      <c r="BB228" s="37">
        <f>G228/(100-BC228)*100</f>
        <v>0</v>
      </c>
      <c r="BC228" s="37">
        <v>0</v>
      </c>
      <c r="BD228" s="37">
        <f>J228</f>
        <v>0.040693900000000005</v>
      </c>
      <c r="BF228" s="37">
        <f>F228*AM228</f>
        <v>0</v>
      </c>
      <c r="BG228" s="37">
        <f>F228*AN228</f>
        <v>0</v>
      </c>
      <c r="BH228" s="37">
        <f>F228*G228</f>
        <v>0</v>
      </c>
    </row>
    <row r="229" spans="1:11" ht="12.75">
      <c r="A229" s="39"/>
      <c r="B229" s="40"/>
      <c r="C229" s="40"/>
      <c r="D229" s="41" t="s">
        <v>445</v>
      </c>
      <c r="E229" s="40"/>
      <c r="F229" s="42">
        <v>7.358</v>
      </c>
      <c r="G229" s="40"/>
      <c r="H229" s="40"/>
      <c r="I229" s="43"/>
      <c r="J229" s="43"/>
      <c r="K229" s="40"/>
    </row>
    <row r="230" spans="1:11" ht="12.75">
      <c r="A230" s="39"/>
      <c r="B230" s="40"/>
      <c r="C230" s="40"/>
      <c r="D230" s="41" t="s">
        <v>446</v>
      </c>
      <c r="E230" s="40"/>
      <c r="F230" s="42">
        <v>10.335</v>
      </c>
      <c r="G230" s="40"/>
      <c r="H230" s="40"/>
      <c r="I230" s="43"/>
      <c r="J230" s="43"/>
      <c r="K230" s="40"/>
    </row>
    <row r="231" spans="1:60" ht="12.75">
      <c r="A231" s="16" t="s">
        <v>447</v>
      </c>
      <c r="B231" s="16"/>
      <c r="C231" s="16" t="s">
        <v>448</v>
      </c>
      <c r="D231" s="32" t="s">
        <v>449</v>
      </c>
      <c r="E231" s="16" t="s">
        <v>192</v>
      </c>
      <c r="F231" s="33">
        <v>17.693</v>
      </c>
      <c r="G231" s="422"/>
      <c r="H231" s="34">
        <f>F231*G231</f>
        <v>0</v>
      </c>
      <c r="I231" s="35">
        <v>0</v>
      </c>
      <c r="J231" s="35">
        <f>F231*I231</f>
        <v>0</v>
      </c>
      <c r="K231" s="36" t="s">
        <v>94</v>
      </c>
      <c r="X231" s="37">
        <f>IF(AO231="5",BH231,0)</f>
        <v>0</v>
      </c>
      <c r="Z231" s="37">
        <f>IF(AO231="1",BF231,0)</f>
        <v>0</v>
      </c>
      <c r="AA231" s="37">
        <f>IF(AO231="1",BG231,0)</f>
        <v>0</v>
      </c>
      <c r="AB231" s="37">
        <f>IF(AO231="7",BF231,0)</f>
        <v>0</v>
      </c>
      <c r="AC231" s="37">
        <f>IF(AO231="7",BG231,0)</f>
        <v>0</v>
      </c>
      <c r="AD231" s="37">
        <f>IF(AO231="2",BF231,0)</f>
        <v>0</v>
      </c>
      <c r="AE231" s="37">
        <f>IF(AO231="2",BG231,0)</f>
        <v>0</v>
      </c>
      <c r="AF231" s="37">
        <f>IF(AO231="0",BH231,0)</f>
        <v>0</v>
      </c>
      <c r="AG231" s="23"/>
      <c r="AH231" s="37">
        <f>IF(AL231=0,H231,0)</f>
        <v>0</v>
      </c>
      <c r="AI231" s="37">
        <f>IF(AL231=15,H231,0)</f>
        <v>0</v>
      </c>
      <c r="AJ231" s="37">
        <f>IF(AL231=21,H231,0)</f>
        <v>0</v>
      </c>
      <c r="AL231" s="37">
        <v>21</v>
      </c>
      <c r="AM231" s="37">
        <f>G231*0</f>
        <v>0</v>
      </c>
      <c r="AN231" s="37">
        <f>G231*(1-0)</f>
        <v>0</v>
      </c>
      <c r="AO231" s="38" t="s">
        <v>90</v>
      </c>
      <c r="AT231" s="37">
        <f>AU231+AV231</f>
        <v>0</v>
      </c>
      <c r="AU231" s="37">
        <f>F231*AM231</f>
        <v>0</v>
      </c>
      <c r="AV231" s="37">
        <f>F231*AN231</f>
        <v>0</v>
      </c>
      <c r="AW231" s="38" t="s">
        <v>423</v>
      </c>
      <c r="AX231" s="38" t="s">
        <v>358</v>
      </c>
      <c r="AY231" s="23" t="s">
        <v>97</v>
      </c>
      <c r="BA231" s="37">
        <f>AU231+AV231</f>
        <v>0</v>
      </c>
      <c r="BB231" s="37">
        <f>G231/(100-BC231)*100</f>
        <v>0</v>
      </c>
      <c r="BC231" s="37">
        <v>0</v>
      </c>
      <c r="BD231" s="37">
        <f>J231</f>
        <v>0</v>
      </c>
      <c r="BF231" s="37">
        <f>F231*AM231</f>
        <v>0</v>
      </c>
      <c r="BG231" s="37">
        <f>F231*AN231</f>
        <v>0</v>
      </c>
      <c r="BH231" s="37">
        <f>F231*G231</f>
        <v>0</v>
      </c>
    </row>
    <row r="232" spans="1:11" ht="12.75">
      <c r="A232" s="39"/>
      <c r="B232" s="40"/>
      <c r="C232" s="40"/>
      <c r="D232" s="41" t="s">
        <v>445</v>
      </c>
      <c r="E232" s="40"/>
      <c r="F232" s="42">
        <v>7.358</v>
      </c>
      <c r="G232" s="40"/>
      <c r="H232" s="40"/>
      <c r="I232" s="43"/>
      <c r="J232" s="43"/>
      <c r="K232" s="40"/>
    </row>
    <row r="233" spans="1:11" ht="12.75">
      <c r="A233" s="39"/>
      <c r="B233" s="40"/>
      <c r="C233" s="40"/>
      <c r="D233" s="41" t="s">
        <v>446</v>
      </c>
      <c r="E233" s="40"/>
      <c r="F233" s="42">
        <v>10.335</v>
      </c>
      <c r="G233" s="40"/>
      <c r="H233" s="40"/>
      <c r="I233" s="43"/>
      <c r="J233" s="43"/>
      <c r="K233" s="40"/>
    </row>
    <row r="234" spans="1:60" ht="12.75">
      <c r="A234" s="16" t="s">
        <v>450</v>
      </c>
      <c r="B234" s="16"/>
      <c r="C234" s="16" t="s">
        <v>451</v>
      </c>
      <c r="D234" s="32" t="s">
        <v>452</v>
      </c>
      <c r="E234" s="16" t="s">
        <v>395</v>
      </c>
      <c r="F234" s="33">
        <v>60.9</v>
      </c>
      <c r="G234" s="422"/>
      <c r="H234" s="34">
        <f>F234*G234</f>
        <v>0</v>
      </c>
      <c r="I234" s="35">
        <v>0.11369</v>
      </c>
      <c r="J234" s="35">
        <f>F234*I234</f>
        <v>6.923721</v>
      </c>
      <c r="K234" s="36" t="s">
        <v>94</v>
      </c>
      <c r="X234" s="37">
        <f>IF(AO234="5",BH234,0)</f>
        <v>0</v>
      </c>
      <c r="Z234" s="37">
        <f>IF(AO234="1",BF234,0)</f>
        <v>0</v>
      </c>
      <c r="AA234" s="37">
        <f>IF(AO234="1",BG234,0)</f>
        <v>0</v>
      </c>
      <c r="AB234" s="37">
        <f>IF(AO234="7",BF234,0)</f>
        <v>0</v>
      </c>
      <c r="AC234" s="37">
        <f>IF(AO234="7",BG234,0)</f>
        <v>0</v>
      </c>
      <c r="AD234" s="37">
        <f>IF(AO234="2",BF234,0)</f>
        <v>0</v>
      </c>
      <c r="AE234" s="37">
        <f>IF(AO234="2",BG234,0)</f>
        <v>0</v>
      </c>
      <c r="AF234" s="37">
        <f>IF(AO234="0",BH234,0)</f>
        <v>0</v>
      </c>
      <c r="AG234" s="23"/>
      <c r="AH234" s="37">
        <f>IF(AL234=0,H234,0)</f>
        <v>0</v>
      </c>
      <c r="AI234" s="37">
        <f>IF(AL234=15,H234,0)</f>
        <v>0</v>
      </c>
      <c r="AJ234" s="37">
        <f>IF(AL234=21,H234,0)</f>
        <v>0</v>
      </c>
      <c r="AL234" s="37">
        <v>21</v>
      </c>
      <c r="AM234" s="37">
        <f>G234*0.343864598025388</f>
        <v>0</v>
      </c>
      <c r="AN234" s="37">
        <f>G234*(1-0.343864598025388)</f>
        <v>0</v>
      </c>
      <c r="AO234" s="38" t="s">
        <v>90</v>
      </c>
      <c r="AT234" s="37">
        <f>AU234+AV234</f>
        <v>0</v>
      </c>
      <c r="AU234" s="37">
        <f>F234*AM234</f>
        <v>0</v>
      </c>
      <c r="AV234" s="37">
        <f>F234*AN234</f>
        <v>0</v>
      </c>
      <c r="AW234" s="38" t="s">
        <v>423</v>
      </c>
      <c r="AX234" s="38" t="s">
        <v>358</v>
      </c>
      <c r="AY234" s="23" t="s">
        <v>97</v>
      </c>
      <c r="BA234" s="37">
        <f>AU234+AV234</f>
        <v>0</v>
      </c>
      <c r="BB234" s="37">
        <f>G234/(100-BC234)*100</f>
        <v>0</v>
      </c>
      <c r="BC234" s="37">
        <v>0</v>
      </c>
      <c r="BD234" s="37">
        <f>J234</f>
        <v>6.923721</v>
      </c>
      <c r="BF234" s="37">
        <f>F234*AM234</f>
        <v>0</v>
      </c>
      <c r="BG234" s="37">
        <f>F234*AN234</f>
        <v>0</v>
      </c>
      <c r="BH234" s="37">
        <f>F234*G234</f>
        <v>0</v>
      </c>
    </row>
    <row r="235" spans="1:11" ht="12.75">
      <c r="A235" s="39"/>
      <c r="B235" s="40"/>
      <c r="C235" s="40"/>
      <c r="D235" s="41" t="s">
        <v>453</v>
      </c>
      <c r="E235" s="40"/>
      <c r="F235" s="42">
        <v>16.5</v>
      </c>
      <c r="G235" s="40"/>
      <c r="H235" s="40"/>
      <c r="I235" s="43"/>
      <c r="J235" s="43"/>
      <c r="K235" s="40"/>
    </row>
    <row r="236" spans="1:11" ht="12.75">
      <c r="A236" s="39"/>
      <c r="B236" s="40"/>
      <c r="C236" s="40"/>
      <c r="D236" s="41" t="s">
        <v>454</v>
      </c>
      <c r="E236" s="40"/>
      <c r="F236" s="42">
        <v>20.4</v>
      </c>
      <c r="G236" s="40"/>
      <c r="H236" s="40"/>
      <c r="I236" s="43"/>
      <c r="J236" s="43"/>
      <c r="K236" s="40"/>
    </row>
    <row r="237" spans="1:11" ht="12.75">
      <c r="A237" s="39"/>
      <c r="B237" s="40"/>
      <c r="C237" s="40"/>
      <c r="D237" s="41" t="s">
        <v>455</v>
      </c>
      <c r="E237" s="40"/>
      <c r="F237" s="42">
        <v>24</v>
      </c>
      <c r="G237" s="40"/>
      <c r="H237" s="40"/>
      <c r="I237" s="43"/>
      <c r="J237" s="43"/>
      <c r="K237" s="40"/>
    </row>
    <row r="238" spans="1:60" ht="12.75">
      <c r="A238" s="16" t="s">
        <v>456</v>
      </c>
      <c r="B238" s="16"/>
      <c r="C238" s="16" t="s">
        <v>457</v>
      </c>
      <c r="D238" s="32" t="s">
        <v>458</v>
      </c>
      <c r="E238" s="16" t="s">
        <v>192</v>
      </c>
      <c r="F238" s="33">
        <v>12.18</v>
      </c>
      <c r="G238" s="422"/>
      <c r="H238" s="34">
        <f>F238*G238</f>
        <v>0</v>
      </c>
      <c r="I238" s="35">
        <v>0.01693</v>
      </c>
      <c r="J238" s="35">
        <f>F238*I238</f>
        <v>0.2062074</v>
      </c>
      <c r="K238" s="36" t="s">
        <v>94</v>
      </c>
      <c r="X238" s="37">
        <f>IF(AO238="5",BH238,0)</f>
        <v>0</v>
      </c>
      <c r="Z238" s="37">
        <f>IF(AO238="1",BF238,0)</f>
        <v>0</v>
      </c>
      <c r="AA238" s="37">
        <f>IF(AO238="1",BG238,0)</f>
        <v>0</v>
      </c>
      <c r="AB238" s="37">
        <f>IF(AO238="7",BF238,0)</f>
        <v>0</v>
      </c>
      <c r="AC238" s="37">
        <f>IF(AO238="7",BG238,0)</f>
        <v>0</v>
      </c>
      <c r="AD238" s="37">
        <f>IF(AO238="2",BF238,0)</f>
        <v>0</v>
      </c>
      <c r="AE238" s="37">
        <f>IF(AO238="2",BG238,0)</f>
        <v>0</v>
      </c>
      <c r="AF238" s="37">
        <f>IF(AO238="0",BH238,0)</f>
        <v>0</v>
      </c>
      <c r="AG238" s="23"/>
      <c r="AH238" s="37">
        <f>IF(AL238=0,H238,0)</f>
        <v>0</v>
      </c>
      <c r="AI238" s="37">
        <f>IF(AL238=15,H238,0)</f>
        <v>0</v>
      </c>
      <c r="AJ238" s="37">
        <f>IF(AL238=21,H238,0)</f>
        <v>0</v>
      </c>
      <c r="AL238" s="37">
        <v>21</v>
      </c>
      <c r="AM238" s="37">
        <f>G238*0.433804173354735</f>
        <v>0</v>
      </c>
      <c r="AN238" s="37">
        <f>G238*(1-0.433804173354735)</f>
        <v>0</v>
      </c>
      <c r="AO238" s="38" t="s">
        <v>90</v>
      </c>
      <c r="AT238" s="37">
        <f>AU238+AV238</f>
        <v>0</v>
      </c>
      <c r="AU238" s="37">
        <f>F238*AM238</f>
        <v>0</v>
      </c>
      <c r="AV238" s="37">
        <f>F238*AN238</f>
        <v>0</v>
      </c>
      <c r="AW238" s="38" t="s">
        <v>423</v>
      </c>
      <c r="AX238" s="38" t="s">
        <v>358</v>
      </c>
      <c r="AY238" s="23" t="s">
        <v>97</v>
      </c>
      <c r="BA238" s="37">
        <f>AU238+AV238</f>
        <v>0</v>
      </c>
      <c r="BB238" s="37">
        <f>G238/(100-BC238)*100</f>
        <v>0</v>
      </c>
      <c r="BC238" s="37">
        <v>0</v>
      </c>
      <c r="BD238" s="37">
        <f>J238</f>
        <v>0.2062074</v>
      </c>
      <c r="BF238" s="37">
        <f>F238*AM238</f>
        <v>0</v>
      </c>
      <c r="BG238" s="37">
        <f>F238*AN238</f>
        <v>0</v>
      </c>
      <c r="BH238" s="37">
        <f>F238*G238</f>
        <v>0</v>
      </c>
    </row>
    <row r="239" spans="1:11" ht="12.75">
      <c r="A239" s="39"/>
      <c r="B239" s="40"/>
      <c r="C239" s="40"/>
      <c r="D239" s="41" t="s">
        <v>459</v>
      </c>
      <c r="E239" s="40"/>
      <c r="F239" s="42">
        <v>3.3</v>
      </c>
      <c r="G239" s="40"/>
      <c r="H239" s="40"/>
      <c r="I239" s="43"/>
      <c r="J239" s="43"/>
      <c r="K239" s="40"/>
    </row>
    <row r="240" spans="1:11" ht="12.75">
      <c r="A240" s="39"/>
      <c r="B240" s="40"/>
      <c r="C240" s="40"/>
      <c r="D240" s="41" t="s">
        <v>460</v>
      </c>
      <c r="E240" s="40"/>
      <c r="F240" s="42">
        <v>4.08</v>
      </c>
      <c r="G240" s="40"/>
      <c r="H240" s="40"/>
      <c r="I240" s="43"/>
      <c r="J240" s="43"/>
      <c r="K240" s="40"/>
    </row>
    <row r="241" spans="1:11" ht="12.75">
      <c r="A241" s="39"/>
      <c r="B241" s="40"/>
      <c r="C241" s="40"/>
      <c r="D241" s="41" t="s">
        <v>461</v>
      </c>
      <c r="E241" s="40"/>
      <c r="F241" s="42">
        <v>4.8</v>
      </c>
      <c r="G241" s="40"/>
      <c r="H241" s="40"/>
      <c r="I241" s="43"/>
      <c r="J241" s="43"/>
      <c r="K241" s="40"/>
    </row>
    <row r="242" spans="1:60" ht="12.75">
      <c r="A242" s="16" t="s">
        <v>462</v>
      </c>
      <c r="B242" s="16"/>
      <c r="C242" s="16" t="s">
        <v>463</v>
      </c>
      <c r="D242" s="32" t="s">
        <v>464</v>
      </c>
      <c r="E242" s="16" t="s">
        <v>192</v>
      </c>
      <c r="F242" s="33">
        <v>12.18</v>
      </c>
      <c r="G242" s="422"/>
      <c r="H242" s="34">
        <f>F242*G242</f>
        <v>0</v>
      </c>
      <c r="I242" s="35">
        <v>0</v>
      </c>
      <c r="J242" s="35">
        <f>F242*I242</f>
        <v>0</v>
      </c>
      <c r="K242" s="36" t="s">
        <v>94</v>
      </c>
      <c r="X242" s="37">
        <f>IF(AO242="5",BH242,0)</f>
        <v>0</v>
      </c>
      <c r="Z242" s="37">
        <f>IF(AO242="1",BF242,0)</f>
        <v>0</v>
      </c>
      <c r="AA242" s="37">
        <f>IF(AO242="1",BG242,0)</f>
        <v>0</v>
      </c>
      <c r="AB242" s="37">
        <f>IF(AO242="7",BF242,0)</f>
        <v>0</v>
      </c>
      <c r="AC242" s="37">
        <f>IF(AO242="7",BG242,0)</f>
        <v>0</v>
      </c>
      <c r="AD242" s="37">
        <f>IF(AO242="2",BF242,0)</f>
        <v>0</v>
      </c>
      <c r="AE242" s="37">
        <f>IF(AO242="2",BG242,0)</f>
        <v>0</v>
      </c>
      <c r="AF242" s="37">
        <f>IF(AO242="0",BH242,0)</f>
        <v>0</v>
      </c>
      <c r="AG242" s="23"/>
      <c r="AH242" s="37">
        <f>IF(AL242=0,H242,0)</f>
        <v>0</v>
      </c>
      <c r="AI242" s="37">
        <f>IF(AL242=15,H242,0)</f>
        <v>0</v>
      </c>
      <c r="AJ242" s="37">
        <f>IF(AL242=21,H242,0)</f>
        <v>0</v>
      </c>
      <c r="AL242" s="37">
        <v>21</v>
      </c>
      <c r="AM242" s="37">
        <f>G242*0</f>
        <v>0</v>
      </c>
      <c r="AN242" s="37">
        <f>G242*(1-0)</f>
        <v>0</v>
      </c>
      <c r="AO242" s="38" t="s">
        <v>90</v>
      </c>
      <c r="AT242" s="37">
        <f>AU242+AV242</f>
        <v>0</v>
      </c>
      <c r="AU242" s="37">
        <f>F242*AM242</f>
        <v>0</v>
      </c>
      <c r="AV242" s="37">
        <f>F242*AN242</f>
        <v>0</v>
      </c>
      <c r="AW242" s="38" t="s">
        <v>423</v>
      </c>
      <c r="AX242" s="38" t="s">
        <v>358</v>
      </c>
      <c r="AY242" s="23" t="s">
        <v>97</v>
      </c>
      <c r="BA242" s="37">
        <f>AU242+AV242</f>
        <v>0</v>
      </c>
      <c r="BB242" s="37">
        <f>G242/(100-BC242)*100</f>
        <v>0</v>
      </c>
      <c r="BC242" s="37">
        <v>0</v>
      </c>
      <c r="BD242" s="37">
        <f>J242</f>
        <v>0</v>
      </c>
      <c r="BF242" s="37">
        <f>F242*AM242</f>
        <v>0</v>
      </c>
      <c r="BG242" s="37">
        <f>F242*AN242</f>
        <v>0</v>
      </c>
      <c r="BH242" s="37">
        <f>F242*G242</f>
        <v>0</v>
      </c>
    </row>
    <row r="243" spans="1:11" ht="12.75">
      <c r="A243" s="39"/>
      <c r="B243" s="40"/>
      <c r="C243" s="40"/>
      <c r="D243" s="41" t="s">
        <v>459</v>
      </c>
      <c r="E243" s="40"/>
      <c r="F243" s="42">
        <v>3.3</v>
      </c>
      <c r="G243" s="40"/>
      <c r="H243" s="40"/>
      <c r="I243" s="43"/>
      <c r="J243" s="43"/>
      <c r="K243" s="40"/>
    </row>
    <row r="244" spans="1:11" ht="12.75">
      <c r="A244" s="39"/>
      <c r="B244" s="40"/>
      <c r="C244" s="40"/>
      <c r="D244" s="41" t="s">
        <v>460</v>
      </c>
      <c r="E244" s="40"/>
      <c r="F244" s="42">
        <v>4.08</v>
      </c>
      <c r="G244" s="40"/>
      <c r="H244" s="40"/>
      <c r="I244" s="43"/>
      <c r="J244" s="43"/>
      <c r="K244" s="40"/>
    </row>
    <row r="245" spans="1:11" ht="12.75">
      <c r="A245" s="39"/>
      <c r="B245" s="40"/>
      <c r="C245" s="40"/>
      <c r="D245" s="41" t="s">
        <v>465</v>
      </c>
      <c r="E245" s="40"/>
      <c r="F245" s="42">
        <v>4.8</v>
      </c>
      <c r="G245" s="40"/>
      <c r="H245" s="40"/>
      <c r="I245" s="43"/>
      <c r="J245" s="43"/>
      <c r="K245" s="40"/>
    </row>
    <row r="246" spans="1:60" ht="25.5">
      <c r="A246" s="16" t="s">
        <v>466</v>
      </c>
      <c r="B246" s="16"/>
      <c r="C246" s="16" t="s">
        <v>467</v>
      </c>
      <c r="D246" s="32" t="s">
        <v>468</v>
      </c>
      <c r="E246" s="16" t="s">
        <v>469</v>
      </c>
      <c r="F246" s="33">
        <v>1</v>
      </c>
      <c r="G246" s="422"/>
      <c r="H246" s="34">
        <f>F246*G246</f>
        <v>0</v>
      </c>
      <c r="I246" s="35">
        <v>0.08609</v>
      </c>
      <c r="J246" s="35">
        <f>F246*I246</f>
        <v>0.08609</v>
      </c>
      <c r="K246" s="36" t="s">
        <v>226</v>
      </c>
      <c r="X246" s="37">
        <f>IF(AO246="5",BH246,0)</f>
        <v>0</v>
      </c>
      <c r="Z246" s="37">
        <f>IF(AO246="1",BF246,0)</f>
        <v>0</v>
      </c>
      <c r="AA246" s="37">
        <f>IF(AO246="1",BG246,0)</f>
        <v>0</v>
      </c>
      <c r="AB246" s="37">
        <f>IF(AO246="7",BF246,0)</f>
        <v>0</v>
      </c>
      <c r="AC246" s="37">
        <f>IF(AO246="7",BG246,0)</f>
        <v>0</v>
      </c>
      <c r="AD246" s="37">
        <f>IF(AO246="2",BF246,0)</f>
        <v>0</v>
      </c>
      <c r="AE246" s="37">
        <f>IF(AO246="2",BG246,0)</f>
        <v>0</v>
      </c>
      <c r="AF246" s="37">
        <f>IF(AO246="0",BH246,0)</f>
        <v>0</v>
      </c>
      <c r="AG246" s="23"/>
      <c r="AH246" s="37">
        <f>IF(AL246=0,H246,0)</f>
        <v>0</v>
      </c>
      <c r="AI246" s="37">
        <f>IF(AL246=15,H246,0)</f>
        <v>0</v>
      </c>
      <c r="AJ246" s="37">
        <f>IF(AL246=21,H246,0)</f>
        <v>0</v>
      </c>
      <c r="AL246" s="37">
        <v>21</v>
      </c>
      <c r="AM246" s="37">
        <f>G246*0.0958520952380952</f>
        <v>0</v>
      </c>
      <c r="AN246" s="37">
        <f>G246*(1-0.0958520952380952)</f>
        <v>0</v>
      </c>
      <c r="AO246" s="38" t="s">
        <v>90</v>
      </c>
      <c r="AT246" s="37">
        <f>AU246+AV246</f>
        <v>0</v>
      </c>
      <c r="AU246" s="37">
        <f>F246*AM246</f>
        <v>0</v>
      </c>
      <c r="AV246" s="37">
        <f>F246*AN246</f>
        <v>0</v>
      </c>
      <c r="AW246" s="38" t="s">
        <v>423</v>
      </c>
      <c r="AX246" s="38" t="s">
        <v>358</v>
      </c>
      <c r="AY246" s="23" t="s">
        <v>97</v>
      </c>
      <c r="BA246" s="37">
        <f>AU246+AV246</f>
        <v>0</v>
      </c>
      <c r="BB246" s="37">
        <f>G246/(100-BC246)*100</f>
        <v>0</v>
      </c>
      <c r="BC246" s="37">
        <v>0</v>
      </c>
      <c r="BD246" s="37">
        <f>J246</f>
        <v>0.08609</v>
      </c>
      <c r="BF246" s="37">
        <f>F246*AM246</f>
        <v>0</v>
      </c>
      <c r="BG246" s="37">
        <f>F246*AN246</f>
        <v>0</v>
      </c>
      <c r="BH246" s="37">
        <f>F246*G246</f>
        <v>0</v>
      </c>
    </row>
    <row r="247" spans="1:11" ht="12.75">
      <c r="A247" s="39"/>
      <c r="B247" s="40"/>
      <c r="C247" s="40"/>
      <c r="D247" s="41" t="s">
        <v>470</v>
      </c>
      <c r="E247" s="40"/>
      <c r="F247" s="42">
        <v>1</v>
      </c>
      <c r="G247" s="40"/>
      <c r="H247" s="40"/>
      <c r="I247" s="43"/>
      <c r="J247" s="43"/>
      <c r="K247" s="40"/>
    </row>
    <row r="248" spans="1:45" ht="12.75">
      <c r="A248" s="24"/>
      <c r="B248" s="25"/>
      <c r="C248" s="25" t="s">
        <v>327</v>
      </c>
      <c r="D248" s="26" t="s">
        <v>471</v>
      </c>
      <c r="E248" s="24" t="s">
        <v>54</v>
      </c>
      <c r="F248" s="24" t="s">
        <v>54</v>
      </c>
      <c r="G248" s="24" t="s">
        <v>54</v>
      </c>
      <c r="H248" s="27">
        <f>SUM(H249:H251)</f>
        <v>0</v>
      </c>
      <c r="I248" s="28"/>
      <c r="J248" s="28">
        <f>SUM(J249:J251)</f>
        <v>2.2375</v>
      </c>
      <c r="K248" s="29"/>
      <c r="AG248" s="23"/>
      <c r="AQ248" s="31">
        <f>SUM(AH249:AH251)</f>
        <v>0</v>
      </c>
      <c r="AR248" s="31">
        <f>SUM(AI249:AI251)</f>
        <v>0</v>
      </c>
      <c r="AS248" s="31">
        <f>SUM(AJ249:AJ251)</f>
        <v>0</v>
      </c>
    </row>
    <row r="249" spans="1:60" ht="12.75">
      <c r="A249" s="16" t="s">
        <v>472</v>
      </c>
      <c r="B249" s="16"/>
      <c r="C249" s="16" t="s">
        <v>473</v>
      </c>
      <c r="D249" s="32" t="s">
        <v>474</v>
      </c>
      <c r="E249" s="16" t="s">
        <v>192</v>
      </c>
      <c r="F249" s="33">
        <v>437.5</v>
      </c>
      <c r="G249" s="422"/>
      <c r="H249" s="34">
        <f>F249*G249</f>
        <v>0</v>
      </c>
      <c r="I249" s="35">
        <v>0</v>
      </c>
      <c r="J249" s="35">
        <f>F249*I249</f>
        <v>0</v>
      </c>
      <c r="K249" s="36" t="s">
        <v>94</v>
      </c>
      <c r="X249" s="37">
        <f>IF(AO249="5",BH249,0)</f>
        <v>0</v>
      </c>
      <c r="Z249" s="37">
        <f>IF(AO249="1",BF249,0)</f>
        <v>0</v>
      </c>
      <c r="AA249" s="37">
        <f>IF(AO249="1",BG249,0)</f>
        <v>0</v>
      </c>
      <c r="AB249" s="37">
        <f>IF(AO249="7",BF249,0)</f>
        <v>0</v>
      </c>
      <c r="AC249" s="37">
        <f>IF(AO249="7",BG249,0)</f>
        <v>0</v>
      </c>
      <c r="AD249" s="37">
        <f>IF(AO249="2",BF249,0)</f>
        <v>0</v>
      </c>
      <c r="AE249" s="37">
        <f>IF(AO249="2",BG249,0)</f>
        <v>0</v>
      </c>
      <c r="AF249" s="37">
        <f>IF(AO249="0",BH249,0)</f>
        <v>0</v>
      </c>
      <c r="AG249" s="23"/>
      <c r="AH249" s="37">
        <f>IF(AL249=0,H249,0)</f>
        <v>0</v>
      </c>
      <c r="AI249" s="37">
        <f>IF(AL249=15,H249,0)</f>
        <v>0</v>
      </c>
      <c r="AJ249" s="37">
        <f>IF(AL249=21,H249,0)</f>
        <v>0</v>
      </c>
      <c r="AL249" s="37">
        <v>21</v>
      </c>
      <c r="AM249" s="37">
        <f>G249*0.307385049961837</f>
        <v>0</v>
      </c>
      <c r="AN249" s="37">
        <f>G249*(1-0.307385049961837)</f>
        <v>0</v>
      </c>
      <c r="AO249" s="38" t="s">
        <v>90</v>
      </c>
      <c r="AT249" s="37">
        <f>AU249+AV249</f>
        <v>0</v>
      </c>
      <c r="AU249" s="37">
        <f>F249*AM249</f>
        <v>0</v>
      </c>
      <c r="AV249" s="37">
        <f>F249*AN249</f>
        <v>0</v>
      </c>
      <c r="AW249" s="38" t="s">
        <v>475</v>
      </c>
      <c r="AX249" s="38" t="s">
        <v>358</v>
      </c>
      <c r="AY249" s="23" t="s">
        <v>97</v>
      </c>
      <c r="BA249" s="37">
        <f>AU249+AV249</f>
        <v>0</v>
      </c>
      <c r="BB249" s="37">
        <f>G249/(100-BC249)*100</f>
        <v>0</v>
      </c>
      <c r="BC249" s="37">
        <v>0</v>
      </c>
      <c r="BD249" s="37">
        <f>J249</f>
        <v>0</v>
      </c>
      <c r="BF249" s="37">
        <f>F249*AM249</f>
        <v>0</v>
      </c>
      <c r="BG249" s="37">
        <f>F249*AN249</f>
        <v>0</v>
      </c>
      <c r="BH249" s="37">
        <f>F249*G249</f>
        <v>0</v>
      </c>
    </row>
    <row r="250" spans="1:11" ht="12.75">
      <c r="A250" s="39"/>
      <c r="B250" s="40"/>
      <c r="C250" s="40"/>
      <c r="D250" s="41" t="s">
        <v>476</v>
      </c>
      <c r="E250" s="40"/>
      <c r="F250" s="42">
        <v>437.5</v>
      </c>
      <c r="G250" s="40"/>
      <c r="H250" s="40"/>
      <c r="I250" s="43"/>
      <c r="J250" s="43"/>
      <c r="K250" s="40"/>
    </row>
    <row r="251" spans="1:60" ht="25.5">
      <c r="A251" s="16" t="s">
        <v>477</v>
      </c>
      <c r="B251" s="16"/>
      <c r="C251" s="16" t="s">
        <v>478</v>
      </c>
      <c r="D251" s="32" t="s">
        <v>479</v>
      </c>
      <c r="E251" s="16" t="s">
        <v>225</v>
      </c>
      <c r="F251" s="33">
        <v>125</v>
      </c>
      <c r="G251" s="422"/>
      <c r="H251" s="34">
        <f>F251*G251</f>
        <v>0</v>
      </c>
      <c r="I251" s="35">
        <v>0.0179</v>
      </c>
      <c r="J251" s="35">
        <f>F251*I251</f>
        <v>2.2375</v>
      </c>
      <c r="K251" s="36" t="s">
        <v>226</v>
      </c>
      <c r="X251" s="37">
        <f>IF(AO251="5",BH251,0)</f>
        <v>0</v>
      </c>
      <c r="Z251" s="37">
        <f>IF(AO251="1",BF251,0)</f>
        <v>0</v>
      </c>
      <c r="AA251" s="37">
        <f>IF(AO251="1",BG251,0)</f>
        <v>0</v>
      </c>
      <c r="AB251" s="37">
        <f>IF(AO251="7",BF251,0)</f>
        <v>0</v>
      </c>
      <c r="AC251" s="37">
        <f>IF(AO251="7",BG251,0)</f>
        <v>0</v>
      </c>
      <c r="AD251" s="37">
        <f>IF(AO251="2",BF251,0)</f>
        <v>0</v>
      </c>
      <c r="AE251" s="37">
        <f>IF(AO251="2",BG251,0)</f>
        <v>0</v>
      </c>
      <c r="AF251" s="37">
        <f>IF(AO251="0",BH251,0)</f>
        <v>0</v>
      </c>
      <c r="AG251" s="23"/>
      <c r="AH251" s="37">
        <f>IF(AL251=0,H251,0)</f>
        <v>0</v>
      </c>
      <c r="AI251" s="37">
        <f>IF(AL251=15,H251,0)</f>
        <v>0</v>
      </c>
      <c r="AJ251" s="37">
        <f>IF(AL251=21,H251,0)</f>
        <v>0</v>
      </c>
      <c r="AL251" s="37">
        <v>21</v>
      </c>
      <c r="AM251" s="37">
        <f>G251*1</f>
        <v>0</v>
      </c>
      <c r="AN251" s="37">
        <f>G251*(1-1)</f>
        <v>0</v>
      </c>
      <c r="AO251" s="38" t="s">
        <v>90</v>
      </c>
      <c r="AT251" s="37">
        <f>AU251+AV251</f>
        <v>0</v>
      </c>
      <c r="AU251" s="37">
        <f>F251*AM251</f>
        <v>0</v>
      </c>
      <c r="AV251" s="37">
        <f>F251*AN251</f>
        <v>0</v>
      </c>
      <c r="AW251" s="38" t="s">
        <v>475</v>
      </c>
      <c r="AX251" s="38" t="s">
        <v>358</v>
      </c>
      <c r="AY251" s="23" t="s">
        <v>97</v>
      </c>
      <c r="BA251" s="37">
        <f>AU251+AV251</f>
        <v>0</v>
      </c>
      <c r="BB251" s="37">
        <f>G251/(100-BC251)*100</f>
        <v>0</v>
      </c>
      <c r="BC251" s="37">
        <v>0</v>
      </c>
      <c r="BD251" s="37">
        <f>J251</f>
        <v>2.2375</v>
      </c>
      <c r="BF251" s="37">
        <f>F251*AM251</f>
        <v>0</v>
      </c>
      <c r="BG251" s="37">
        <f>F251*AN251</f>
        <v>0</v>
      </c>
      <c r="BH251" s="37">
        <f>F251*G251</f>
        <v>0</v>
      </c>
    </row>
    <row r="252" spans="1:11" ht="12.75">
      <c r="A252" s="39"/>
      <c r="B252" s="40"/>
      <c r="C252" s="40"/>
      <c r="D252" s="41" t="s">
        <v>480</v>
      </c>
      <c r="E252" s="40"/>
      <c r="F252" s="42">
        <v>125</v>
      </c>
      <c r="G252" s="40"/>
      <c r="H252" s="40"/>
      <c r="I252" s="43"/>
      <c r="J252" s="43"/>
      <c r="K252" s="40"/>
    </row>
    <row r="253" spans="1:45" ht="12.75">
      <c r="A253" s="24"/>
      <c r="B253" s="25"/>
      <c r="C253" s="25" t="s">
        <v>374</v>
      </c>
      <c r="D253" s="26" t="s">
        <v>481</v>
      </c>
      <c r="E253" s="24" t="s">
        <v>54</v>
      </c>
      <c r="F253" s="24" t="s">
        <v>54</v>
      </c>
      <c r="G253" s="24" t="s">
        <v>54</v>
      </c>
      <c r="H253" s="27">
        <f>SUM(H254:H256)</f>
        <v>0</v>
      </c>
      <c r="I253" s="28"/>
      <c r="J253" s="28">
        <f>SUM(J254:J256)</f>
        <v>81.23592000000001</v>
      </c>
      <c r="K253" s="29"/>
      <c r="AG253" s="23"/>
      <c r="AQ253" s="31">
        <f>SUM(AH254:AH256)</f>
        <v>0</v>
      </c>
      <c r="AR253" s="31">
        <f>SUM(AI254:AI256)</f>
        <v>0</v>
      </c>
      <c r="AS253" s="31">
        <f>SUM(AJ254:AJ256)</f>
        <v>0</v>
      </c>
    </row>
    <row r="254" spans="1:60" ht="12.75">
      <c r="A254" s="16" t="s">
        <v>482</v>
      </c>
      <c r="B254" s="16"/>
      <c r="C254" s="16" t="s">
        <v>483</v>
      </c>
      <c r="D254" s="32" t="s">
        <v>484</v>
      </c>
      <c r="E254" s="16" t="s">
        <v>192</v>
      </c>
      <c r="F254" s="33">
        <v>177</v>
      </c>
      <c r="G254" s="422"/>
      <c r="H254" s="34">
        <f>F254*G254</f>
        <v>0</v>
      </c>
      <c r="I254" s="35">
        <v>0.378</v>
      </c>
      <c r="J254" s="35">
        <f>F254*I254</f>
        <v>66.906</v>
      </c>
      <c r="K254" s="36" t="s">
        <v>94</v>
      </c>
      <c r="X254" s="37">
        <f>IF(AO254="5",BH254,0)</f>
        <v>0</v>
      </c>
      <c r="Z254" s="37">
        <f>IF(AO254="1",BF254,0)</f>
        <v>0</v>
      </c>
      <c r="AA254" s="37">
        <f>IF(AO254="1",BG254,0)</f>
        <v>0</v>
      </c>
      <c r="AB254" s="37">
        <f>IF(AO254="7",BF254,0)</f>
        <v>0</v>
      </c>
      <c r="AC254" s="37">
        <f>IF(AO254="7",BG254,0)</f>
        <v>0</v>
      </c>
      <c r="AD254" s="37">
        <f>IF(AO254="2",BF254,0)</f>
        <v>0</v>
      </c>
      <c r="AE254" s="37">
        <f>IF(AO254="2",BG254,0)</f>
        <v>0</v>
      </c>
      <c r="AF254" s="37">
        <f>IF(AO254="0",BH254,0)</f>
        <v>0</v>
      </c>
      <c r="AG254" s="23"/>
      <c r="AH254" s="37">
        <f>IF(AL254=0,H254,0)</f>
        <v>0</v>
      </c>
      <c r="AI254" s="37">
        <f>IF(AL254=15,H254,0)</f>
        <v>0</v>
      </c>
      <c r="AJ254" s="37">
        <f>IF(AL254=21,H254,0)</f>
        <v>0</v>
      </c>
      <c r="AL254" s="37">
        <v>21</v>
      </c>
      <c r="AM254" s="37">
        <f>G254*0.863288409703504</f>
        <v>0</v>
      </c>
      <c r="AN254" s="37">
        <f>G254*(1-0.863288409703504)</f>
        <v>0</v>
      </c>
      <c r="AO254" s="38" t="s">
        <v>90</v>
      </c>
      <c r="AT254" s="37">
        <f>AU254+AV254</f>
        <v>0</v>
      </c>
      <c r="AU254" s="37">
        <f>F254*AM254</f>
        <v>0</v>
      </c>
      <c r="AV254" s="37">
        <f>F254*AN254</f>
        <v>0</v>
      </c>
      <c r="AW254" s="38" t="s">
        <v>485</v>
      </c>
      <c r="AX254" s="38" t="s">
        <v>486</v>
      </c>
      <c r="AY254" s="23" t="s">
        <v>97</v>
      </c>
      <c r="BA254" s="37">
        <f>AU254+AV254</f>
        <v>0</v>
      </c>
      <c r="BB254" s="37">
        <f>G254/(100-BC254)*100</f>
        <v>0</v>
      </c>
      <c r="BC254" s="37">
        <v>0</v>
      </c>
      <c r="BD254" s="37">
        <f>J254</f>
        <v>66.906</v>
      </c>
      <c r="BF254" s="37">
        <f>F254*AM254</f>
        <v>0</v>
      </c>
      <c r="BG254" s="37">
        <f>F254*AN254</f>
        <v>0</v>
      </c>
      <c r="BH254" s="37">
        <f>F254*G254</f>
        <v>0</v>
      </c>
    </row>
    <row r="255" spans="1:11" ht="12.75">
      <c r="A255" s="39"/>
      <c r="B255" s="40"/>
      <c r="C255" s="40"/>
      <c r="D255" s="41" t="s">
        <v>487</v>
      </c>
      <c r="E255" s="40"/>
      <c r="F255" s="42">
        <v>177</v>
      </c>
      <c r="G255" s="40"/>
      <c r="H255" s="40"/>
      <c r="I255" s="43"/>
      <c r="J255" s="43"/>
      <c r="K255" s="40"/>
    </row>
    <row r="256" spans="1:60" ht="12.75">
      <c r="A256" s="16" t="s">
        <v>488</v>
      </c>
      <c r="B256" s="16"/>
      <c r="C256" s="16" t="s">
        <v>489</v>
      </c>
      <c r="D256" s="32" t="s">
        <v>490</v>
      </c>
      <c r="E256" s="16" t="s">
        <v>192</v>
      </c>
      <c r="F256" s="33">
        <v>177</v>
      </c>
      <c r="G256" s="422"/>
      <c r="H256" s="34">
        <f>F256*G256</f>
        <v>0</v>
      </c>
      <c r="I256" s="35">
        <v>0.08096</v>
      </c>
      <c r="J256" s="35">
        <f>F256*I256</f>
        <v>14.329920000000001</v>
      </c>
      <c r="K256" s="36" t="s">
        <v>94</v>
      </c>
      <c r="X256" s="37">
        <f>IF(AO256="5",BH256,0)</f>
        <v>0</v>
      </c>
      <c r="Z256" s="37">
        <f>IF(AO256="1",BF256,0)</f>
        <v>0</v>
      </c>
      <c r="AA256" s="37">
        <f>IF(AO256="1",BG256,0)</f>
        <v>0</v>
      </c>
      <c r="AB256" s="37">
        <f>IF(AO256="7",BF256,0)</f>
        <v>0</v>
      </c>
      <c r="AC256" s="37">
        <f>IF(AO256="7",BG256,0)</f>
        <v>0</v>
      </c>
      <c r="AD256" s="37">
        <f>IF(AO256="2",BF256,0)</f>
        <v>0</v>
      </c>
      <c r="AE256" s="37">
        <f>IF(AO256="2",BG256,0)</f>
        <v>0</v>
      </c>
      <c r="AF256" s="37">
        <f>IF(AO256="0",BH256,0)</f>
        <v>0</v>
      </c>
      <c r="AG256" s="23"/>
      <c r="AH256" s="37">
        <f>IF(AL256=0,H256,0)</f>
        <v>0</v>
      </c>
      <c r="AI256" s="37">
        <f>IF(AL256=15,H256,0)</f>
        <v>0</v>
      </c>
      <c r="AJ256" s="37">
        <f>IF(AL256=21,H256,0)</f>
        <v>0</v>
      </c>
      <c r="AL256" s="37">
        <v>21</v>
      </c>
      <c r="AM256" s="37">
        <f>G256*0.679733333333333</f>
        <v>0</v>
      </c>
      <c r="AN256" s="37">
        <f>G256*(1-0.679733333333333)</f>
        <v>0</v>
      </c>
      <c r="AO256" s="38" t="s">
        <v>90</v>
      </c>
      <c r="AT256" s="37">
        <f>AU256+AV256</f>
        <v>0</v>
      </c>
      <c r="AU256" s="37">
        <f>F256*AM256</f>
        <v>0</v>
      </c>
      <c r="AV256" s="37">
        <f>F256*AN256</f>
        <v>0</v>
      </c>
      <c r="AW256" s="38" t="s">
        <v>485</v>
      </c>
      <c r="AX256" s="38" t="s">
        <v>486</v>
      </c>
      <c r="AY256" s="23" t="s">
        <v>97</v>
      </c>
      <c r="BA256" s="37">
        <f>AU256+AV256</f>
        <v>0</v>
      </c>
      <c r="BB256" s="37">
        <f>G256/(100-BC256)*100</f>
        <v>0</v>
      </c>
      <c r="BC256" s="37">
        <v>0</v>
      </c>
      <c r="BD256" s="37">
        <f>J256</f>
        <v>14.329920000000001</v>
      </c>
      <c r="BF256" s="37">
        <f>F256*AM256</f>
        <v>0</v>
      </c>
      <c r="BG256" s="37">
        <f>F256*AN256</f>
        <v>0</v>
      </c>
      <c r="BH256" s="37">
        <f>F256*G256</f>
        <v>0</v>
      </c>
    </row>
    <row r="257" spans="1:11" ht="12.75">
      <c r="A257" s="39"/>
      <c r="B257" s="40"/>
      <c r="C257" s="40"/>
      <c r="D257" s="41" t="s">
        <v>487</v>
      </c>
      <c r="E257" s="40"/>
      <c r="F257" s="42">
        <v>177</v>
      </c>
      <c r="G257" s="40"/>
      <c r="H257" s="40"/>
      <c r="I257" s="43"/>
      <c r="J257" s="43"/>
      <c r="K257" s="40"/>
    </row>
    <row r="258" spans="1:45" ht="25.5">
      <c r="A258" s="24"/>
      <c r="B258" s="25"/>
      <c r="C258" s="25" t="s">
        <v>382</v>
      </c>
      <c r="D258" s="26" t="s">
        <v>491</v>
      </c>
      <c r="E258" s="24" t="s">
        <v>54</v>
      </c>
      <c r="F258" s="24" t="s">
        <v>54</v>
      </c>
      <c r="G258" s="24" t="s">
        <v>54</v>
      </c>
      <c r="H258" s="27">
        <f>SUM(H259:H265)</f>
        <v>0</v>
      </c>
      <c r="I258" s="28"/>
      <c r="J258" s="28">
        <f>SUM(J259:J265)</f>
        <v>224.031725</v>
      </c>
      <c r="K258" s="29"/>
      <c r="AG258" s="23"/>
      <c r="AQ258" s="31">
        <f>SUM(AH259:AH265)</f>
        <v>0</v>
      </c>
      <c r="AR258" s="31">
        <f>SUM(AI259:AI265)</f>
        <v>0</v>
      </c>
      <c r="AS258" s="31">
        <f>SUM(AJ259:AJ265)</f>
        <v>0</v>
      </c>
    </row>
    <row r="259" spans="1:60" ht="12.75">
      <c r="A259" s="44" t="s">
        <v>492</v>
      </c>
      <c r="B259" s="16"/>
      <c r="C259" s="16" t="s">
        <v>493</v>
      </c>
      <c r="D259" s="32" t="s">
        <v>494</v>
      </c>
      <c r="E259" s="16" t="s">
        <v>192</v>
      </c>
      <c r="F259" s="33">
        <v>699.72</v>
      </c>
      <c r="G259" s="422"/>
      <c r="H259" s="34">
        <f>F259*G259</f>
        <v>0</v>
      </c>
      <c r="I259" s="48">
        <v>0.03674</v>
      </c>
      <c r="J259" s="48">
        <f>F259*I259</f>
        <v>25.707712800000003</v>
      </c>
      <c r="K259" s="49" t="s">
        <v>94</v>
      </c>
      <c r="N259" t="s">
        <v>2524</v>
      </c>
      <c r="X259" s="37">
        <f>IF(AO259="5",BH259,0)</f>
        <v>0</v>
      </c>
      <c r="Z259" s="37">
        <f>IF(AO259="1",BF259,0)</f>
        <v>0</v>
      </c>
      <c r="AA259" s="37">
        <f>IF(AO259="1",BG259,0)</f>
        <v>0</v>
      </c>
      <c r="AB259" s="37">
        <f>IF(AO259="7",BF259,0)</f>
        <v>0</v>
      </c>
      <c r="AC259" s="37">
        <f>IF(AO259="7",BG259,0)</f>
        <v>0</v>
      </c>
      <c r="AD259" s="37">
        <f>IF(AO259="2",BF259,0)</f>
        <v>0</v>
      </c>
      <c r="AE259" s="37">
        <f>IF(AO259="2",BG259,0)</f>
        <v>0</v>
      </c>
      <c r="AF259" s="37">
        <f>IF(AO259="0",BH259,0)</f>
        <v>0</v>
      </c>
      <c r="AG259" s="23"/>
      <c r="AH259" s="37">
        <f>IF(AL259=0,H259,0)</f>
        <v>0</v>
      </c>
      <c r="AI259" s="37">
        <f>IF(AL259=15,H259,0)</f>
        <v>0</v>
      </c>
      <c r="AJ259" s="37">
        <f>IF(AL259=21,H259,0)</f>
        <v>0</v>
      </c>
      <c r="AL259" s="37">
        <v>21</v>
      </c>
      <c r="AM259" s="37">
        <f>G259*0.929227895392279</f>
        <v>0</v>
      </c>
      <c r="AN259" s="37">
        <f>G259*(1-0.929227895392279)</f>
        <v>0</v>
      </c>
      <c r="AO259" s="38" t="s">
        <v>90</v>
      </c>
      <c r="AT259" s="37">
        <f>AU259+AV259</f>
        <v>0</v>
      </c>
      <c r="AU259" s="37">
        <f>F259*AM259</f>
        <v>0</v>
      </c>
      <c r="AV259" s="37">
        <f>F259*AN259</f>
        <v>0</v>
      </c>
      <c r="AW259" s="38" t="s">
        <v>495</v>
      </c>
      <c r="AX259" s="38" t="s">
        <v>486</v>
      </c>
      <c r="AY259" s="23" t="s">
        <v>97</v>
      </c>
      <c r="BA259" s="37">
        <f>AU259+AV259</f>
        <v>0</v>
      </c>
      <c r="BB259" s="37">
        <f>G259/(100-BC259)*100</f>
        <v>0</v>
      </c>
      <c r="BC259" s="37">
        <v>0</v>
      </c>
      <c r="BD259" s="37">
        <f>J259</f>
        <v>25.707712800000003</v>
      </c>
      <c r="BF259" s="37">
        <f>F259*AM259</f>
        <v>0</v>
      </c>
      <c r="BG259" s="37">
        <f>F259*AN259</f>
        <v>0</v>
      </c>
      <c r="BH259" s="37">
        <f>F259*G259</f>
        <v>0</v>
      </c>
    </row>
    <row r="260" spans="1:11" ht="12.75">
      <c r="A260" s="50"/>
      <c r="B260" s="55"/>
      <c r="C260" s="55"/>
      <c r="D260" s="41" t="s">
        <v>208</v>
      </c>
      <c r="E260" s="55"/>
      <c r="F260" s="42">
        <v>699.72</v>
      </c>
      <c r="G260" s="55"/>
      <c r="H260" s="55"/>
      <c r="I260" s="54"/>
      <c r="J260" s="54"/>
      <c r="K260" s="51"/>
    </row>
    <row r="261" spans="1:60" ht="12.75">
      <c r="A261" s="16" t="s">
        <v>496</v>
      </c>
      <c r="B261" s="16"/>
      <c r="C261" s="16" t="s">
        <v>497</v>
      </c>
      <c r="D261" s="32" t="s">
        <v>498</v>
      </c>
      <c r="E261" s="16" t="s">
        <v>192</v>
      </c>
      <c r="F261" s="33">
        <v>699.72</v>
      </c>
      <c r="G261" s="422"/>
      <c r="H261" s="34">
        <f>F261*G261</f>
        <v>0</v>
      </c>
      <c r="I261" s="35">
        <v>0</v>
      </c>
      <c r="J261" s="35">
        <f>F261*I261</f>
        <v>0</v>
      </c>
      <c r="K261" s="36" t="s">
        <v>94</v>
      </c>
      <c r="X261" s="37">
        <f>IF(AO261="5",BH261,0)</f>
        <v>0</v>
      </c>
      <c r="Z261" s="37">
        <f>IF(AO261="1",BF261,0)</f>
        <v>0</v>
      </c>
      <c r="AA261" s="37">
        <f>IF(AO261="1",BG261,0)</f>
        <v>0</v>
      </c>
      <c r="AB261" s="37">
        <f>IF(AO261="7",BF261,0)</f>
        <v>0</v>
      </c>
      <c r="AC261" s="37">
        <f>IF(AO261="7",BG261,0)</f>
        <v>0</v>
      </c>
      <c r="AD261" s="37">
        <f>IF(AO261="2",BF261,0)</f>
        <v>0</v>
      </c>
      <c r="AE261" s="37">
        <f>IF(AO261="2",BG261,0)</f>
        <v>0</v>
      </c>
      <c r="AF261" s="37">
        <f>IF(AO261="0",BH261,0)</f>
        <v>0</v>
      </c>
      <c r="AG261" s="23"/>
      <c r="AH261" s="37">
        <f>IF(AL261=0,H261,0)</f>
        <v>0</v>
      </c>
      <c r="AI261" s="37">
        <f>IF(AL261=15,H261,0)</f>
        <v>0</v>
      </c>
      <c r="AJ261" s="37">
        <f>IF(AL261=21,H261,0)</f>
        <v>0</v>
      </c>
      <c r="AL261" s="37">
        <v>21</v>
      </c>
      <c r="AM261" s="37">
        <f>G261*0.821357884327522</f>
        <v>0</v>
      </c>
      <c r="AN261" s="37">
        <f>G261*(1-0.821357884327522)</f>
        <v>0</v>
      </c>
      <c r="AO261" s="38" t="s">
        <v>90</v>
      </c>
      <c r="AT261" s="37">
        <f>AU261+AV261</f>
        <v>0</v>
      </c>
      <c r="AU261" s="37">
        <f>F261*AM261</f>
        <v>0</v>
      </c>
      <c r="AV261" s="37">
        <f>F261*AN261</f>
        <v>0</v>
      </c>
      <c r="AW261" s="38" t="s">
        <v>495</v>
      </c>
      <c r="AX261" s="38" t="s">
        <v>486</v>
      </c>
      <c r="AY261" s="23" t="s">
        <v>97</v>
      </c>
      <c r="BA261" s="37">
        <f>AU261+AV261</f>
        <v>0</v>
      </c>
      <c r="BB261" s="37">
        <f>G261/(100-BC261)*100</f>
        <v>0</v>
      </c>
      <c r="BC261" s="37">
        <v>0</v>
      </c>
      <c r="BD261" s="37">
        <f>J261</f>
        <v>0</v>
      </c>
      <c r="BF261" s="37">
        <f>F261*AM261</f>
        <v>0</v>
      </c>
      <c r="BG261" s="37">
        <f>F261*AN261</f>
        <v>0</v>
      </c>
      <c r="BH261" s="37">
        <f>F261*G261</f>
        <v>0</v>
      </c>
    </row>
    <row r="262" spans="1:11" ht="12.75">
      <c r="A262" s="39"/>
      <c r="B262" s="40"/>
      <c r="C262" s="40"/>
      <c r="D262" s="41" t="s">
        <v>208</v>
      </c>
      <c r="E262" s="40"/>
      <c r="F262" s="42">
        <v>699.72</v>
      </c>
      <c r="G262" s="40"/>
      <c r="H262" s="40"/>
      <c r="I262" s="43"/>
      <c r="J262" s="43"/>
      <c r="K262" s="40"/>
    </row>
    <row r="263" spans="1:60" ht="12.75">
      <c r="A263" s="16" t="s">
        <v>499</v>
      </c>
      <c r="B263" s="16"/>
      <c r="C263" s="16" t="s">
        <v>500</v>
      </c>
      <c r="D263" s="32" t="s">
        <v>501</v>
      </c>
      <c r="E263" s="16" t="s">
        <v>395</v>
      </c>
      <c r="F263" s="33">
        <v>442.01</v>
      </c>
      <c r="G263" s="422"/>
      <c r="H263" s="34">
        <f>F263*G263</f>
        <v>0</v>
      </c>
      <c r="I263" s="35">
        <v>2E-05</v>
      </c>
      <c r="J263" s="35">
        <f>F263*I263</f>
        <v>0.008840200000000001</v>
      </c>
      <c r="K263" s="36" t="s">
        <v>94</v>
      </c>
      <c r="X263" s="37">
        <f>IF(AO263="5",BH263,0)</f>
        <v>0</v>
      </c>
      <c r="Z263" s="37">
        <f>IF(AO263="1",BF263,0)</f>
        <v>0</v>
      </c>
      <c r="AA263" s="37">
        <f>IF(AO263="1",BG263,0)</f>
        <v>0</v>
      </c>
      <c r="AB263" s="37">
        <f>IF(AO263="7",BF263,0)</f>
        <v>0</v>
      </c>
      <c r="AC263" s="37">
        <f>IF(AO263="7",BG263,0)</f>
        <v>0</v>
      </c>
      <c r="AD263" s="37">
        <f>IF(AO263="2",BF263,0)</f>
        <v>0</v>
      </c>
      <c r="AE263" s="37">
        <f>IF(AO263="2",BG263,0)</f>
        <v>0</v>
      </c>
      <c r="AF263" s="37">
        <f>IF(AO263="0",BH263,0)</f>
        <v>0</v>
      </c>
      <c r="AG263" s="23"/>
      <c r="AH263" s="37">
        <f>IF(AL263=0,H263,0)</f>
        <v>0</v>
      </c>
      <c r="AI263" s="37">
        <f>IF(AL263=15,H263,0)</f>
        <v>0</v>
      </c>
      <c r="AJ263" s="37">
        <f>IF(AL263=21,H263,0)</f>
        <v>0</v>
      </c>
      <c r="AL263" s="37">
        <v>21</v>
      </c>
      <c r="AM263" s="37">
        <f>G263*0.304903448282817</f>
        <v>0</v>
      </c>
      <c r="AN263" s="37">
        <f>G263*(1-0.304903448282817)</f>
        <v>0</v>
      </c>
      <c r="AO263" s="38" t="s">
        <v>90</v>
      </c>
      <c r="AT263" s="37">
        <f>AU263+AV263</f>
        <v>0</v>
      </c>
      <c r="AU263" s="37">
        <f>F263*AM263</f>
        <v>0</v>
      </c>
      <c r="AV263" s="37">
        <f>F263*AN263</f>
        <v>0</v>
      </c>
      <c r="AW263" s="38" t="s">
        <v>495</v>
      </c>
      <c r="AX263" s="38" t="s">
        <v>486</v>
      </c>
      <c r="AY263" s="23" t="s">
        <v>97</v>
      </c>
      <c r="BA263" s="37">
        <f>AU263+AV263</f>
        <v>0</v>
      </c>
      <c r="BB263" s="37">
        <f>G263/(100-BC263)*100</f>
        <v>0</v>
      </c>
      <c r="BC263" s="37">
        <v>0</v>
      </c>
      <c r="BD263" s="37">
        <f>J263</f>
        <v>0.008840200000000001</v>
      </c>
      <c r="BF263" s="37">
        <f>F263*AM263</f>
        <v>0</v>
      </c>
      <c r="BG263" s="37">
        <f>F263*AN263</f>
        <v>0</v>
      </c>
      <c r="BH263" s="37">
        <f>F263*G263</f>
        <v>0</v>
      </c>
    </row>
    <row r="264" spans="1:11" ht="12.75">
      <c r="A264" s="39"/>
      <c r="B264" s="40"/>
      <c r="C264" s="40"/>
      <c r="D264" s="41" t="s">
        <v>502</v>
      </c>
      <c r="E264" s="40"/>
      <c r="F264" s="42">
        <v>442.01</v>
      </c>
      <c r="G264" s="40"/>
      <c r="H264" s="40"/>
      <c r="I264" s="43"/>
      <c r="J264" s="43"/>
      <c r="K264" s="40"/>
    </row>
    <row r="265" spans="1:60" ht="25.5">
      <c r="A265" s="44" t="s">
        <v>503</v>
      </c>
      <c r="B265" s="16"/>
      <c r="C265" s="16" t="s">
        <v>504</v>
      </c>
      <c r="D265" s="32" t="s">
        <v>505</v>
      </c>
      <c r="E265" s="16" t="s">
        <v>192</v>
      </c>
      <c r="F265" s="33">
        <v>367.4</v>
      </c>
      <c r="G265" s="422"/>
      <c r="H265" s="34">
        <f>F265*G265</f>
        <v>0</v>
      </c>
      <c r="I265" s="48">
        <v>0.53978</v>
      </c>
      <c r="J265" s="48">
        <f>F265*I265</f>
        <v>198.315172</v>
      </c>
      <c r="K265" s="49" t="s">
        <v>226</v>
      </c>
      <c r="X265" s="37">
        <f>IF(AO265="5",BH265,0)</f>
        <v>0</v>
      </c>
      <c r="Z265" s="37">
        <f>IF(AO265="1",BF265,0)</f>
        <v>0</v>
      </c>
      <c r="AA265" s="37">
        <f>IF(AO265="1",BG265,0)</f>
        <v>0</v>
      </c>
      <c r="AB265" s="37">
        <f>IF(AO265="7",BF265,0)</f>
        <v>0</v>
      </c>
      <c r="AC265" s="37">
        <f>IF(AO265="7",BG265,0)</f>
        <v>0</v>
      </c>
      <c r="AD265" s="37">
        <f>IF(AO265="2",BF265,0)</f>
        <v>0</v>
      </c>
      <c r="AE265" s="37">
        <f>IF(AO265="2",BG265,0)</f>
        <v>0</v>
      </c>
      <c r="AF265" s="37">
        <f>IF(AO265="0",BH265,0)</f>
        <v>0</v>
      </c>
      <c r="AG265" s="23"/>
      <c r="AH265" s="37">
        <f>IF(AL265=0,H265,0)</f>
        <v>0</v>
      </c>
      <c r="AI265" s="37">
        <f>IF(AL265=15,H265,0)</f>
        <v>0</v>
      </c>
      <c r="AJ265" s="37">
        <f>IF(AL265=21,H265,0)</f>
        <v>0</v>
      </c>
      <c r="AL265" s="37">
        <v>21</v>
      </c>
      <c r="AM265" s="37">
        <f>G265*0.751333333333333</f>
        <v>0</v>
      </c>
      <c r="AN265" s="37">
        <f>G265*(1-0.751333333333333)</f>
        <v>0</v>
      </c>
      <c r="AO265" s="38" t="s">
        <v>90</v>
      </c>
      <c r="AT265" s="37">
        <f>AU265+AV265</f>
        <v>0</v>
      </c>
      <c r="AU265" s="37">
        <f>F265*AM265</f>
        <v>0</v>
      </c>
      <c r="AV265" s="37">
        <f>F265*AN265</f>
        <v>0</v>
      </c>
      <c r="AW265" s="38" t="s">
        <v>495</v>
      </c>
      <c r="AX265" s="38" t="s">
        <v>486</v>
      </c>
      <c r="AY265" s="23" t="s">
        <v>97</v>
      </c>
      <c r="BA265" s="37">
        <f>AU265+AV265</f>
        <v>0</v>
      </c>
      <c r="BB265" s="37">
        <f>G265/(100-BC265)*100</f>
        <v>0</v>
      </c>
      <c r="BC265" s="37">
        <v>0</v>
      </c>
      <c r="BD265" s="37">
        <f>J265</f>
        <v>198.315172</v>
      </c>
      <c r="BF265" s="37">
        <f>F265*AM265</f>
        <v>0</v>
      </c>
      <c r="BG265" s="37">
        <f>F265*AN265</f>
        <v>0</v>
      </c>
      <c r="BH265" s="37">
        <f>F265*G265</f>
        <v>0</v>
      </c>
    </row>
    <row r="266" spans="1:11" ht="12.75">
      <c r="A266" s="50"/>
      <c r="B266" s="55"/>
      <c r="C266" s="55"/>
      <c r="D266" s="41" t="s">
        <v>506</v>
      </c>
      <c r="E266" s="55"/>
      <c r="F266" s="42">
        <v>367.4</v>
      </c>
      <c r="G266" s="55"/>
      <c r="H266" s="55"/>
      <c r="I266" s="54"/>
      <c r="J266" s="54"/>
      <c r="K266" s="51"/>
    </row>
    <row r="267" spans="1:45" ht="25.5">
      <c r="A267" s="24"/>
      <c r="B267" s="25"/>
      <c r="C267" s="25" t="s">
        <v>388</v>
      </c>
      <c r="D267" s="26" t="s">
        <v>507</v>
      </c>
      <c r="E267" s="24" t="s">
        <v>54</v>
      </c>
      <c r="F267" s="24" t="s">
        <v>54</v>
      </c>
      <c r="G267" s="24" t="s">
        <v>54</v>
      </c>
      <c r="H267" s="27">
        <f>SUM(H268:H270)</f>
        <v>0</v>
      </c>
      <c r="I267" s="28"/>
      <c r="J267" s="28">
        <f>SUM(J268:J270)</f>
        <v>0.69075</v>
      </c>
      <c r="K267" s="29"/>
      <c r="AG267" s="23"/>
      <c r="AQ267" s="31">
        <f>SUM(AH268:AH270)</f>
        <v>0</v>
      </c>
      <c r="AR267" s="31">
        <f>SUM(AI268:AI270)</f>
        <v>0</v>
      </c>
      <c r="AS267" s="31">
        <f>SUM(AJ268:AJ270)</f>
        <v>0</v>
      </c>
    </row>
    <row r="268" spans="1:60" ht="12.75">
      <c r="A268" s="16" t="s">
        <v>508</v>
      </c>
      <c r="B268" s="16"/>
      <c r="C268" s="16" t="s">
        <v>509</v>
      </c>
      <c r="D268" s="32" t="s">
        <v>510</v>
      </c>
      <c r="E268" s="16" t="s">
        <v>192</v>
      </c>
      <c r="F268" s="33">
        <v>2.5</v>
      </c>
      <c r="G268" s="422"/>
      <c r="H268" s="34">
        <f>F268*G268</f>
        <v>0</v>
      </c>
      <c r="I268" s="35">
        <v>0.0739</v>
      </c>
      <c r="J268" s="35">
        <f>F268*I268</f>
        <v>0.18474999999999997</v>
      </c>
      <c r="K268" s="36" t="s">
        <v>94</v>
      </c>
      <c r="X268" s="37">
        <f>IF(AO268="5",BH268,0)</f>
        <v>0</v>
      </c>
      <c r="Z268" s="37">
        <f>IF(AO268="1",BF268,0)</f>
        <v>0</v>
      </c>
      <c r="AA268" s="37">
        <f>IF(AO268="1",BG268,0)</f>
        <v>0</v>
      </c>
      <c r="AB268" s="37">
        <f>IF(AO268="7",BF268,0)</f>
        <v>0</v>
      </c>
      <c r="AC268" s="37">
        <f>IF(AO268="7",BG268,0)</f>
        <v>0</v>
      </c>
      <c r="AD268" s="37">
        <f>IF(AO268="2",BF268,0)</f>
        <v>0</v>
      </c>
      <c r="AE268" s="37">
        <f>IF(AO268="2",BG268,0)</f>
        <v>0</v>
      </c>
      <c r="AF268" s="37">
        <f>IF(AO268="0",BH268,0)</f>
        <v>0</v>
      </c>
      <c r="AG268" s="23"/>
      <c r="AH268" s="37">
        <f>IF(AL268=0,H268,0)</f>
        <v>0</v>
      </c>
      <c r="AI268" s="37">
        <f>IF(AL268=15,H268,0)</f>
        <v>0</v>
      </c>
      <c r="AJ268" s="37">
        <f>IF(AL268=21,H268,0)</f>
        <v>0</v>
      </c>
      <c r="AL268" s="37">
        <v>21</v>
      </c>
      <c r="AM268" s="37">
        <f>G268*0.148066914498141</f>
        <v>0</v>
      </c>
      <c r="AN268" s="37">
        <f>G268*(1-0.148066914498141)</f>
        <v>0</v>
      </c>
      <c r="AO268" s="38" t="s">
        <v>90</v>
      </c>
      <c r="AT268" s="37">
        <f>AU268+AV268</f>
        <v>0</v>
      </c>
      <c r="AU268" s="37">
        <f>F268*AM268</f>
        <v>0</v>
      </c>
      <c r="AV268" s="37">
        <f>F268*AN268</f>
        <v>0</v>
      </c>
      <c r="AW268" s="38" t="s">
        <v>511</v>
      </c>
      <c r="AX268" s="38" t="s">
        <v>486</v>
      </c>
      <c r="AY268" s="23" t="s">
        <v>97</v>
      </c>
      <c r="BA268" s="37">
        <f>AU268+AV268</f>
        <v>0</v>
      </c>
      <c r="BB268" s="37">
        <f>G268/(100-BC268)*100</f>
        <v>0</v>
      </c>
      <c r="BC268" s="37">
        <v>0</v>
      </c>
      <c r="BD268" s="37">
        <f>J268</f>
        <v>0.18474999999999997</v>
      </c>
      <c r="BF268" s="37">
        <f>F268*AM268</f>
        <v>0</v>
      </c>
      <c r="BG268" s="37">
        <f>F268*AN268</f>
        <v>0</v>
      </c>
      <c r="BH268" s="37">
        <f>F268*G268</f>
        <v>0</v>
      </c>
    </row>
    <row r="269" spans="1:11" ht="12.75">
      <c r="A269" s="39"/>
      <c r="B269" s="40"/>
      <c r="C269" s="40"/>
      <c r="D269" s="41" t="s">
        <v>512</v>
      </c>
      <c r="E269" s="40"/>
      <c r="F269" s="42">
        <v>2.5</v>
      </c>
      <c r="G269" s="40"/>
      <c r="H269" s="40"/>
      <c r="I269" s="43"/>
      <c r="J269" s="43"/>
      <c r="K269" s="40"/>
    </row>
    <row r="270" spans="1:60" ht="12.75">
      <c r="A270" s="16" t="s">
        <v>513</v>
      </c>
      <c r="B270" s="16"/>
      <c r="C270" s="16" t="s">
        <v>514</v>
      </c>
      <c r="D270" s="32" t="s">
        <v>515</v>
      </c>
      <c r="E270" s="16" t="s">
        <v>192</v>
      </c>
      <c r="F270" s="33">
        <v>2.875</v>
      </c>
      <c r="G270" s="422"/>
      <c r="H270" s="34">
        <f>F270*G270</f>
        <v>0</v>
      </c>
      <c r="I270" s="35">
        <v>0.176</v>
      </c>
      <c r="J270" s="35">
        <f>F270*I270</f>
        <v>0.506</v>
      </c>
      <c r="K270" s="36" t="s">
        <v>94</v>
      </c>
      <c r="X270" s="37">
        <f>IF(AO270="5",BH270,0)</f>
        <v>0</v>
      </c>
      <c r="Z270" s="37">
        <f>IF(AO270="1",BF270,0)</f>
        <v>0</v>
      </c>
      <c r="AA270" s="37">
        <f>IF(AO270="1",BG270,0)</f>
        <v>0</v>
      </c>
      <c r="AB270" s="37">
        <f>IF(AO270="7",BF270,0)</f>
        <v>0</v>
      </c>
      <c r="AC270" s="37">
        <f>IF(AO270="7",BG270,0)</f>
        <v>0</v>
      </c>
      <c r="AD270" s="37">
        <f>IF(AO270="2",BF270,0)</f>
        <v>0</v>
      </c>
      <c r="AE270" s="37">
        <f>IF(AO270="2",BG270,0)</f>
        <v>0</v>
      </c>
      <c r="AF270" s="37">
        <f>IF(AO270="0",BH270,0)</f>
        <v>0</v>
      </c>
      <c r="AG270" s="23"/>
      <c r="AH270" s="37">
        <f>IF(AL270=0,H270,0)</f>
        <v>0</v>
      </c>
      <c r="AI270" s="37">
        <f>IF(AL270=15,H270,0)</f>
        <v>0</v>
      </c>
      <c r="AJ270" s="37">
        <f>IF(AL270=21,H270,0)</f>
        <v>0</v>
      </c>
      <c r="AL270" s="37">
        <v>21</v>
      </c>
      <c r="AM270" s="37">
        <f>G270*1</f>
        <v>0</v>
      </c>
      <c r="AN270" s="37">
        <f>G270*(1-1)</f>
        <v>0</v>
      </c>
      <c r="AO270" s="38" t="s">
        <v>90</v>
      </c>
      <c r="AT270" s="37">
        <f>AU270+AV270</f>
        <v>0</v>
      </c>
      <c r="AU270" s="37">
        <f>F270*AM270</f>
        <v>0</v>
      </c>
      <c r="AV270" s="37">
        <f>F270*AN270</f>
        <v>0</v>
      </c>
      <c r="AW270" s="38" t="s">
        <v>511</v>
      </c>
      <c r="AX270" s="38" t="s">
        <v>486</v>
      </c>
      <c r="AY270" s="23" t="s">
        <v>97</v>
      </c>
      <c r="BA270" s="37">
        <f>AU270+AV270</f>
        <v>0</v>
      </c>
      <c r="BB270" s="37">
        <f>G270/(100-BC270)*100</f>
        <v>0</v>
      </c>
      <c r="BC270" s="37">
        <v>0</v>
      </c>
      <c r="BD270" s="37">
        <f>J270</f>
        <v>0.506</v>
      </c>
      <c r="BF270" s="37">
        <f>F270*AM270</f>
        <v>0</v>
      </c>
      <c r="BG270" s="37">
        <f>F270*AN270</f>
        <v>0</v>
      </c>
      <c r="BH270" s="37">
        <f>F270*G270</f>
        <v>0</v>
      </c>
    </row>
    <row r="271" spans="1:11" ht="12.75">
      <c r="A271" s="39"/>
      <c r="B271" s="40"/>
      <c r="C271" s="40"/>
      <c r="D271" s="41" t="s">
        <v>516</v>
      </c>
      <c r="E271" s="40"/>
      <c r="F271" s="42">
        <v>2.875</v>
      </c>
      <c r="G271" s="40"/>
      <c r="H271" s="40"/>
      <c r="I271" s="43"/>
      <c r="J271" s="43"/>
      <c r="K271" s="40"/>
    </row>
    <row r="272" spans="1:45" ht="12.75">
      <c r="A272" s="24"/>
      <c r="B272" s="25"/>
      <c r="C272" s="25" t="s">
        <v>399</v>
      </c>
      <c r="D272" s="26" t="s">
        <v>517</v>
      </c>
      <c r="E272" s="24" t="s">
        <v>54</v>
      </c>
      <c r="F272" s="24" t="s">
        <v>54</v>
      </c>
      <c r="G272" s="24" t="s">
        <v>54</v>
      </c>
      <c r="H272" s="27">
        <f>SUM(H273:H282)</f>
        <v>0</v>
      </c>
      <c r="I272" s="28"/>
      <c r="J272" s="28">
        <f>SUM(J273:J282)</f>
        <v>9.4942534</v>
      </c>
      <c r="K272" s="29"/>
      <c r="AG272" s="23"/>
      <c r="AQ272" s="31">
        <f>SUM(AH273:AH282)</f>
        <v>0</v>
      </c>
      <c r="AR272" s="31">
        <f>SUM(AI273:AI282)</f>
        <v>0</v>
      </c>
      <c r="AS272" s="31">
        <f>SUM(AJ273:AJ282)</f>
        <v>0</v>
      </c>
    </row>
    <row r="273" spans="1:60" ht="25.5">
      <c r="A273" s="16" t="s">
        <v>518</v>
      </c>
      <c r="B273" s="16"/>
      <c r="C273" s="16" t="s">
        <v>519</v>
      </c>
      <c r="D273" s="32" t="s">
        <v>520</v>
      </c>
      <c r="E273" s="16" t="s">
        <v>192</v>
      </c>
      <c r="F273" s="33">
        <v>439.251</v>
      </c>
      <c r="G273" s="422"/>
      <c r="H273" s="34">
        <f>F273*G273</f>
        <v>0</v>
      </c>
      <c r="I273" s="35">
        <v>0.007</v>
      </c>
      <c r="J273" s="35">
        <f>F273*I273</f>
        <v>3.074757</v>
      </c>
      <c r="K273" s="36" t="s">
        <v>94</v>
      </c>
      <c r="X273" s="37">
        <f>IF(AO273="5",BH273,0)</f>
        <v>0</v>
      </c>
      <c r="Z273" s="37">
        <f>IF(AO273="1",BF273,0)</f>
        <v>0</v>
      </c>
      <c r="AA273" s="37">
        <f>IF(AO273="1",BG273,0)</f>
        <v>0</v>
      </c>
      <c r="AB273" s="37">
        <f>IF(AO273="7",BF273,0)</f>
        <v>0</v>
      </c>
      <c r="AC273" s="37">
        <f>IF(AO273="7",BG273,0)</f>
        <v>0</v>
      </c>
      <c r="AD273" s="37">
        <f>IF(AO273="2",BF273,0)</f>
        <v>0</v>
      </c>
      <c r="AE273" s="37">
        <f>IF(AO273="2",BG273,0)</f>
        <v>0</v>
      </c>
      <c r="AF273" s="37">
        <f>IF(AO273="0",BH273,0)</f>
        <v>0</v>
      </c>
      <c r="AG273" s="23"/>
      <c r="AH273" s="37">
        <f>IF(AL273=0,H273,0)</f>
        <v>0</v>
      </c>
      <c r="AI273" s="37">
        <f>IF(AL273=15,H273,0)</f>
        <v>0</v>
      </c>
      <c r="AJ273" s="37">
        <f>IF(AL273=21,H273,0)</f>
        <v>0</v>
      </c>
      <c r="AL273" s="37">
        <v>21</v>
      </c>
      <c r="AM273" s="37">
        <f>G273*0.188363967774124</f>
        <v>0</v>
      </c>
      <c r="AN273" s="37">
        <f>G273*(1-0.188363967774124)</f>
        <v>0</v>
      </c>
      <c r="AO273" s="38" t="s">
        <v>90</v>
      </c>
      <c r="AT273" s="37">
        <f>AU273+AV273</f>
        <v>0</v>
      </c>
      <c r="AU273" s="37">
        <f>F273*AM273</f>
        <v>0</v>
      </c>
      <c r="AV273" s="37">
        <f>F273*AN273</f>
        <v>0</v>
      </c>
      <c r="AW273" s="38" t="s">
        <v>521</v>
      </c>
      <c r="AX273" s="38" t="s">
        <v>522</v>
      </c>
      <c r="AY273" s="23" t="s">
        <v>97</v>
      </c>
      <c r="BA273" s="37">
        <f>AU273+AV273</f>
        <v>0</v>
      </c>
      <c r="BB273" s="37">
        <f>G273/(100-BC273)*100</f>
        <v>0</v>
      </c>
      <c r="BC273" s="37">
        <v>0</v>
      </c>
      <c r="BD273" s="37">
        <f>J273</f>
        <v>3.074757</v>
      </c>
      <c r="BF273" s="37">
        <f>F273*AM273</f>
        <v>0</v>
      </c>
      <c r="BG273" s="37">
        <f>F273*AN273</f>
        <v>0</v>
      </c>
      <c r="BH273" s="37">
        <f>F273*G273</f>
        <v>0</v>
      </c>
    </row>
    <row r="274" spans="1:11" ht="12.75">
      <c r="A274" s="39"/>
      <c r="B274" s="40"/>
      <c r="C274" s="40"/>
      <c r="D274" s="41" t="s">
        <v>523</v>
      </c>
      <c r="E274" s="40"/>
      <c r="F274" s="42">
        <v>408.899</v>
      </c>
      <c r="G274" s="40"/>
      <c r="H274" s="40"/>
      <c r="I274" s="43"/>
      <c r="J274" s="43"/>
      <c r="K274" s="40"/>
    </row>
    <row r="275" spans="1:11" ht="12.75">
      <c r="A275" s="39"/>
      <c r="B275" s="40"/>
      <c r="C275" s="40"/>
      <c r="D275" s="41" t="s">
        <v>524</v>
      </c>
      <c r="E275" s="40"/>
      <c r="F275" s="42">
        <v>30.352</v>
      </c>
      <c r="G275" s="40"/>
      <c r="H275" s="40"/>
      <c r="I275" s="43"/>
      <c r="J275" s="43"/>
      <c r="K275" s="40"/>
    </row>
    <row r="276" spans="1:60" ht="12.75">
      <c r="A276" s="16" t="s">
        <v>525</v>
      </c>
      <c r="B276" s="16"/>
      <c r="C276" s="16" t="s">
        <v>526</v>
      </c>
      <c r="D276" s="32" t="s">
        <v>527</v>
      </c>
      <c r="E276" s="16" t="s">
        <v>192</v>
      </c>
      <c r="F276" s="33">
        <v>725.56</v>
      </c>
      <c r="G276" s="422"/>
      <c r="H276" s="34">
        <f>F276*G276</f>
        <v>0</v>
      </c>
      <c r="I276" s="35">
        <v>0.00833</v>
      </c>
      <c r="J276" s="35">
        <f>F276*I276</f>
        <v>6.0439148</v>
      </c>
      <c r="K276" s="36" t="s">
        <v>94</v>
      </c>
      <c r="X276" s="37">
        <f>IF(AO276="5",BH276,0)</f>
        <v>0</v>
      </c>
      <c r="Z276" s="37">
        <f>IF(AO276="1",BF276,0)</f>
        <v>0</v>
      </c>
      <c r="AA276" s="37">
        <f>IF(AO276="1",BG276,0)</f>
        <v>0</v>
      </c>
      <c r="AB276" s="37">
        <f>IF(AO276="7",BF276,0)</f>
        <v>0</v>
      </c>
      <c r="AC276" s="37">
        <f>IF(AO276="7",BG276,0)</f>
        <v>0</v>
      </c>
      <c r="AD276" s="37">
        <f>IF(AO276="2",BF276,0)</f>
        <v>0</v>
      </c>
      <c r="AE276" s="37">
        <f>IF(AO276="2",BG276,0)</f>
        <v>0</v>
      </c>
      <c r="AF276" s="37">
        <f>IF(AO276="0",BH276,0)</f>
        <v>0</v>
      </c>
      <c r="AG276" s="23"/>
      <c r="AH276" s="37">
        <f>IF(AL276=0,H276,0)</f>
        <v>0</v>
      </c>
      <c r="AI276" s="37">
        <f>IF(AL276=15,H276,0)</f>
        <v>0</v>
      </c>
      <c r="AJ276" s="37">
        <f>IF(AL276=21,H276,0)</f>
        <v>0</v>
      </c>
      <c r="AL276" s="37">
        <v>21</v>
      </c>
      <c r="AM276" s="37">
        <f>G276*0.256856060606061</f>
        <v>0</v>
      </c>
      <c r="AN276" s="37">
        <f>G276*(1-0.256856060606061)</f>
        <v>0</v>
      </c>
      <c r="AO276" s="38" t="s">
        <v>90</v>
      </c>
      <c r="AT276" s="37">
        <f>AU276+AV276</f>
        <v>0</v>
      </c>
      <c r="AU276" s="37">
        <f>F276*AM276</f>
        <v>0</v>
      </c>
      <c r="AV276" s="37">
        <f>F276*AN276</f>
        <v>0</v>
      </c>
      <c r="AW276" s="38" t="s">
        <v>521</v>
      </c>
      <c r="AX276" s="38" t="s">
        <v>522</v>
      </c>
      <c r="AY276" s="23" t="s">
        <v>97</v>
      </c>
      <c r="BA276" s="37">
        <f>AU276+AV276</f>
        <v>0</v>
      </c>
      <c r="BB276" s="37">
        <f>G276/(100-BC276)*100</f>
        <v>0</v>
      </c>
      <c r="BC276" s="37">
        <v>0</v>
      </c>
      <c r="BD276" s="37">
        <f>J276</f>
        <v>6.0439148</v>
      </c>
      <c r="BF276" s="37">
        <f>F276*AM276</f>
        <v>0</v>
      </c>
      <c r="BG276" s="37">
        <f>F276*AN276</f>
        <v>0</v>
      </c>
      <c r="BH276" s="37">
        <f>F276*G276</f>
        <v>0</v>
      </c>
    </row>
    <row r="277" spans="1:11" ht="12.75">
      <c r="A277" s="39"/>
      <c r="B277" s="40"/>
      <c r="C277" s="40"/>
      <c r="D277" s="41" t="s">
        <v>528</v>
      </c>
      <c r="E277" s="40"/>
      <c r="F277" s="42">
        <v>725.56</v>
      </c>
      <c r="G277" s="40"/>
      <c r="H277" s="40"/>
      <c r="I277" s="43"/>
      <c r="J277" s="43"/>
      <c r="K277" s="40"/>
    </row>
    <row r="278" spans="1:60" ht="12.75">
      <c r="A278" s="16" t="s">
        <v>529</v>
      </c>
      <c r="B278" s="16"/>
      <c r="C278" s="16" t="s">
        <v>530</v>
      </c>
      <c r="D278" s="32" t="s">
        <v>531</v>
      </c>
      <c r="E278" s="16" t="s">
        <v>192</v>
      </c>
      <c r="F278" s="33">
        <v>1138.971</v>
      </c>
      <c r="G278" s="422"/>
      <c r="H278" s="34">
        <f>F278*G278</f>
        <v>0</v>
      </c>
      <c r="I278" s="35">
        <v>0.00032</v>
      </c>
      <c r="J278" s="35">
        <f>F278*I278</f>
        <v>0.36447072</v>
      </c>
      <c r="K278" s="36" t="s">
        <v>94</v>
      </c>
      <c r="X278" s="37">
        <f>IF(AO278="5",BH278,0)</f>
        <v>0</v>
      </c>
      <c r="Z278" s="37">
        <f>IF(AO278="1",BF278,0)</f>
        <v>0</v>
      </c>
      <c r="AA278" s="37">
        <f>IF(AO278="1",BG278,0)</f>
        <v>0</v>
      </c>
      <c r="AB278" s="37">
        <f>IF(AO278="7",BF278,0)</f>
        <v>0</v>
      </c>
      <c r="AC278" s="37">
        <f>IF(AO278="7",BG278,0)</f>
        <v>0</v>
      </c>
      <c r="AD278" s="37">
        <f>IF(AO278="2",BF278,0)</f>
        <v>0</v>
      </c>
      <c r="AE278" s="37">
        <f>IF(AO278="2",BG278,0)</f>
        <v>0</v>
      </c>
      <c r="AF278" s="37">
        <f>IF(AO278="0",BH278,0)</f>
        <v>0</v>
      </c>
      <c r="AG278" s="23"/>
      <c r="AH278" s="37">
        <f>IF(AL278=0,H278,0)</f>
        <v>0</v>
      </c>
      <c r="AI278" s="37">
        <f>IF(AL278=15,H278,0)</f>
        <v>0</v>
      </c>
      <c r="AJ278" s="37">
        <f>IF(AL278=21,H278,0)</f>
        <v>0</v>
      </c>
      <c r="AL278" s="37">
        <v>21</v>
      </c>
      <c r="AM278" s="37">
        <f>G278*0.547161542650744</f>
        <v>0</v>
      </c>
      <c r="AN278" s="37">
        <f>G278*(1-0.547161542650744)</f>
        <v>0</v>
      </c>
      <c r="AO278" s="38" t="s">
        <v>90</v>
      </c>
      <c r="AT278" s="37">
        <f>AU278+AV278</f>
        <v>0</v>
      </c>
      <c r="AU278" s="37">
        <f>F278*AM278</f>
        <v>0</v>
      </c>
      <c r="AV278" s="37">
        <f>F278*AN278</f>
        <v>0</v>
      </c>
      <c r="AW278" s="38" t="s">
        <v>521</v>
      </c>
      <c r="AX278" s="38" t="s">
        <v>522</v>
      </c>
      <c r="AY278" s="23" t="s">
        <v>97</v>
      </c>
      <c r="BA278" s="37">
        <f>AU278+AV278</f>
        <v>0</v>
      </c>
      <c r="BB278" s="37">
        <f>G278/(100-BC278)*100</f>
        <v>0</v>
      </c>
      <c r="BC278" s="37">
        <v>0</v>
      </c>
      <c r="BD278" s="37">
        <f>J278</f>
        <v>0.36447072</v>
      </c>
      <c r="BF278" s="37">
        <f>F278*AM278</f>
        <v>0</v>
      </c>
      <c r="BG278" s="37">
        <f>F278*AN278</f>
        <v>0</v>
      </c>
      <c r="BH278" s="37">
        <f>F278*G278</f>
        <v>0</v>
      </c>
    </row>
    <row r="279" spans="1:11" ht="12.75">
      <c r="A279" s="39"/>
      <c r="B279" s="40"/>
      <c r="C279" s="40"/>
      <c r="D279" s="41" t="s">
        <v>523</v>
      </c>
      <c r="E279" s="40"/>
      <c r="F279" s="42">
        <v>408.899</v>
      </c>
      <c r="G279" s="40"/>
      <c r="H279" s="40"/>
      <c r="I279" s="43"/>
      <c r="J279" s="43"/>
      <c r="K279" s="40"/>
    </row>
    <row r="280" spans="1:11" ht="12.75">
      <c r="A280" s="39"/>
      <c r="B280" s="40"/>
      <c r="C280" s="40"/>
      <c r="D280" s="41" t="s">
        <v>524</v>
      </c>
      <c r="E280" s="40"/>
      <c r="F280" s="42">
        <v>30.352</v>
      </c>
      <c r="G280" s="40"/>
      <c r="H280" s="40"/>
      <c r="I280" s="43"/>
      <c r="J280" s="43"/>
      <c r="K280" s="40"/>
    </row>
    <row r="281" spans="1:11" ht="12.75">
      <c r="A281" s="39"/>
      <c r="B281" s="40"/>
      <c r="C281" s="40"/>
      <c r="D281" s="41" t="s">
        <v>532</v>
      </c>
      <c r="E281" s="40"/>
      <c r="F281" s="42">
        <v>699.72</v>
      </c>
      <c r="G281" s="40"/>
      <c r="H281" s="40"/>
      <c r="I281" s="43"/>
      <c r="J281" s="43"/>
      <c r="K281" s="40"/>
    </row>
    <row r="282" spans="1:60" ht="12.75">
      <c r="A282" s="16" t="s">
        <v>533</v>
      </c>
      <c r="B282" s="16"/>
      <c r="C282" s="16" t="s">
        <v>534</v>
      </c>
      <c r="D282" s="32" t="s">
        <v>535</v>
      </c>
      <c r="E282" s="16" t="s">
        <v>192</v>
      </c>
      <c r="F282" s="33">
        <v>277.772</v>
      </c>
      <c r="G282" s="422"/>
      <c r="H282" s="34">
        <f>F282*G282</f>
        <v>0</v>
      </c>
      <c r="I282" s="35">
        <v>4E-05</v>
      </c>
      <c r="J282" s="35">
        <f>F282*I282</f>
        <v>0.01111088</v>
      </c>
      <c r="K282" s="36" t="s">
        <v>94</v>
      </c>
      <c r="X282" s="37">
        <f>IF(AO282="5",BH282,0)</f>
        <v>0</v>
      </c>
      <c r="Z282" s="37">
        <f>IF(AO282="1",BF282,0)</f>
        <v>0</v>
      </c>
      <c r="AA282" s="37">
        <f>IF(AO282="1",BG282,0)</f>
        <v>0</v>
      </c>
      <c r="AB282" s="37">
        <f>IF(AO282="7",BF282,0)</f>
        <v>0</v>
      </c>
      <c r="AC282" s="37">
        <f>IF(AO282="7",BG282,0)</f>
        <v>0</v>
      </c>
      <c r="AD282" s="37">
        <f>IF(AO282="2",BF282,0)</f>
        <v>0</v>
      </c>
      <c r="AE282" s="37">
        <f>IF(AO282="2",BG282,0)</f>
        <v>0</v>
      </c>
      <c r="AF282" s="37">
        <f>IF(AO282="0",BH282,0)</f>
        <v>0</v>
      </c>
      <c r="AG282" s="23"/>
      <c r="AH282" s="37">
        <f>IF(AL282=0,H282,0)</f>
        <v>0</v>
      </c>
      <c r="AI282" s="37">
        <f>IF(AL282=15,H282,0)</f>
        <v>0</v>
      </c>
      <c r="AJ282" s="37">
        <f>IF(AL282=21,H282,0)</f>
        <v>0</v>
      </c>
      <c r="AL282" s="37">
        <v>21</v>
      </c>
      <c r="AM282" s="37">
        <f>G282*0.293421126760563</f>
        <v>0</v>
      </c>
      <c r="AN282" s="37">
        <f>G282*(1-0.293421126760563)</f>
        <v>0</v>
      </c>
      <c r="AO282" s="38" t="s">
        <v>90</v>
      </c>
      <c r="AT282" s="37">
        <f>AU282+AV282</f>
        <v>0</v>
      </c>
      <c r="AU282" s="37">
        <f>F282*AM282</f>
        <v>0</v>
      </c>
      <c r="AV282" s="37">
        <f>F282*AN282</f>
        <v>0</v>
      </c>
      <c r="AW282" s="38" t="s">
        <v>521</v>
      </c>
      <c r="AX282" s="38" t="s">
        <v>522</v>
      </c>
      <c r="AY282" s="23" t="s">
        <v>97</v>
      </c>
      <c r="BA282" s="37">
        <f>AU282+AV282</f>
        <v>0</v>
      </c>
      <c r="BB282" s="37">
        <f>G282/(100-BC282)*100</f>
        <v>0</v>
      </c>
      <c r="BC282" s="37">
        <v>0</v>
      </c>
      <c r="BD282" s="37">
        <f>J282</f>
        <v>0.01111088</v>
      </c>
      <c r="BF282" s="37">
        <f>F282*AM282</f>
        <v>0</v>
      </c>
      <c r="BG282" s="37">
        <f>F282*AN282</f>
        <v>0</v>
      </c>
      <c r="BH282" s="37">
        <f>F282*G282</f>
        <v>0</v>
      </c>
    </row>
    <row r="283" spans="1:11" ht="12.75">
      <c r="A283" s="39"/>
      <c r="B283" s="40"/>
      <c r="C283" s="40"/>
      <c r="D283" s="41" t="s">
        <v>536</v>
      </c>
      <c r="E283" s="40"/>
      <c r="F283" s="42">
        <v>50.4</v>
      </c>
      <c r="G283" s="40"/>
      <c r="H283" s="40"/>
      <c r="I283" s="43"/>
      <c r="J283" s="43"/>
      <c r="K283" s="40"/>
    </row>
    <row r="284" spans="1:11" ht="12.75">
      <c r="A284" s="39"/>
      <c r="B284" s="40"/>
      <c r="C284" s="40"/>
      <c r="D284" s="41" t="s">
        <v>537</v>
      </c>
      <c r="E284" s="40"/>
      <c r="F284" s="42">
        <v>117.372</v>
      </c>
      <c r="G284" s="40"/>
      <c r="H284" s="40"/>
      <c r="I284" s="43"/>
      <c r="J284" s="43"/>
      <c r="K284" s="40"/>
    </row>
    <row r="285" spans="1:11" ht="12.75">
      <c r="A285" s="39"/>
      <c r="B285" s="40"/>
      <c r="C285" s="40"/>
      <c r="D285" s="41" t="s">
        <v>538</v>
      </c>
      <c r="E285" s="40"/>
      <c r="F285" s="42">
        <v>110</v>
      </c>
      <c r="G285" s="40"/>
      <c r="H285" s="40"/>
      <c r="I285" s="43"/>
      <c r="J285" s="43"/>
      <c r="K285" s="40"/>
    </row>
    <row r="286" spans="1:45" ht="12.75">
      <c r="A286" s="24"/>
      <c r="B286" s="25"/>
      <c r="C286" s="25" t="s">
        <v>403</v>
      </c>
      <c r="D286" s="26" t="s">
        <v>539</v>
      </c>
      <c r="E286" s="24" t="s">
        <v>54</v>
      </c>
      <c r="F286" s="24" t="s">
        <v>54</v>
      </c>
      <c r="G286" s="24" t="s">
        <v>54</v>
      </c>
      <c r="H286" s="27">
        <f>SUM(H287:H293)</f>
        <v>0</v>
      </c>
      <c r="I286" s="28"/>
      <c r="J286" s="28">
        <f>SUM(J287:J293)</f>
        <v>2.46114086</v>
      </c>
      <c r="K286" s="29"/>
      <c r="AG286" s="23"/>
      <c r="AQ286" s="31">
        <f>SUM(AH287:AH293)</f>
        <v>0</v>
      </c>
      <c r="AR286" s="31">
        <f>SUM(AI287:AI293)</f>
        <v>0</v>
      </c>
      <c r="AS286" s="31">
        <f>SUM(AJ287:AJ293)</f>
        <v>0</v>
      </c>
    </row>
    <row r="287" spans="1:60" ht="25.5">
      <c r="A287" s="44" t="s">
        <v>540</v>
      </c>
      <c r="B287" s="44"/>
      <c r="C287" s="44" t="s">
        <v>541</v>
      </c>
      <c r="D287" s="45" t="s">
        <v>542</v>
      </c>
      <c r="E287" s="44" t="s">
        <v>192</v>
      </c>
      <c r="F287" s="46">
        <v>152.086</v>
      </c>
      <c r="G287" s="423"/>
      <c r="H287" s="47">
        <f>F287*G287</f>
        <v>0</v>
      </c>
      <c r="I287" s="48">
        <v>0.01461</v>
      </c>
      <c r="J287" s="48">
        <f>F287*I287</f>
        <v>2.22197646</v>
      </c>
      <c r="K287" s="49" t="s">
        <v>94</v>
      </c>
      <c r="X287" s="37">
        <f>IF(AO287="5",BH287,0)</f>
        <v>0</v>
      </c>
      <c r="Z287" s="37">
        <f>IF(AO287="1",BF287,0)</f>
        <v>0</v>
      </c>
      <c r="AA287" s="37">
        <f>IF(AO287="1",BG287,0)</f>
        <v>0</v>
      </c>
      <c r="AB287" s="37">
        <f>IF(AO287="7",BF287,0)</f>
        <v>0</v>
      </c>
      <c r="AC287" s="37">
        <f>IF(AO287="7",BG287,0)</f>
        <v>0</v>
      </c>
      <c r="AD287" s="37">
        <f>IF(AO287="2",BF287,0)</f>
        <v>0</v>
      </c>
      <c r="AE287" s="37">
        <f>IF(AO287="2",BG287,0)</f>
        <v>0</v>
      </c>
      <c r="AF287" s="37">
        <f>IF(AO287="0",BH287,0)</f>
        <v>0</v>
      </c>
      <c r="AG287" s="23"/>
      <c r="AH287" s="37">
        <f>IF(AL287=0,H287,0)</f>
        <v>0</v>
      </c>
      <c r="AI287" s="37">
        <f>IF(AL287=15,H287,0)</f>
        <v>0</v>
      </c>
      <c r="AJ287" s="37">
        <f>IF(AL287=21,H287,0)</f>
        <v>0</v>
      </c>
      <c r="AL287" s="37">
        <v>21</v>
      </c>
      <c r="AM287" s="37">
        <f>G287*0.551706766917293</f>
        <v>0</v>
      </c>
      <c r="AN287" s="37">
        <f>G287*(1-0.551706766917293)</f>
        <v>0</v>
      </c>
      <c r="AO287" s="38" t="s">
        <v>90</v>
      </c>
      <c r="AT287" s="37">
        <f>AU287+AV287</f>
        <v>0</v>
      </c>
      <c r="AU287" s="37">
        <f>F287*AM287</f>
        <v>0</v>
      </c>
      <c r="AV287" s="37">
        <f>F287*AN287</f>
        <v>0</v>
      </c>
      <c r="AW287" s="38" t="s">
        <v>543</v>
      </c>
      <c r="AX287" s="38" t="s">
        <v>522</v>
      </c>
      <c r="AY287" s="23" t="s">
        <v>97</v>
      </c>
      <c r="BA287" s="37">
        <f>AU287+AV287</f>
        <v>0</v>
      </c>
      <c r="BB287" s="37">
        <f>G287/(100-BC287)*100</f>
        <v>0</v>
      </c>
      <c r="BC287" s="37">
        <v>0</v>
      </c>
      <c r="BD287" s="37">
        <f>J287</f>
        <v>2.22197646</v>
      </c>
      <c r="BF287" s="37">
        <f>F287*AM287</f>
        <v>0</v>
      </c>
      <c r="BG287" s="37">
        <f>F287*AN287</f>
        <v>0</v>
      </c>
      <c r="BH287" s="37">
        <f>F287*G287</f>
        <v>0</v>
      </c>
    </row>
    <row r="288" spans="1:11" ht="12.75">
      <c r="A288" s="50"/>
      <c r="B288" s="51"/>
      <c r="C288" s="51"/>
      <c r="D288" s="52" t="s">
        <v>544</v>
      </c>
      <c r="E288" s="51"/>
      <c r="F288" s="53">
        <v>179.576</v>
      </c>
      <c r="G288" s="51"/>
      <c r="H288" s="51"/>
      <c r="I288" s="54"/>
      <c r="J288" s="54"/>
      <c r="K288" s="51"/>
    </row>
    <row r="289" spans="1:11" ht="12.75">
      <c r="A289" s="50"/>
      <c r="B289" s="51"/>
      <c r="C289" s="51"/>
      <c r="D289" s="52" t="s">
        <v>545</v>
      </c>
      <c r="E289" s="51"/>
      <c r="F289" s="53">
        <v>-27.49</v>
      </c>
      <c r="G289" s="51"/>
      <c r="H289" s="51"/>
      <c r="I289" s="54"/>
      <c r="J289" s="54"/>
      <c r="K289" s="51"/>
    </row>
    <row r="290" spans="1:60" ht="25.5">
      <c r="A290" s="16" t="s">
        <v>546</v>
      </c>
      <c r="B290" s="16"/>
      <c r="C290" s="16" t="s">
        <v>547</v>
      </c>
      <c r="D290" s="32" t="s">
        <v>548</v>
      </c>
      <c r="E290" s="16" t="s">
        <v>192</v>
      </c>
      <c r="F290" s="33">
        <v>17.704</v>
      </c>
      <c r="G290" s="422"/>
      <c r="H290" s="34">
        <f>F290*G290</f>
        <v>0</v>
      </c>
      <c r="I290" s="35">
        <v>0.01313</v>
      </c>
      <c r="J290" s="35">
        <f>F290*I290</f>
        <v>0.23245352</v>
      </c>
      <c r="K290" s="36" t="s">
        <v>94</v>
      </c>
      <c r="X290" s="37">
        <f>IF(AO290="5",BH290,0)</f>
        <v>0</v>
      </c>
      <c r="Z290" s="37">
        <f>IF(AO290="1",BF290,0)</f>
        <v>0</v>
      </c>
      <c r="AA290" s="37">
        <f>IF(AO290="1",BG290,0)</f>
        <v>0</v>
      </c>
      <c r="AB290" s="37">
        <f>IF(AO290="7",BF290,0)</f>
        <v>0</v>
      </c>
      <c r="AC290" s="37">
        <f>IF(AO290="7",BG290,0)</f>
        <v>0</v>
      </c>
      <c r="AD290" s="37">
        <f>IF(AO290="2",BF290,0)</f>
        <v>0</v>
      </c>
      <c r="AE290" s="37">
        <f>IF(AO290="2",BG290,0)</f>
        <v>0</v>
      </c>
      <c r="AF290" s="37">
        <f>IF(AO290="0",BH290,0)</f>
        <v>0</v>
      </c>
      <c r="AG290" s="23"/>
      <c r="AH290" s="37">
        <f>IF(AL290=0,H290,0)</f>
        <v>0</v>
      </c>
      <c r="AI290" s="37">
        <f>IF(AL290=15,H290,0)</f>
        <v>0</v>
      </c>
      <c r="AJ290" s="37">
        <f>IF(AL290=21,H290,0)</f>
        <v>0</v>
      </c>
      <c r="AL290" s="37">
        <v>21</v>
      </c>
      <c r="AM290" s="37">
        <f>G290*0.327084158415842</f>
        <v>0</v>
      </c>
      <c r="AN290" s="37">
        <f>G290*(1-0.327084158415842)</f>
        <v>0</v>
      </c>
      <c r="AO290" s="38" t="s">
        <v>90</v>
      </c>
      <c r="AT290" s="37">
        <f>AU290+AV290</f>
        <v>0</v>
      </c>
      <c r="AU290" s="37">
        <f>F290*AM290</f>
        <v>0</v>
      </c>
      <c r="AV290" s="37">
        <f>F290*AN290</f>
        <v>0</v>
      </c>
      <c r="AW290" s="38" t="s">
        <v>543</v>
      </c>
      <c r="AX290" s="38" t="s">
        <v>522</v>
      </c>
      <c r="AY290" s="23" t="s">
        <v>97</v>
      </c>
      <c r="BA290" s="37">
        <f>AU290+AV290</f>
        <v>0</v>
      </c>
      <c r="BB290" s="37">
        <f>G290/(100-BC290)*100</f>
        <v>0</v>
      </c>
      <c r="BC290" s="37">
        <v>0</v>
      </c>
      <c r="BD290" s="37">
        <f>J290</f>
        <v>0.23245352</v>
      </c>
      <c r="BF290" s="37">
        <f>F290*AM290</f>
        <v>0</v>
      </c>
      <c r="BG290" s="37">
        <f>F290*AN290</f>
        <v>0</v>
      </c>
      <c r="BH290" s="37">
        <f>F290*G290</f>
        <v>0</v>
      </c>
    </row>
    <row r="291" spans="1:11" ht="12.75">
      <c r="A291" s="39"/>
      <c r="B291" s="40"/>
      <c r="C291" s="40"/>
      <c r="D291" s="41" t="s">
        <v>549</v>
      </c>
      <c r="E291" s="40"/>
      <c r="F291" s="42">
        <v>15.68</v>
      </c>
      <c r="G291" s="40"/>
      <c r="H291" s="40"/>
      <c r="I291" s="43"/>
      <c r="J291" s="43"/>
      <c r="K291" s="40"/>
    </row>
    <row r="292" spans="1:11" ht="12.75">
      <c r="A292" s="39"/>
      <c r="B292" s="40"/>
      <c r="C292" s="40"/>
      <c r="D292" s="41" t="s">
        <v>550</v>
      </c>
      <c r="E292" s="40"/>
      <c r="F292" s="42">
        <v>2.024</v>
      </c>
      <c r="G292" s="40"/>
      <c r="H292" s="40"/>
      <c r="I292" s="43"/>
      <c r="J292" s="43"/>
      <c r="K292" s="40"/>
    </row>
    <row r="293" spans="1:60" ht="12.75">
      <c r="A293" s="16" t="s">
        <v>551</v>
      </c>
      <c r="B293" s="16"/>
      <c r="C293" s="16" t="s">
        <v>552</v>
      </c>
      <c r="D293" s="32" t="s">
        <v>553</v>
      </c>
      <c r="E293" s="16" t="s">
        <v>192</v>
      </c>
      <c r="F293" s="33">
        <v>167.772</v>
      </c>
      <c r="G293" s="422"/>
      <c r="H293" s="34">
        <f>F293*G293</f>
        <v>0</v>
      </c>
      <c r="I293" s="35">
        <v>4E-05</v>
      </c>
      <c r="J293" s="35">
        <f>F293*I293</f>
        <v>0.00671088</v>
      </c>
      <c r="K293" s="36" t="s">
        <v>94</v>
      </c>
      <c r="X293" s="37">
        <f>IF(AO293="5",BH293,0)</f>
        <v>0</v>
      </c>
      <c r="Z293" s="37">
        <f>IF(AO293="1",BF293,0)</f>
        <v>0</v>
      </c>
      <c r="AA293" s="37">
        <f>IF(AO293="1",BG293,0)</f>
        <v>0</v>
      </c>
      <c r="AB293" s="37">
        <f>IF(AO293="7",BF293,0)</f>
        <v>0</v>
      </c>
      <c r="AC293" s="37">
        <f>IF(AO293="7",BG293,0)</f>
        <v>0</v>
      </c>
      <c r="AD293" s="37">
        <f>IF(AO293="2",BF293,0)</f>
        <v>0</v>
      </c>
      <c r="AE293" s="37">
        <f>IF(AO293="2",BG293,0)</f>
        <v>0</v>
      </c>
      <c r="AF293" s="37">
        <f>IF(AO293="0",BH293,0)</f>
        <v>0</v>
      </c>
      <c r="AG293" s="23"/>
      <c r="AH293" s="37">
        <f>IF(AL293=0,H293,0)</f>
        <v>0</v>
      </c>
      <c r="AI293" s="37">
        <f>IF(AL293=15,H293,0)</f>
        <v>0</v>
      </c>
      <c r="AJ293" s="37">
        <f>IF(AL293=21,H293,0)</f>
        <v>0</v>
      </c>
      <c r="AL293" s="37">
        <v>21</v>
      </c>
      <c r="AM293" s="37">
        <f>G293*0.328027956852171</f>
        <v>0</v>
      </c>
      <c r="AN293" s="37">
        <f>G293*(1-0.328027956852171)</f>
        <v>0</v>
      </c>
      <c r="AO293" s="38" t="s">
        <v>90</v>
      </c>
      <c r="AT293" s="37">
        <f>AU293+AV293</f>
        <v>0</v>
      </c>
      <c r="AU293" s="37">
        <f>F293*AM293</f>
        <v>0</v>
      </c>
      <c r="AV293" s="37">
        <f>F293*AN293</f>
        <v>0</v>
      </c>
      <c r="AW293" s="38" t="s">
        <v>543</v>
      </c>
      <c r="AX293" s="38" t="s">
        <v>522</v>
      </c>
      <c r="AY293" s="23" t="s">
        <v>97</v>
      </c>
      <c r="BA293" s="37">
        <f>AU293+AV293</f>
        <v>0</v>
      </c>
      <c r="BB293" s="37">
        <f>G293/(100-BC293)*100</f>
        <v>0</v>
      </c>
      <c r="BC293" s="37">
        <v>0</v>
      </c>
      <c r="BD293" s="37">
        <f>J293</f>
        <v>0.00671088</v>
      </c>
      <c r="BF293" s="37">
        <f>F293*AM293</f>
        <v>0</v>
      </c>
      <c r="BG293" s="37">
        <f>F293*AN293</f>
        <v>0</v>
      </c>
      <c r="BH293" s="37">
        <f>F293*G293</f>
        <v>0</v>
      </c>
    </row>
    <row r="294" spans="1:11" ht="12.75">
      <c r="A294" s="39"/>
      <c r="B294" s="40"/>
      <c r="C294" s="40"/>
      <c r="D294" s="41" t="s">
        <v>536</v>
      </c>
      <c r="E294" s="40"/>
      <c r="F294" s="42">
        <v>50.4</v>
      </c>
      <c r="G294" s="40"/>
      <c r="H294" s="40"/>
      <c r="I294" s="43"/>
      <c r="J294" s="43"/>
      <c r="K294" s="40"/>
    </row>
    <row r="295" spans="1:11" ht="12.75">
      <c r="A295" s="39"/>
      <c r="B295" s="40"/>
      <c r="C295" s="40"/>
      <c r="D295" s="41" t="s">
        <v>554</v>
      </c>
      <c r="E295" s="40"/>
      <c r="F295" s="42">
        <v>117.372</v>
      </c>
      <c r="G295" s="40"/>
      <c r="H295" s="40"/>
      <c r="I295" s="43"/>
      <c r="J295" s="43"/>
      <c r="K295" s="40"/>
    </row>
    <row r="296" spans="1:45" ht="12.75">
      <c r="A296" s="24"/>
      <c r="B296" s="25"/>
      <c r="C296" s="25" t="s">
        <v>407</v>
      </c>
      <c r="D296" s="26" t="s">
        <v>555</v>
      </c>
      <c r="E296" s="24" t="s">
        <v>54</v>
      </c>
      <c r="F296" s="24" t="s">
        <v>54</v>
      </c>
      <c r="G296" s="24" t="s">
        <v>54</v>
      </c>
      <c r="H296" s="27">
        <f>SUM(H297:H329)</f>
        <v>0</v>
      </c>
      <c r="I296" s="28"/>
      <c r="J296" s="28">
        <f>SUM(J297:J329)</f>
        <v>563.500258496625</v>
      </c>
      <c r="K296" s="29"/>
      <c r="AG296" s="23"/>
      <c r="AQ296" s="31">
        <f>SUM(AH297:AH329)</f>
        <v>0</v>
      </c>
      <c r="AR296" s="31">
        <f>SUM(AI297:AI329)</f>
        <v>0</v>
      </c>
      <c r="AS296" s="31">
        <f>SUM(AJ297:AJ329)</f>
        <v>0</v>
      </c>
    </row>
    <row r="297" spans="1:60" ht="12.75">
      <c r="A297" s="16" t="s">
        <v>556</v>
      </c>
      <c r="B297" s="16"/>
      <c r="C297" s="16" t="s">
        <v>557</v>
      </c>
      <c r="D297" s="32" t="s">
        <v>558</v>
      </c>
      <c r="E297" s="16" t="s">
        <v>102</v>
      </c>
      <c r="F297" s="33">
        <v>101.9714</v>
      </c>
      <c r="G297" s="422"/>
      <c r="H297" s="34">
        <f>F297*G297</f>
        <v>0</v>
      </c>
      <c r="I297" s="35">
        <v>2.525</v>
      </c>
      <c r="J297" s="35">
        <f>F297*I297</f>
        <v>257.477785</v>
      </c>
      <c r="K297" s="36" t="s">
        <v>94</v>
      </c>
      <c r="X297" s="37">
        <f>IF(AO297="5",BH297,0)</f>
        <v>0</v>
      </c>
      <c r="Z297" s="37">
        <f>IF(AO297="1",BF297,0)</f>
        <v>0</v>
      </c>
      <c r="AA297" s="37">
        <f>IF(AO297="1",BG297,0)</f>
        <v>0</v>
      </c>
      <c r="AB297" s="37">
        <f>IF(AO297="7",BF297,0)</f>
        <v>0</v>
      </c>
      <c r="AC297" s="37">
        <f>IF(AO297="7",BG297,0)</f>
        <v>0</v>
      </c>
      <c r="AD297" s="37">
        <f>IF(AO297="2",BF297,0)</f>
        <v>0</v>
      </c>
      <c r="AE297" s="37">
        <f>IF(AO297="2",BG297,0)</f>
        <v>0</v>
      </c>
      <c r="AF297" s="37">
        <f>IF(AO297="0",BH297,0)</f>
        <v>0</v>
      </c>
      <c r="AG297" s="23"/>
      <c r="AH297" s="37">
        <f>IF(AL297=0,H297,0)</f>
        <v>0</v>
      </c>
      <c r="AI297" s="37">
        <f>IF(AL297=15,H297,0)</f>
        <v>0</v>
      </c>
      <c r="AJ297" s="37">
        <f>IF(AL297=21,H297,0)</f>
        <v>0</v>
      </c>
      <c r="AL297" s="37">
        <v>21</v>
      </c>
      <c r="AM297" s="37">
        <f>G297*0.655915895978338</f>
        <v>0</v>
      </c>
      <c r="AN297" s="37">
        <f>G297*(1-0.655915895978338)</f>
        <v>0</v>
      </c>
      <c r="AO297" s="38" t="s">
        <v>90</v>
      </c>
      <c r="AT297" s="37">
        <f>AU297+AV297</f>
        <v>0</v>
      </c>
      <c r="AU297" s="37">
        <f>F297*AM297</f>
        <v>0</v>
      </c>
      <c r="AV297" s="37">
        <f>F297*AN297</f>
        <v>0</v>
      </c>
      <c r="AW297" s="38" t="s">
        <v>559</v>
      </c>
      <c r="AX297" s="38" t="s">
        <v>522</v>
      </c>
      <c r="AY297" s="23" t="s">
        <v>97</v>
      </c>
      <c r="BA297" s="37">
        <f>AU297+AV297</f>
        <v>0</v>
      </c>
      <c r="BB297" s="37">
        <f>G297/(100-BC297)*100</f>
        <v>0</v>
      </c>
      <c r="BC297" s="37">
        <v>0</v>
      </c>
      <c r="BD297" s="37">
        <f>J297</f>
        <v>257.477785</v>
      </c>
      <c r="BF297" s="37">
        <f>F297*AM297</f>
        <v>0</v>
      </c>
      <c r="BG297" s="37">
        <f>F297*AN297</f>
        <v>0</v>
      </c>
      <c r="BH297" s="37">
        <f>F297*G297</f>
        <v>0</v>
      </c>
    </row>
    <row r="298" spans="1:11" ht="12.75">
      <c r="A298" s="39"/>
      <c r="B298" s="40"/>
      <c r="C298" s="40"/>
      <c r="D298" s="41" t="s">
        <v>560</v>
      </c>
      <c r="E298" s="40"/>
      <c r="F298" s="42">
        <v>83.9664</v>
      </c>
      <c r="G298" s="40"/>
      <c r="H298" s="40"/>
      <c r="I298" s="43"/>
      <c r="J298" s="43"/>
      <c r="K298" s="40"/>
    </row>
    <row r="299" spans="1:11" ht="12.75">
      <c r="A299" s="39"/>
      <c r="B299" s="40"/>
      <c r="C299" s="40"/>
      <c r="D299" s="41" t="s">
        <v>561</v>
      </c>
      <c r="E299" s="40"/>
      <c r="F299" s="42">
        <v>7.93</v>
      </c>
      <c r="G299" s="40"/>
      <c r="H299" s="40"/>
      <c r="I299" s="43"/>
      <c r="J299" s="43"/>
      <c r="K299" s="40"/>
    </row>
    <row r="300" spans="1:11" ht="12.75">
      <c r="A300" s="39"/>
      <c r="B300" s="40"/>
      <c r="C300" s="40"/>
      <c r="D300" s="41" t="s">
        <v>562</v>
      </c>
      <c r="E300" s="40"/>
      <c r="F300" s="42">
        <v>10.075</v>
      </c>
      <c r="G300" s="40"/>
      <c r="H300" s="40"/>
      <c r="I300" s="43"/>
      <c r="J300" s="43"/>
      <c r="K300" s="40"/>
    </row>
    <row r="301" spans="1:60" ht="12.75">
      <c r="A301" s="16" t="s">
        <v>563</v>
      </c>
      <c r="B301" s="16"/>
      <c r="C301" s="16" t="s">
        <v>564</v>
      </c>
      <c r="D301" s="32" t="s">
        <v>565</v>
      </c>
      <c r="E301" s="16" t="s">
        <v>102</v>
      </c>
      <c r="F301" s="33">
        <v>83.966</v>
      </c>
      <c r="G301" s="422"/>
      <c r="H301" s="34">
        <f>F301*G301</f>
        <v>0</v>
      </c>
      <c r="I301" s="35">
        <v>0</v>
      </c>
      <c r="J301" s="35">
        <f>F301*I301</f>
        <v>0</v>
      </c>
      <c r="K301" s="36" t="s">
        <v>94</v>
      </c>
      <c r="X301" s="37">
        <f>IF(AO301="5",BH301,0)</f>
        <v>0</v>
      </c>
      <c r="Z301" s="37">
        <f>IF(AO301="1",BF301,0)</f>
        <v>0</v>
      </c>
      <c r="AA301" s="37">
        <f>IF(AO301="1",BG301,0)</f>
        <v>0</v>
      </c>
      <c r="AB301" s="37">
        <f>IF(AO301="7",BF301,0)</f>
        <v>0</v>
      </c>
      <c r="AC301" s="37">
        <f>IF(AO301="7",BG301,0)</f>
        <v>0</v>
      </c>
      <c r="AD301" s="37">
        <f>IF(AO301="2",BF301,0)</f>
        <v>0</v>
      </c>
      <c r="AE301" s="37">
        <f>IF(AO301="2",BG301,0)</f>
        <v>0</v>
      </c>
      <c r="AF301" s="37">
        <f>IF(AO301="0",BH301,0)</f>
        <v>0</v>
      </c>
      <c r="AG301" s="23"/>
      <c r="AH301" s="37">
        <f>IF(AL301=0,H301,0)</f>
        <v>0</v>
      </c>
      <c r="AI301" s="37">
        <f>IF(AL301=15,H301,0)</f>
        <v>0</v>
      </c>
      <c r="AJ301" s="37">
        <f>IF(AL301=21,H301,0)</f>
        <v>0</v>
      </c>
      <c r="AL301" s="37">
        <v>21</v>
      </c>
      <c r="AM301" s="37">
        <f>G301*0</f>
        <v>0</v>
      </c>
      <c r="AN301" s="37">
        <f>G301*(1-0)</f>
        <v>0</v>
      </c>
      <c r="AO301" s="38" t="s">
        <v>90</v>
      </c>
      <c r="AT301" s="37">
        <f>AU301+AV301</f>
        <v>0</v>
      </c>
      <c r="AU301" s="37">
        <f>F301*AM301</f>
        <v>0</v>
      </c>
      <c r="AV301" s="37">
        <f>F301*AN301</f>
        <v>0</v>
      </c>
      <c r="AW301" s="38" t="s">
        <v>559</v>
      </c>
      <c r="AX301" s="38" t="s">
        <v>522</v>
      </c>
      <c r="AY301" s="23" t="s">
        <v>97</v>
      </c>
      <c r="BA301" s="37">
        <f>AU301+AV301</f>
        <v>0</v>
      </c>
      <c r="BB301" s="37">
        <f>G301/(100-BC301)*100</f>
        <v>0</v>
      </c>
      <c r="BC301" s="37">
        <v>0</v>
      </c>
      <c r="BD301" s="37">
        <f>J301</f>
        <v>0</v>
      </c>
      <c r="BF301" s="37">
        <f>F301*AM301</f>
        <v>0</v>
      </c>
      <c r="BG301" s="37">
        <f>F301*AN301</f>
        <v>0</v>
      </c>
      <c r="BH301" s="37">
        <f>F301*G301</f>
        <v>0</v>
      </c>
    </row>
    <row r="302" spans="1:11" ht="12.75">
      <c r="A302" s="39"/>
      <c r="B302" s="40"/>
      <c r="C302" s="40"/>
      <c r="D302" s="41" t="s">
        <v>566</v>
      </c>
      <c r="E302" s="40"/>
      <c r="F302" s="42">
        <v>83.966</v>
      </c>
      <c r="G302" s="40"/>
      <c r="H302" s="40"/>
      <c r="I302" s="43"/>
      <c r="J302" s="43"/>
      <c r="K302" s="40"/>
    </row>
    <row r="303" spans="1:60" ht="12.75">
      <c r="A303" s="16" t="s">
        <v>567</v>
      </c>
      <c r="B303" s="16"/>
      <c r="C303" s="16" t="s">
        <v>568</v>
      </c>
      <c r="D303" s="32" t="s">
        <v>569</v>
      </c>
      <c r="E303" s="16" t="s">
        <v>102</v>
      </c>
      <c r="F303" s="33">
        <v>99.147</v>
      </c>
      <c r="G303" s="422"/>
      <c r="H303" s="34">
        <f>F303*G303</f>
        <v>0</v>
      </c>
      <c r="I303" s="35">
        <v>2.525</v>
      </c>
      <c r="J303" s="35">
        <f>F303*I303</f>
        <v>250.34617500000002</v>
      </c>
      <c r="K303" s="36" t="s">
        <v>94</v>
      </c>
      <c r="X303" s="37">
        <f>IF(AO303="5",BH303,0)</f>
        <v>0</v>
      </c>
      <c r="Z303" s="37">
        <f>IF(AO303="1",BF303,0)</f>
        <v>0</v>
      </c>
      <c r="AA303" s="37">
        <f>IF(AO303="1",BG303,0)</f>
        <v>0</v>
      </c>
      <c r="AB303" s="37">
        <f>IF(AO303="7",BF303,0)</f>
        <v>0</v>
      </c>
      <c r="AC303" s="37">
        <f>IF(AO303="7",BG303,0)</f>
        <v>0</v>
      </c>
      <c r="AD303" s="37">
        <f>IF(AO303="2",BF303,0)</f>
        <v>0</v>
      </c>
      <c r="AE303" s="37">
        <f>IF(AO303="2",BG303,0)</f>
        <v>0</v>
      </c>
      <c r="AF303" s="37">
        <f>IF(AO303="0",BH303,0)</f>
        <v>0</v>
      </c>
      <c r="AG303" s="23"/>
      <c r="AH303" s="37">
        <f>IF(AL303=0,H303,0)</f>
        <v>0</v>
      </c>
      <c r="AI303" s="37">
        <f>IF(AL303=15,H303,0)</f>
        <v>0</v>
      </c>
      <c r="AJ303" s="37">
        <f>IF(AL303=21,H303,0)</f>
        <v>0</v>
      </c>
      <c r="AL303" s="37">
        <v>21</v>
      </c>
      <c r="AM303" s="37">
        <f>G303*0.669516017318136</f>
        <v>0</v>
      </c>
      <c r="AN303" s="37">
        <f>G303*(1-0.669516017318136)</f>
        <v>0</v>
      </c>
      <c r="AO303" s="38" t="s">
        <v>90</v>
      </c>
      <c r="AT303" s="37">
        <f>AU303+AV303</f>
        <v>0</v>
      </c>
      <c r="AU303" s="37">
        <f>F303*AM303</f>
        <v>0</v>
      </c>
      <c r="AV303" s="37">
        <f>F303*AN303</f>
        <v>0</v>
      </c>
      <c r="AW303" s="38" t="s">
        <v>559</v>
      </c>
      <c r="AX303" s="38" t="s">
        <v>522</v>
      </c>
      <c r="AY303" s="23" t="s">
        <v>97</v>
      </c>
      <c r="BA303" s="37">
        <f>AU303+AV303</f>
        <v>0</v>
      </c>
      <c r="BB303" s="37">
        <f>G303/(100-BC303)*100</f>
        <v>0</v>
      </c>
      <c r="BC303" s="37">
        <v>0</v>
      </c>
      <c r="BD303" s="37">
        <f>J303</f>
        <v>250.34617500000002</v>
      </c>
      <c r="BF303" s="37">
        <f>F303*AM303</f>
        <v>0</v>
      </c>
      <c r="BG303" s="37">
        <f>F303*AN303</f>
        <v>0</v>
      </c>
      <c r="BH303" s="37">
        <f>F303*G303</f>
        <v>0</v>
      </c>
    </row>
    <row r="304" spans="1:11" ht="12.75">
      <c r="A304" s="39"/>
      <c r="B304" s="40"/>
      <c r="C304" s="40"/>
      <c r="D304" s="41" t="s">
        <v>570</v>
      </c>
      <c r="E304" s="40"/>
      <c r="F304" s="42">
        <v>52.479</v>
      </c>
      <c r="G304" s="40"/>
      <c r="H304" s="40"/>
      <c r="I304" s="43"/>
      <c r="J304" s="43"/>
      <c r="K304" s="40"/>
    </row>
    <row r="305" spans="1:11" ht="12.75">
      <c r="A305" s="39"/>
      <c r="B305" s="40"/>
      <c r="C305" s="40"/>
      <c r="D305" s="41" t="s">
        <v>571</v>
      </c>
      <c r="E305" s="40"/>
      <c r="F305" s="42">
        <v>29.345</v>
      </c>
      <c r="G305" s="40"/>
      <c r="H305" s="40"/>
      <c r="I305" s="43"/>
      <c r="J305" s="43"/>
      <c r="K305" s="40"/>
    </row>
    <row r="306" spans="1:11" ht="12.75">
      <c r="A306" s="39"/>
      <c r="B306" s="40"/>
      <c r="C306" s="40"/>
      <c r="D306" s="41" t="s">
        <v>572</v>
      </c>
      <c r="E306" s="40"/>
      <c r="F306" s="42">
        <v>12.295</v>
      </c>
      <c r="G306" s="40"/>
      <c r="H306" s="40"/>
      <c r="I306" s="43"/>
      <c r="J306" s="43"/>
      <c r="K306" s="40"/>
    </row>
    <row r="307" spans="1:11" ht="12.75">
      <c r="A307" s="39"/>
      <c r="B307" s="40"/>
      <c r="C307" s="40"/>
      <c r="D307" s="41" t="s">
        <v>573</v>
      </c>
      <c r="E307" s="40"/>
      <c r="F307" s="42">
        <v>5.028</v>
      </c>
      <c r="G307" s="40"/>
      <c r="H307" s="40"/>
      <c r="I307" s="43"/>
      <c r="J307" s="43"/>
      <c r="K307" s="40"/>
    </row>
    <row r="308" spans="1:11" ht="12.75">
      <c r="A308" s="39">
        <v>96</v>
      </c>
      <c r="B308" s="40"/>
      <c r="C308" s="40" t="s">
        <v>574</v>
      </c>
      <c r="D308" s="32" t="s">
        <v>575</v>
      </c>
      <c r="E308" s="40" t="s">
        <v>102</v>
      </c>
      <c r="F308" s="33">
        <v>20.04</v>
      </c>
      <c r="G308" s="424"/>
      <c r="H308" s="34">
        <f>F308*G308</f>
        <v>0</v>
      </c>
      <c r="I308" s="35">
        <v>2.525</v>
      </c>
      <c r="J308" s="35">
        <f>F308*I308</f>
        <v>50.601</v>
      </c>
      <c r="K308" s="36" t="s">
        <v>94</v>
      </c>
    </row>
    <row r="309" spans="1:11" ht="12.75">
      <c r="A309" s="39"/>
      <c r="B309" s="40"/>
      <c r="C309" s="40"/>
      <c r="D309" s="41" t="s">
        <v>576</v>
      </c>
      <c r="E309" s="40"/>
      <c r="F309" s="42">
        <v>14.64</v>
      </c>
      <c r="G309" s="40"/>
      <c r="H309" s="40"/>
      <c r="I309" s="43"/>
      <c r="J309" s="43"/>
      <c r="K309" s="40"/>
    </row>
    <row r="310" spans="1:11" ht="12.75">
      <c r="A310" s="39"/>
      <c r="B310" s="40"/>
      <c r="C310" s="40"/>
      <c r="D310" s="41" t="s">
        <v>577</v>
      </c>
      <c r="E310" s="40"/>
      <c r="F310" s="42">
        <v>5.4</v>
      </c>
      <c r="G310" s="40"/>
      <c r="H310" s="40"/>
      <c r="I310" s="43"/>
      <c r="J310" s="43"/>
      <c r="K310" s="40"/>
    </row>
    <row r="311" spans="1:60" ht="12.75">
      <c r="A311" s="16" t="s">
        <v>578</v>
      </c>
      <c r="B311" s="16"/>
      <c r="C311" s="16" t="s">
        <v>579</v>
      </c>
      <c r="D311" s="32" t="s">
        <v>580</v>
      </c>
      <c r="E311" s="16" t="s">
        <v>395</v>
      </c>
      <c r="F311" s="33">
        <v>163</v>
      </c>
      <c r="G311" s="422"/>
      <c r="H311" s="34">
        <f>F311*G311</f>
        <v>0</v>
      </c>
      <c r="I311" s="35">
        <v>0</v>
      </c>
      <c r="J311" s="35">
        <f>F311*I311</f>
        <v>0</v>
      </c>
      <c r="K311" s="36" t="s">
        <v>94</v>
      </c>
      <c r="X311" s="37">
        <f>IF(AO311="5",BH311,0)</f>
        <v>0</v>
      </c>
      <c r="Z311" s="37">
        <f>IF(AO311="1",BF311,0)</f>
        <v>0</v>
      </c>
      <c r="AA311" s="37">
        <f>IF(AO311="1",BG311,0)</f>
        <v>0</v>
      </c>
      <c r="AB311" s="37">
        <f>IF(AO311="7",BF311,0)</f>
        <v>0</v>
      </c>
      <c r="AC311" s="37">
        <f>IF(AO311="7",BG311,0)</f>
        <v>0</v>
      </c>
      <c r="AD311" s="37">
        <f>IF(AO311="2",BF311,0)</f>
        <v>0</v>
      </c>
      <c r="AE311" s="37">
        <f>IF(AO311="2",BG311,0)</f>
        <v>0</v>
      </c>
      <c r="AF311" s="37">
        <f>IF(AO311="0",BH311,0)</f>
        <v>0</v>
      </c>
      <c r="AG311" s="23"/>
      <c r="AH311" s="37">
        <f>IF(AL311=0,H311,0)</f>
        <v>0</v>
      </c>
      <c r="AI311" s="37">
        <f>IF(AL311=15,H311,0)</f>
        <v>0</v>
      </c>
      <c r="AJ311" s="37">
        <f>IF(AL311=21,H311,0)</f>
        <v>0</v>
      </c>
      <c r="AL311" s="37">
        <v>21</v>
      </c>
      <c r="AM311" s="37">
        <f>G311*0.655198440153469</f>
        <v>0</v>
      </c>
      <c r="AN311" s="37">
        <f>G311*(1-0.655198440153469)</f>
        <v>0</v>
      </c>
      <c r="AO311" s="38" t="s">
        <v>90</v>
      </c>
      <c r="AT311" s="37">
        <f>AU311+AV311</f>
        <v>0</v>
      </c>
      <c r="AU311" s="37">
        <f>F311*AM311</f>
        <v>0</v>
      </c>
      <c r="AV311" s="37">
        <f>F311*AN311</f>
        <v>0</v>
      </c>
      <c r="AW311" s="38" t="s">
        <v>559</v>
      </c>
      <c r="AX311" s="38" t="s">
        <v>522</v>
      </c>
      <c r="AY311" s="23" t="s">
        <v>97</v>
      </c>
      <c r="BA311" s="37">
        <f>AU311+AV311</f>
        <v>0</v>
      </c>
      <c r="BB311" s="37">
        <f>G311/(100-BC311)*100</f>
        <v>0</v>
      </c>
      <c r="BC311" s="37">
        <v>0</v>
      </c>
      <c r="BD311" s="37">
        <f>J311</f>
        <v>0</v>
      </c>
      <c r="BF311" s="37">
        <f>F311*AM311</f>
        <v>0</v>
      </c>
      <c r="BG311" s="37">
        <f>F311*AN311</f>
        <v>0</v>
      </c>
      <c r="BH311" s="37">
        <f>F311*G311</f>
        <v>0</v>
      </c>
    </row>
    <row r="312" spans="1:11" ht="12.75">
      <c r="A312" s="39"/>
      <c r="B312" s="40"/>
      <c r="C312" s="40"/>
      <c r="D312" s="41" t="s">
        <v>581</v>
      </c>
      <c r="E312" s="40"/>
      <c r="F312" s="42">
        <v>163</v>
      </c>
      <c r="G312" s="40"/>
      <c r="H312" s="40"/>
      <c r="I312" s="43"/>
      <c r="J312" s="43"/>
      <c r="K312" s="40"/>
    </row>
    <row r="313" spans="1:60" ht="12.75">
      <c r="A313" s="16" t="s">
        <v>582</v>
      </c>
      <c r="B313" s="16"/>
      <c r="C313" s="16" t="s">
        <v>583</v>
      </c>
      <c r="D313" s="32" t="s">
        <v>584</v>
      </c>
      <c r="E313" s="16" t="s">
        <v>102</v>
      </c>
      <c r="F313" s="33">
        <v>25.068</v>
      </c>
      <c r="G313" s="422"/>
      <c r="H313" s="34">
        <f>F313*G313</f>
        <v>0</v>
      </c>
      <c r="I313" s="35">
        <v>0.04</v>
      </c>
      <c r="J313" s="35">
        <f>F313*I313</f>
        <v>1.00272</v>
      </c>
      <c r="K313" s="36" t="s">
        <v>94</v>
      </c>
      <c r="X313" s="37">
        <f>IF(AO313="5",BH313,0)</f>
        <v>0</v>
      </c>
      <c r="Z313" s="37">
        <f>IF(AO313="1",BF313,0)</f>
        <v>0</v>
      </c>
      <c r="AA313" s="37">
        <f>IF(AO313="1",BG313,0)</f>
        <v>0</v>
      </c>
      <c r="AB313" s="37">
        <f>IF(AO313="7",BF313,0)</f>
        <v>0</v>
      </c>
      <c r="AC313" s="37">
        <f>IF(AO313="7",BG313,0)</f>
        <v>0</v>
      </c>
      <c r="AD313" s="37">
        <f>IF(AO313="2",BF313,0)</f>
        <v>0</v>
      </c>
      <c r="AE313" s="37">
        <f>IF(AO313="2",BG313,0)</f>
        <v>0</v>
      </c>
      <c r="AF313" s="37">
        <f>IF(AO313="0",BH313,0)</f>
        <v>0</v>
      </c>
      <c r="AG313" s="23"/>
      <c r="AH313" s="37">
        <f>IF(AL313=0,H313,0)</f>
        <v>0</v>
      </c>
      <c r="AI313" s="37">
        <f>IF(AL313=15,H313,0)</f>
        <v>0</v>
      </c>
      <c r="AJ313" s="37">
        <f>IF(AL313=21,H313,0)</f>
        <v>0</v>
      </c>
      <c r="AL313" s="37">
        <v>21</v>
      </c>
      <c r="AM313" s="37">
        <f>G313*0.090265479040221</f>
        <v>0</v>
      </c>
      <c r="AN313" s="37">
        <f>G313*(1-0.090265479040221)</f>
        <v>0</v>
      </c>
      <c r="AO313" s="38" t="s">
        <v>90</v>
      </c>
      <c r="AT313" s="37">
        <f>AU313+AV313</f>
        <v>0</v>
      </c>
      <c r="AU313" s="37">
        <f>F313*AM313</f>
        <v>0</v>
      </c>
      <c r="AV313" s="37">
        <f>F313*AN313</f>
        <v>0</v>
      </c>
      <c r="AW313" s="38" t="s">
        <v>559</v>
      </c>
      <c r="AX313" s="38" t="s">
        <v>522</v>
      </c>
      <c r="AY313" s="23" t="s">
        <v>97</v>
      </c>
      <c r="BA313" s="37">
        <f>AU313+AV313</f>
        <v>0</v>
      </c>
      <c r="BB313" s="37">
        <f>G313/(100-BC313)*100</f>
        <v>0</v>
      </c>
      <c r="BC313" s="37">
        <v>0</v>
      </c>
      <c r="BD313" s="37">
        <f>J313</f>
        <v>1.00272</v>
      </c>
      <c r="BF313" s="37">
        <f>F313*AM313</f>
        <v>0</v>
      </c>
      <c r="BG313" s="37">
        <f>F313*AN313</f>
        <v>0</v>
      </c>
      <c r="BH313" s="37">
        <f>F313*G313</f>
        <v>0</v>
      </c>
    </row>
    <row r="314" spans="1:11" ht="12.75">
      <c r="A314" s="39"/>
      <c r="B314" s="40"/>
      <c r="C314" s="40"/>
      <c r="D314" s="41" t="s">
        <v>585</v>
      </c>
      <c r="E314" s="40"/>
      <c r="F314" s="42">
        <v>14.64</v>
      </c>
      <c r="G314" s="40"/>
      <c r="H314" s="40"/>
      <c r="I314" s="43"/>
      <c r="J314" s="43"/>
      <c r="K314" s="40"/>
    </row>
    <row r="315" spans="1:11" ht="12.75">
      <c r="A315" s="39"/>
      <c r="B315" s="40"/>
      <c r="C315" s="40"/>
      <c r="D315" s="41" t="s">
        <v>586</v>
      </c>
      <c r="E315" s="40"/>
      <c r="F315" s="42">
        <v>5.4</v>
      </c>
      <c r="G315" s="40"/>
      <c r="H315" s="40"/>
      <c r="I315" s="43"/>
      <c r="J315" s="43"/>
      <c r="K315" s="40"/>
    </row>
    <row r="316" spans="1:11" ht="12.75">
      <c r="A316" s="39"/>
      <c r="B316" s="40"/>
      <c r="C316" s="40"/>
      <c r="D316" s="41" t="s">
        <v>587</v>
      </c>
      <c r="E316" s="40"/>
      <c r="F316" s="42">
        <v>5.028</v>
      </c>
      <c r="G316" s="40"/>
      <c r="H316" s="40"/>
      <c r="I316" s="43"/>
      <c r="J316" s="43"/>
      <c r="K316" s="40"/>
    </row>
    <row r="317" spans="1:60" ht="12.75">
      <c r="A317" s="16" t="s">
        <v>588</v>
      </c>
      <c r="B317" s="16"/>
      <c r="C317" s="16" t="s">
        <v>589</v>
      </c>
      <c r="D317" s="32" t="s">
        <v>590</v>
      </c>
      <c r="E317" s="16" t="s">
        <v>102</v>
      </c>
      <c r="F317" s="33">
        <v>101.492</v>
      </c>
      <c r="G317" s="422"/>
      <c r="H317" s="34">
        <f>F317*G317</f>
        <v>0</v>
      </c>
      <c r="I317" s="35">
        <v>0</v>
      </c>
      <c r="J317" s="35">
        <f>F317*I317</f>
        <v>0</v>
      </c>
      <c r="K317" s="36" t="s">
        <v>94</v>
      </c>
      <c r="X317" s="37">
        <f>IF(AO317="5",BH317,0)</f>
        <v>0</v>
      </c>
      <c r="Z317" s="37">
        <f>IF(AO317="1",BF317,0)</f>
        <v>0</v>
      </c>
      <c r="AA317" s="37">
        <f>IF(AO317="1",BG317,0)</f>
        <v>0</v>
      </c>
      <c r="AB317" s="37">
        <f>IF(AO317="7",BF317,0)</f>
        <v>0</v>
      </c>
      <c r="AC317" s="37">
        <f>IF(AO317="7",BG317,0)</f>
        <v>0</v>
      </c>
      <c r="AD317" s="37">
        <f>IF(AO317="2",BF317,0)</f>
        <v>0</v>
      </c>
      <c r="AE317" s="37">
        <f>IF(AO317="2",BG317,0)</f>
        <v>0</v>
      </c>
      <c r="AF317" s="37">
        <f>IF(AO317="0",BH317,0)</f>
        <v>0</v>
      </c>
      <c r="AG317" s="23"/>
      <c r="AH317" s="37">
        <f>IF(AL317=0,H317,0)</f>
        <v>0</v>
      </c>
      <c r="AI317" s="37">
        <f>IF(AL317=15,H317,0)</f>
        <v>0</v>
      </c>
      <c r="AJ317" s="37">
        <f>IF(AL317=21,H317,0)</f>
        <v>0</v>
      </c>
      <c r="AL317" s="37">
        <v>21</v>
      </c>
      <c r="AM317" s="37">
        <f>G317*0</f>
        <v>0</v>
      </c>
      <c r="AN317" s="37">
        <f>G317*(1-0)</f>
        <v>0</v>
      </c>
      <c r="AO317" s="38" t="s">
        <v>90</v>
      </c>
      <c r="AT317" s="37">
        <f>AU317+AV317</f>
        <v>0</v>
      </c>
      <c r="AU317" s="37">
        <f>F317*AM317</f>
        <v>0</v>
      </c>
      <c r="AV317" s="37">
        <f>F317*AN317</f>
        <v>0</v>
      </c>
      <c r="AW317" s="38" t="s">
        <v>559</v>
      </c>
      <c r="AX317" s="38" t="s">
        <v>522</v>
      </c>
      <c r="AY317" s="23" t="s">
        <v>97</v>
      </c>
      <c r="BA317" s="37">
        <f>AU317+AV317</f>
        <v>0</v>
      </c>
      <c r="BB317" s="37">
        <f>G317/(100-BC317)*100</f>
        <v>0</v>
      </c>
      <c r="BC317" s="37">
        <v>0</v>
      </c>
      <c r="BD317" s="37">
        <f>J317</f>
        <v>0</v>
      </c>
      <c r="BF317" s="37">
        <f>F317*AM317</f>
        <v>0</v>
      </c>
      <c r="BG317" s="37">
        <f>F317*AN317</f>
        <v>0</v>
      </c>
      <c r="BH317" s="37">
        <f>F317*G317</f>
        <v>0</v>
      </c>
    </row>
    <row r="318" spans="1:11" ht="12.75">
      <c r="A318" s="39"/>
      <c r="B318" s="40"/>
      <c r="C318" s="40"/>
      <c r="D318" s="41" t="s">
        <v>591</v>
      </c>
      <c r="E318" s="40"/>
      <c r="F318" s="42">
        <v>52.479</v>
      </c>
      <c r="G318" s="40"/>
      <c r="H318" s="40"/>
      <c r="I318" s="43"/>
      <c r="J318" s="43"/>
      <c r="K318" s="40"/>
    </row>
    <row r="319" spans="1:11" ht="12.75">
      <c r="A319" s="39"/>
      <c r="B319" s="40"/>
      <c r="C319" s="40"/>
      <c r="D319" s="41" t="s">
        <v>592</v>
      </c>
      <c r="E319" s="40"/>
      <c r="F319" s="42">
        <v>29.345</v>
      </c>
      <c r="G319" s="40"/>
      <c r="H319" s="40"/>
      <c r="I319" s="43"/>
      <c r="J319" s="43"/>
      <c r="K319" s="40"/>
    </row>
    <row r="320" spans="1:11" ht="12.75">
      <c r="A320" s="39"/>
      <c r="B320" s="40"/>
      <c r="C320" s="40"/>
      <c r="D320" s="41" t="s">
        <v>585</v>
      </c>
      <c r="E320" s="40"/>
      <c r="F320" s="42">
        <v>14.64</v>
      </c>
      <c r="G320" s="40"/>
      <c r="H320" s="40"/>
      <c r="I320" s="43"/>
      <c r="J320" s="43"/>
      <c r="K320" s="40"/>
    </row>
    <row r="321" spans="1:11" ht="12.75">
      <c r="A321" s="39"/>
      <c r="B321" s="40"/>
      <c r="C321" s="40"/>
      <c r="D321" s="41" t="s">
        <v>573</v>
      </c>
      <c r="E321" s="40"/>
      <c r="F321" s="42">
        <v>5.028</v>
      </c>
      <c r="G321" s="40"/>
      <c r="H321" s="40"/>
      <c r="I321" s="43"/>
      <c r="J321" s="43"/>
      <c r="K321" s="40"/>
    </row>
    <row r="322" spans="1:60" ht="25.5">
      <c r="A322" s="16" t="s">
        <v>593</v>
      </c>
      <c r="B322" s="16"/>
      <c r="C322" s="16" t="s">
        <v>594</v>
      </c>
      <c r="D322" s="32" t="s">
        <v>595</v>
      </c>
      <c r="E322" s="16" t="s">
        <v>239</v>
      </c>
      <c r="F322" s="33">
        <v>2.1413153</v>
      </c>
      <c r="G322" s="422"/>
      <c r="H322" s="34">
        <f>F322*G322</f>
        <v>0</v>
      </c>
      <c r="I322" s="35">
        <v>1.06325</v>
      </c>
      <c r="J322" s="35">
        <f>F322*I322</f>
        <v>2.276753492725</v>
      </c>
      <c r="K322" s="36" t="s">
        <v>94</v>
      </c>
      <c r="X322" s="37">
        <f>IF(AO322="5",BH322,0)</f>
        <v>0</v>
      </c>
      <c r="Z322" s="37">
        <f>IF(AO322="1",BF322,0)</f>
        <v>0</v>
      </c>
      <c r="AA322" s="37">
        <f>IF(AO322="1",BG322,0)</f>
        <v>0</v>
      </c>
      <c r="AB322" s="37">
        <f>IF(AO322="7",BF322,0)</f>
        <v>0</v>
      </c>
      <c r="AC322" s="37">
        <f>IF(AO322="7",BG322,0)</f>
        <v>0</v>
      </c>
      <c r="AD322" s="37">
        <f>IF(AO322="2",BF322,0)</f>
        <v>0</v>
      </c>
      <c r="AE322" s="37">
        <f>IF(AO322="2",BG322,0)</f>
        <v>0</v>
      </c>
      <c r="AF322" s="37">
        <f>IF(AO322="0",BH322,0)</f>
        <v>0</v>
      </c>
      <c r="AG322" s="23"/>
      <c r="AH322" s="37">
        <f>IF(AL322=0,H322,0)</f>
        <v>0</v>
      </c>
      <c r="AI322" s="37">
        <f>IF(AL322=15,H322,0)</f>
        <v>0</v>
      </c>
      <c r="AJ322" s="37">
        <f>IF(AL322=21,H322,0)</f>
        <v>0</v>
      </c>
      <c r="AL322" s="37">
        <v>21</v>
      </c>
      <c r="AM322" s="37">
        <f>G322*0.81721016658562</f>
        <v>0</v>
      </c>
      <c r="AN322" s="37">
        <f>G322*(1-0.81721016658562)</f>
        <v>0</v>
      </c>
      <c r="AO322" s="38" t="s">
        <v>90</v>
      </c>
      <c r="AT322" s="37">
        <f>AU322+AV322</f>
        <v>0</v>
      </c>
      <c r="AU322" s="37">
        <f>F322*AM322</f>
        <v>0</v>
      </c>
      <c r="AV322" s="37">
        <f>F322*AN322</f>
        <v>0</v>
      </c>
      <c r="AW322" s="38" t="s">
        <v>559</v>
      </c>
      <c r="AX322" s="38" t="s">
        <v>522</v>
      </c>
      <c r="AY322" s="23" t="s">
        <v>97</v>
      </c>
      <c r="BA322" s="37">
        <f>AU322+AV322</f>
        <v>0</v>
      </c>
      <c r="BB322" s="37">
        <f>G322/(100-BC322)*100</f>
        <v>0</v>
      </c>
      <c r="BC322" s="37">
        <v>0</v>
      </c>
      <c r="BD322" s="37">
        <f>J322</f>
        <v>2.276753492725</v>
      </c>
      <c r="BF322" s="37">
        <f>F322*AM322</f>
        <v>0</v>
      </c>
      <c r="BG322" s="37">
        <f>F322*AN322</f>
        <v>0</v>
      </c>
      <c r="BH322" s="37">
        <f>F322*G322</f>
        <v>0</v>
      </c>
    </row>
    <row r="323" spans="1:11" ht="12.75">
      <c r="A323" s="39"/>
      <c r="B323" s="40"/>
      <c r="C323" s="40"/>
      <c r="D323" s="41" t="s">
        <v>596</v>
      </c>
      <c r="E323" s="40"/>
      <c r="F323" s="42">
        <v>1.0863153</v>
      </c>
      <c r="G323" s="40"/>
      <c r="H323" s="40"/>
      <c r="I323" s="43"/>
      <c r="J323" s="43"/>
      <c r="K323" s="40"/>
    </row>
    <row r="324" spans="1:11" ht="12.75">
      <c r="A324" s="39"/>
      <c r="B324" s="40"/>
      <c r="C324" s="40"/>
      <c r="D324" s="41" t="s">
        <v>597</v>
      </c>
      <c r="E324" s="40"/>
      <c r="F324" s="42">
        <v>0.607</v>
      </c>
      <c r="G324" s="40"/>
      <c r="H324" s="40"/>
      <c r="I324" s="43"/>
      <c r="J324" s="43"/>
      <c r="K324" s="40"/>
    </row>
    <row r="325" spans="1:11" ht="12.75">
      <c r="A325" s="39"/>
      <c r="B325" s="40"/>
      <c r="C325" s="40"/>
      <c r="D325" s="41" t="s">
        <v>598</v>
      </c>
      <c r="E325" s="40"/>
      <c r="F325" s="42">
        <v>0.318</v>
      </c>
      <c r="G325" s="40"/>
      <c r="H325" s="40"/>
      <c r="I325" s="43"/>
      <c r="J325" s="43"/>
      <c r="K325" s="40"/>
    </row>
    <row r="326" spans="1:11" ht="12.75">
      <c r="A326" s="39"/>
      <c r="B326" s="40"/>
      <c r="C326" s="40"/>
      <c r="D326" s="41" t="s">
        <v>599</v>
      </c>
      <c r="E326" s="40"/>
      <c r="F326" s="42">
        <v>0.13</v>
      </c>
      <c r="G326" s="40"/>
      <c r="H326" s="40"/>
      <c r="I326" s="43"/>
      <c r="J326" s="43"/>
      <c r="K326" s="40"/>
    </row>
    <row r="327" spans="1:11" ht="25.5">
      <c r="A327" s="39" t="s">
        <v>600</v>
      </c>
      <c r="B327" s="40"/>
      <c r="C327" s="40" t="s">
        <v>601</v>
      </c>
      <c r="D327" s="32" t="s">
        <v>602</v>
      </c>
      <c r="E327" s="40" t="s">
        <v>239</v>
      </c>
      <c r="F327" s="42">
        <v>1.6043052</v>
      </c>
      <c r="G327" s="422"/>
      <c r="H327" s="34">
        <f>F327*G327</f>
        <v>0</v>
      </c>
      <c r="I327" s="35">
        <v>1.06325</v>
      </c>
      <c r="J327" s="35">
        <f>F327*I327</f>
        <v>1.7057775039</v>
      </c>
      <c r="K327" s="36" t="s">
        <v>94</v>
      </c>
    </row>
    <row r="328" spans="1:11" ht="12.75">
      <c r="A328" s="39"/>
      <c r="B328" s="40"/>
      <c r="C328" s="40"/>
      <c r="D328" s="41" t="s">
        <v>603</v>
      </c>
      <c r="E328" s="40"/>
      <c r="F328" s="42">
        <v>1.6043052</v>
      </c>
      <c r="G328" s="40"/>
      <c r="H328" s="40"/>
      <c r="I328" s="43"/>
      <c r="J328" s="43"/>
      <c r="K328" s="40"/>
    </row>
    <row r="329" spans="1:60" ht="25.5">
      <c r="A329" s="16" t="s">
        <v>604</v>
      </c>
      <c r="B329" s="16"/>
      <c r="C329" s="16" t="s">
        <v>605</v>
      </c>
      <c r="D329" s="32" t="s">
        <v>606</v>
      </c>
      <c r="E329" s="16" t="s">
        <v>192</v>
      </c>
      <c r="F329" s="33">
        <v>49.75</v>
      </c>
      <c r="G329" s="422"/>
      <c r="H329" s="34">
        <f>F329*G329</f>
        <v>0</v>
      </c>
      <c r="I329" s="35">
        <v>0.00181</v>
      </c>
      <c r="J329" s="35">
        <f>F329*I329</f>
        <v>0.0900475</v>
      </c>
      <c r="K329" s="36" t="s">
        <v>94</v>
      </c>
      <c r="X329" s="37">
        <f>IF(AO329="5",BH329,0)</f>
        <v>0</v>
      </c>
      <c r="Z329" s="37">
        <f>IF(AO329="1",BF329,0)</f>
        <v>0</v>
      </c>
      <c r="AA329" s="37">
        <f>IF(AO329="1",BG329,0)</f>
        <v>0</v>
      </c>
      <c r="AB329" s="37">
        <f>IF(AO329="7",BF329,0)</f>
        <v>0</v>
      </c>
      <c r="AC329" s="37">
        <f>IF(AO329="7",BG329,0)</f>
        <v>0</v>
      </c>
      <c r="AD329" s="37">
        <f>IF(AO329="2",BF329,0)</f>
        <v>0</v>
      </c>
      <c r="AE329" s="37">
        <f>IF(AO329="2",BG329,0)</f>
        <v>0</v>
      </c>
      <c r="AF329" s="37">
        <f>IF(AO329="0",BH329,0)</f>
        <v>0</v>
      </c>
      <c r="AG329" s="23"/>
      <c r="AH329" s="37">
        <f>IF(AL329=0,H329,0)</f>
        <v>0</v>
      </c>
      <c r="AI329" s="37">
        <f>IF(AL329=15,H329,0)</f>
        <v>0</v>
      </c>
      <c r="AJ329" s="37">
        <f>IF(AL329=21,H329,0)</f>
        <v>0</v>
      </c>
      <c r="AL329" s="37">
        <v>21</v>
      </c>
      <c r="AM329" s="37">
        <f>G329*0.801735776277724</f>
        <v>0</v>
      </c>
      <c r="AN329" s="37">
        <f>G329*(1-0.801735776277724)</f>
        <v>0</v>
      </c>
      <c r="AO329" s="38" t="s">
        <v>90</v>
      </c>
      <c r="AT329" s="37">
        <f>AU329+AV329</f>
        <v>0</v>
      </c>
      <c r="AU329" s="37">
        <f>F329*AM329</f>
        <v>0</v>
      </c>
      <c r="AV329" s="37">
        <f>F329*AN329</f>
        <v>0</v>
      </c>
      <c r="AW329" s="38" t="s">
        <v>559</v>
      </c>
      <c r="AX329" s="38" t="s">
        <v>522</v>
      </c>
      <c r="AY329" s="23" t="s">
        <v>97</v>
      </c>
      <c r="BA329" s="37">
        <f>AU329+AV329</f>
        <v>0</v>
      </c>
      <c r="BB329" s="37">
        <f>G329/(100-BC329)*100</f>
        <v>0</v>
      </c>
      <c r="BC329" s="37">
        <v>0</v>
      </c>
      <c r="BD329" s="37">
        <f>J329</f>
        <v>0.0900475</v>
      </c>
      <c r="BF329" s="37">
        <f>F329*AM329</f>
        <v>0</v>
      </c>
      <c r="BG329" s="37">
        <f>F329*AN329</f>
        <v>0</v>
      </c>
      <c r="BH329" s="37">
        <f>F329*G329</f>
        <v>0</v>
      </c>
    </row>
    <row r="330" spans="1:11" ht="12.75">
      <c r="A330" s="39"/>
      <c r="B330" s="40"/>
      <c r="C330" s="40"/>
      <c r="D330" s="41" t="s">
        <v>607</v>
      </c>
      <c r="E330" s="40"/>
      <c r="F330" s="42">
        <v>49.75</v>
      </c>
      <c r="G330" s="40"/>
      <c r="H330" s="40"/>
      <c r="I330" s="43"/>
      <c r="J330" s="43"/>
      <c r="K330" s="40"/>
    </row>
    <row r="331" spans="1:45" ht="12.75">
      <c r="A331" s="24"/>
      <c r="B331" s="25"/>
      <c r="C331" s="25" t="s">
        <v>413</v>
      </c>
      <c r="D331" s="26" t="s">
        <v>608</v>
      </c>
      <c r="E331" s="24" t="s">
        <v>54</v>
      </c>
      <c r="F331" s="24" t="s">
        <v>54</v>
      </c>
      <c r="G331" s="24"/>
      <c r="H331" s="27">
        <f>SUM(H332:H339)</f>
        <v>0</v>
      </c>
      <c r="I331" s="28"/>
      <c r="J331" s="28">
        <f>SUM(J332:J339)</f>
        <v>0.7038</v>
      </c>
      <c r="K331" s="29"/>
      <c r="AG331" s="23"/>
      <c r="AQ331" s="31">
        <f>SUM(AH332:AH339)</f>
        <v>0</v>
      </c>
      <c r="AR331" s="31">
        <f>SUM(AI332:AI339)</f>
        <v>0</v>
      </c>
      <c r="AS331" s="31">
        <f>SUM(AJ332:AJ339)</f>
        <v>0</v>
      </c>
    </row>
    <row r="332" spans="1:60" ht="25.5">
      <c r="A332" s="44" t="s">
        <v>609</v>
      </c>
      <c r="B332" s="44"/>
      <c r="C332" s="44" t="s">
        <v>610</v>
      </c>
      <c r="D332" s="45" t="s">
        <v>611</v>
      </c>
      <c r="E332" s="44" t="s">
        <v>225</v>
      </c>
      <c r="F332" s="46">
        <v>2</v>
      </c>
      <c r="G332" s="423"/>
      <c r="H332" s="47">
        <f>F332*G332</f>
        <v>0</v>
      </c>
      <c r="I332" s="48">
        <v>0.04315</v>
      </c>
      <c r="J332" s="48">
        <f>F332*I332</f>
        <v>0.0863</v>
      </c>
      <c r="K332" s="49" t="s">
        <v>94</v>
      </c>
      <c r="X332" s="37">
        <f>IF(AO332="5",BH332,0)</f>
        <v>0</v>
      </c>
      <c r="Z332" s="37">
        <f>IF(AO332="1",BF332,0)</f>
        <v>0</v>
      </c>
      <c r="AA332" s="37">
        <f>IF(AO332="1",BG332,0)</f>
        <v>0</v>
      </c>
      <c r="AB332" s="37">
        <f>IF(AO332="7",BF332,0)</f>
        <v>0</v>
      </c>
      <c r="AC332" s="37">
        <f>IF(AO332="7",BG332,0)</f>
        <v>0</v>
      </c>
      <c r="AD332" s="37">
        <f>IF(AO332="2",BF332,0)</f>
        <v>0</v>
      </c>
      <c r="AE332" s="37">
        <f>IF(AO332="2",BG332,0)</f>
        <v>0</v>
      </c>
      <c r="AF332" s="37">
        <f>IF(AO332="0",BH332,0)</f>
        <v>0</v>
      </c>
      <c r="AG332" s="23"/>
      <c r="AH332" s="37">
        <f>IF(AL332=0,H332,0)</f>
        <v>0</v>
      </c>
      <c r="AI332" s="37">
        <f>IF(AL332=15,H332,0)</f>
        <v>0</v>
      </c>
      <c r="AJ332" s="37">
        <f>IF(AL332=21,H332,0)</f>
        <v>0</v>
      </c>
      <c r="AL332" s="37">
        <v>21</v>
      </c>
      <c r="AM332" s="37">
        <f>G332*0.889268941584731</f>
        <v>0</v>
      </c>
      <c r="AN332" s="37">
        <f>G332*(1-0.889268941584731)</f>
        <v>0</v>
      </c>
      <c r="AO332" s="38" t="s">
        <v>90</v>
      </c>
      <c r="AT332" s="37">
        <f>AU332+AV332</f>
        <v>0</v>
      </c>
      <c r="AU332" s="37">
        <f>F332*AM332</f>
        <v>0</v>
      </c>
      <c r="AV332" s="37">
        <f>F332*AN332</f>
        <v>0</v>
      </c>
      <c r="AW332" s="38" t="s">
        <v>612</v>
      </c>
      <c r="AX332" s="38" t="s">
        <v>522</v>
      </c>
      <c r="AY332" s="23" t="s">
        <v>97</v>
      </c>
      <c r="BA332" s="37">
        <f>AU332+AV332</f>
        <v>0</v>
      </c>
      <c r="BB332" s="37">
        <f>G332/(100-BC332)*100</f>
        <v>0</v>
      </c>
      <c r="BC332" s="37">
        <v>0</v>
      </c>
      <c r="BD332" s="37">
        <f>J332</f>
        <v>0.0863</v>
      </c>
      <c r="BF332" s="37">
        <f>F332*AM332</f>
        <v>0</v>
      </c>
      <c r="BG332" s="37">
        <f>F332*AN332</f>
        <v>0</v>
      </c>
      <c r="BH332" s="37">
        <f>F332*G332</f>
        <v>0</v>
      </c>
    </row>
    <row r="333" spans="1:11" ht="12.75">
      <c r="A333" s="50"/>
      <c r="B333" s="51"/>
      <c r="C333" s="51"/>
      <c r="D333" s="52" t="s">
        <v>334</v>
      </c>
      <c r="E333" s="51"/>
      <c r="F333" s="53">
        <v>2</v>
      </c>
      <c r="G333" s="51"/>
      <c r="H333" s="51"/>
      <c r="I333" s="54"/>
      <c r="J333" s="54"/>
      <c r="K333" s="51"/>
    </row>
    <row r="334" spans="1:60" ht="25.5">
      <c r="A334" s="44" t="s">
        <v>613</v>
      </c>
      <c r="B334" s="44"/>
      <c r="C334" s="44" t="s">
        <v>614</v>
      </c>
      <c r="D334" s="45" t="s">
        <v>615</v>
      </c>
      <c r="E334" s="44" t="s">
        <v>225</v>
      </c>
      <c r="F334" s="46">
        <v>16</v>
      </c>
      <c r="G334" s="423"/>
      <c r="H334" s="47">
        <f>F334*G334</f>
        <v>0</v>
      </c>
      <c r="I334" s="48">
        <v>0.0247</v>
      </c>
      <c r="J334" s="48">
        <f>F334*I334</f>
        <v>0.3952</v>
      </c>
      <c r="K334" s="49" t="s">
        <v>94</v>
      </c>
      <c r="X334" s="37">
        <f>IF(AO334="5",BH334,0)</f>
        <v>0</v>
      </c>
      <c r="Z334" s="37">
        <f>IF(AO334="1",BF334,0)</f>
        <v>0</v>
      </c>
      <c r="AA334" s="37">
        <f>IF(AO334="1",BG334,0)</f>
        <v>0</v>
      </c>
      <c r="AB334" s="37">
        <f>IF(AO334="7",BF334,0)</f>
        <v>0</v>
      </c>
      <c r="AC334" s="37">
        <f>IF(AO334="7",BG334,0)</f>
        <v>0</v>
      </c>
      <c r="AD334" s="37">
        <f>IF(AO334="2",BF334,0)</f>
        <v>0</v>
      </c>
      <c r="AE334" s="37">
        <f>IF(AO334="2",BG334,0)</f>
        <v>0</v>
      </c>
      <c r="AF334" s="37">
        <f>IF(AO334="0",BH334,0)</f>
        <v>0</v>
      </c>
      <c r="AG334" s="23"/>
      <c r="AH334" s="37">
        <f>IF(AL334=0,H334,0)</f>
        <v>0</v>
      </c>
      <c r="AI334" s="37">
        <f>IF(AL334=15,H334,0)</f>
        <v>0</v>
      </c>
      <c r="AJ334" s="37">
        <f>IF(AL334=21,H334,0)</f>
        <v>0</v>
      </c>
      <c r="AL334" s="37">
        <v>21</v>
      </c>
      <c r="AM334" s="37">
        <f>G334*0.735034534771049</f>
        <v>0</v>
      </c>
      <c r="AN334" s="37">
        <f>G334*(1-0.735034534771049)</f>
        <v>0</v>
      </c>
      <c r="AO334" s="38" t="s">
        <v>90</v>
      </c>
      <c r="AT334" s="37">
        <f>AU334+AV334</f>
        <v>0</v>
      </c>
      <c r="AU334" s="37">
        <f>F334*AM334</f>
        <v>0</v>
      </c>
      <c r="AV334" s="37">
        <f>F334*AN334</f>
        <v>0</v>
      </c>
      <c r="AW334" s="38" t="s">
        <v>612</v>
      </c>
      <c r="AX334" s="38" t="s">
        <v>522</v>
      </c>
      <c r="AY334" s="23" t="s">
        <v>97</v>
      </c>
      <c r="BA334" s="37">
        <f>AU334+AV334</f>
        <v>0</v>
      </c>
      <c r="BB334" s="37">
        <f>G334/(100-BC334)*100</f>
        <v>0</v>
      </c>
      <c r="BC334" s="37">
        <v>0</v>
      </c>
      <c r="BD334" s="37">
        <f>J334</f>
        <v>0.3952</v>
      </c>
      <c r="BF334" s="37">
        <f>F334*AM334</f>
        <v>0</v>
      </c>
      <c r="BG334" s="37">
        <f>F334*AN334</f>
        <v>0</v>
      </c>
      <c r="BH334" s="37">
        <f>F334*G334</f>
        <v>0</v>
      </c>
    </row>
    <row r="335" spans="1:11" ht="12.75">
      <c r="A335" s="50"/>
      <c r="B335" s="51"/>
      <c r="C335" s="51"/>
      <c r="D335" s="52" t="s">
        <v>616</v>
      </c>
      <c r="E335" s="51"/>
      <c r="F335" s="53">
        <v>1</v>
      </c>
      <c r="G335" s="51"/>
      <c r="H335" s="51"/>
      <c r="I335" s="54"/>
      <c r="J335" s="54"/>
      <c r="K335" s="51"/>
    </row>
    <row r="336" spans="1:11" ht="12.75">
      <c r="A336" s="50"/>
      <c r="B336" s="51"/>
      <c r="C336" s="51"/>
      <c r="D336" s="52" t="s">
        <v>617</v>
      </c>
      <c r="E336" s="51"/>
      <c r="F336" s="53">
        <v>10</v>
      </c>
      <c r="G336" s="51"/>
      <c r="H336" s="51"/>
      <c r="I336" s="54"/>
      <c r="J336" s="54"/>
      <c r="K336" s="51"/>
    </row>
    <row r="337" spans="1:11" ht="12.75">
      <c r="A337" s="50"/>
      <c r="B337" s="51"/>
      <c r="C337" s="51"/>
      <c r="D337" s="52" t="s">
        <v>618</v>
      </c>
      <c r="E337" s="51"/>
      <c r="F337" s="53">
        <v>3</v>
      </c>
      <c r="G337" s="51"/>
      <c r="H337" s="51"/>
      <c r="I337" s="54"/>
      <c r="J337" s="54"/>
      <c r="K337" s="51"/>
    </row>
    <row r="338" spans="1:11" ht="12.75">
      <c r="A338" s="50"/>
      <c r="B338" s="51"/>
      <c r="C338" s="51"/>
      <c r="D338" s="52" t="s">
        <v>619</v>
      </c>
      <c r="E338" s="51"/>
      <c r="F338" s="53">
        <v>2</v>
      </c>
      <c r="G338" s="51"/>
      <c r="H338" s="51"/>
      <c r="I338" s="54"/>
      <c r="J338" s="54"/>
      <c r="K338" s="51"/>
    </row>
    <row r="339" spans="1:60" ht="25.5">
      <c r="A339" s="44" t="s">
        <v>620</v>
      </c>
      <c r="B339" s="44"/>
      <c r="C339" s="44" t="s">
        <v>621</v>
      </c>
      <c r="D339" s="45" t="s">
        <v>622</v>
      </c>
      <c r="E339" s="44" t="s">
        <v>225</v>
      </c>
      <c r="F339" s="46">
        <v>9</v>
      </c>
      <c r="G339" s="423"/>
      <c r="H339" s="47">
        <f>F339*G339</f>
        <v>0</v>
      </c>
      <c r="I339" s="48">
        <v>0.0247</v>
      </c>
      <c r="J339" s="48">
        <f>F339*I339</f>
        <v>0.2223</v>
      </c>
      <c r="K339" s="49" t="s">
        <v>226</v>
      </c>
      <c r="X339" s="37">
        <f>IF(AO339="5",BH339,0)</f>
        <v>0</v>
      </c>
      <c r="Z339" s="37">
        <f>IF(AO339="1",BF339,0)</f>
        <v>0</v>
      </c>
      <c r="AA339" s="37">
        <f>IF(AO339="1",BG339,0)</f>
        <v>0</v>
      </c>
      <c r="AB339" s="37">
        <f>IF(AO339="7",BF339,0)</f>
        <v>0</v>
      </c>
      <c r="AC339" s="37">
        <f>IF(AO339="7",BG339,0)</f>
        <v>0</v>
      </c>
      <c r="AD339" s="37">
        <f>IF(AO339="2",BF339,0)</f>
        <v>0</v>
      </c>
      <c r="AE339" s="37">
        <f>IF(AO339="2",BG339,0)</f>
        <v>0</v>
      </c>
      <c r="AF339" s="37">
        <f>IF(AO339="0",BH339,0)</f>
        <v>0</v>
      </c>
      <c r="AG339" s="23"/>
      <c r="AH339" s="37">
        <f>IF(AL339=0,H339,0)</f>
        <v>0</v>
      </c>
      <c r="AI339" s="37">
        <f>IF(AL339=15,H339,0)</f>
        <v>0</v>
      </c>
      <c r="AJ339" s="37">
        <f>IF(AL339=21,H339,0)</f>
        <v>0</v>
      </c>
      <c r="AL339" s="37">
        <v>21</v>
      </c>
      <c r="AM339" s="37">
        <f>G339*0.735035294117647</f>
        <v>0</v>
      </c>
      <c r="AN339" s="37">
        <f>G339*(1-0.735035294117647)</f>
        <v>0</v>
      </c>
      <c r="AO339" s="38" t="s">
        <v>90</v>
      </c>
      <c r="AT339" s="37">
        <f>AU339+AV339</f>
        <v>0</v>
      </c>
      <c r="AU339" s="37">
        <f>F339*AM339</f>
        <v>0</v>
      </c>
      <c r="AV339" s="37">
        <f>F339*AN339</f>
        <v>0</v>
      </c>
      <c r="AW339" s="38" t="s">
        <v>612</v>
      </c>
      <c r="AX339" s="38" t="s">
        <v>522</v>
      </c>
      <c r="AY339" s="23" t="s">
        <v>97</v>
      </c>
      <c r="BA339" s="37">
        <f>AU339+AV339</f>
        <v>0</v>
      </c>
      <c r="BB339" s="37">
        <f>G339/(100-BC339)*100</f>
        <v>0</v>
      </c>
      <c r="BC339" s="37">
        <v>0</v>
      </c>
      <c r="BD339" s="37">
        <f>J339</f>
        <v>0.2223</v>
      </c>
      <c r="BF339" s="37">
        <f>F339*AM339</f>
        <v>0</v>
      </c>
      <c r="BG339" s="37">
        <f>F339*AN339</f>
        <v>0</v>
      </c>
      <c r="BH339" s="37">
        <f>F339*G339</f>
        <v>0</v>
      </c>
    </row>
    <row r="340" spans="1:11" ht="12.75">
      <c r="A340" s="50"/>
      <c r="B340" s="51"/>
      <c r="C340" s="51"/>
      <c r="D340" s="52" t="s">
        <v>623</v>
      </c>
      <c r="E340" s="51"/>
      <c r="F340" s="53">
        <v>9</v>
      </c>
      <c r="G340" s="51"/>
      <c r="H340" s="51"/>
      <c r="I340" s="54"/>
      <c r="J340" s="54"/>
      <c r="K340" s="51"/>
    </row>
    <row r="341" spans="1:45" ht="25.5">
      <c r="A341" s="24"/>
      <c r="B341" s="25"/>
      <c r="C341" s="25" t="s">
        <v>546</v>
      </c>
      <c r="D341" s="26" t="s">
        <v>624</v>
      </c>
      <c r="E341" s="24" t="s">
        <v>54</v>
      </c>
      <c r="F341" s="24" t="s">
        <v>54</v>
      </c>
      <c r="G341" s="24"/>
      <c r="H341" s="27">
        <f>SUM(H342:H346)</f>
        <v>0</v>
      </c>
      <c r="I341" s="28"/>
      <c r="J341" s="28">
        <f>SUM(J342:J346)</f>
        <v>84.190365</v>
      </c>
      <c r="K341" s="29"/>
      <c r="AG341" s="23"/>
      <c r="AQ341" s="31">
        <f>SUM(AH342:AH346)</f>
        <v>0</v>
      </c>
      <c r="AR341" s="31">
        <f>SUM(AI342:AI346)</f>
        <v>0</v>
      </c>
      <c r="AS341" s="31">
        <f>SUM(AJ342:AJ346)</f>
        <v>0</v>
      </c>
    </row>
    <row r="342" spans="1:60" ht="25.5">
      <c r="A342" s="16" t="s">
        <v>625</v>
      </c>
      <c r="B342" s="16"/>
      <c r="C342" s="16" t="s">
        <v>626</v>
      </c>
      <c r="D342" s="32" t="s">
        <v>627</v>
      </c>
      <c r="E342" s="16" t="s">
        <v>395</v>
      </c>
      <c r="F342" s="33">
        <v>154.5</v>
      </c>
      <c r="G342" s="422"/>
      <c r="H342" s="34">
        <f>F342*G342</f>
        <v>0</v>
      </c>
      <c r="I342" s="35">
        <v>0.28297</v>
      </c>
      <c r="J342" s="35">
        <f>F342*I342</f>
        <v>43.718865</v>
      </c>
      <c r="K342" s="36" t="s">
        <v>94</v>
      </c>
      <c r="X342" s="37">
        <f>IF(AO342="5",BH342,0)</f>
        <v>0</v>
      </c>
      <c r="Z342" s="37">
        <f>IF(AO342="1",BF342,0)</f>
        <v>0</v>
      </c>
      <c r="AA342" s="37">
        <f>IF(AO342="1",BG342,0)</f>
        <v>0</v>
      </c>
      <c r="AB342" s="37">
        <f>IF(AO342="7",BF342,0)</f>
        <v>0</v>
      </c>
      <c r="AC342" s="37">
        <f>IF(AO342="7",BG342,0)</f>
        <v>0</v>
      </c>
      <c r="AD342" s="37">
        <f>IF(AO342="2",BF342,0)</f>
        <v>0</v>
      </c>
      <c r="AE342" s="37">
        <f>IF(AO342="2",BG342,0)</f>
        <v>0</v>
      </c>
      <c r="AF342" s="37">
        <f>IF(AO342="0",BH342,0)</f>
        <v>0</v>
      </c>
      <c r="AG342" s="23"/>
      <c r="AH342" s="37">
        <f>IF(AL342=0,H342,0)</f>
        <v>0</v>
      </c>
      <c r="AI342" s="37">
        <f>IF(AL342=15,H342,0)</f>
        <v>0</v>
      </c>
      <c r="AJ342" s="37">
        <f>IF(AL342=21,H342,0)</f>
        <v>0</v>
      </c>
      <c r="AL342" s="37">
        <v>21</v>
      </c>
      <c r="AM342" s="37">
        <f>G342*0.70780905395572</f>
        <v>0</v>
      </c>
      <c r="AN342" s="37">
        <f>G342*(1-0.70780905395572)</f>
        <v>0</v>
      </c>
      <c r="AO342" s="38" t="s">
        <v>90</v>
      </c>
      <c r="AT342" s="37">
        <f>AU342+AV342</f>
        <v>0</v>
      </c>
      <c r="AU342" s="37">
        <f>F342*AM342</f>
        <v>0</v>
      </c>
      <c r="AV342" s="37">
        <f>F342*AN342</f>
        <v>0</v>
      </c>
      <c r="AW342" s="38" t="s">
        <v>628</v>
      </c>
      <c r="AX342" s="38" t="s">
        <v>629</v>
      </c>
      <c r="AY342" s="23" t="s">
        <v>97</v>
      </c>
      <c r="BA342" s="37">
        <f>AU342+AV342</f>
        <v>0</v>
      </c>
      <c r="BB342" s="37">
        <f>G342/(100-BC342)*100</f>
        <v>0</v>
      </c>
      <c r="BC342" s="37">
        <v>0</v>
      </c>
      <c r="BD342" s="37">
        <f>J342</f>
        <v>43.718865</v>
      </c>
      <c r="BF342" s="37">
        <f>F342*AM342</f>
        <v>0</v>
      </c>
      <c r="BG342" s="37">
        <f>F342*AN342</f>
        <v>0</v>
      </c>
      <c r="BH342" s="37">
        <f>F342*G342</f>
        <v>0</v>
      </c>
    </row>
    <row r="343" spans="1:11" ht="12.75">
      <c r="A343" s="39"/>
      <c r="B343" s="40"/>
      <c r="C343" s="40"/>
      <c r="D343" s="41" t="s">
        <v>630</v>
      </c>
      <c r="E343" s="40"/>
      <c r="F343" s="42">
        <v>72</v>
      </c>
      <c r="G343" s="40"/>
      <c r="H343" s="40"/>
      <c r="I343" s="43"/>
      <c r="J343" s="43"/>
      <c r="K343" s="40"/>
    </row>
    <row r="344" spans="1:11" ht="12.75">
      <c r="A344" s="39"/>
      <c r="B344" s="40"/>
      <c r="C344" s="40"/>
      <c r="D344" s="41" t="s">
        <v>631</v>
      </c>
      <c r="E344" s="40"/>
      <c r="F344" s="42">
        <v>69.5</v>
      </c>
      <c r="G344" s="40"/>
      <c r="H344" s="40"/>
      <c r="I344" s="43"/>
      <c r="J344" s="43"/>
      <c r="K344" s="40"/>
    </row>
    <row r="345" spans="1:11" ht="12.75">
      <c r="A345" s="39"/>
      <c r="B345" s="40"/>
      <c r="C345" s="40"/>
      <c r="D345" s="41" t="s">
        <v>632</v>
      </c>
      <c r="E345" s="40"/>
      <c r="F345" s="42">
        <v>13</v>
      </c>
      <c r="G345" s="40"/>
      <c r="H345" s="40"/>
      <c r="I345" s="43"/>
      <c r="J345" s="43"/>
      <c r="K345" s="40"/>
    </row>
    <row r="346" spans="1:60" ht="25.5">
      <c r="A346" s="16" t="s">
        <v>633</v>
      </c>
      <c r="B346" s="16"/>
      <c r="C346" s="16" t="s">
        <v>634</v>
      </c>
      <c r="D346" s="32" t="s">
        <v>635</v>
      </c>
      <c r="E346" s="16" t="s">
        <v>395</v>
      </c>
      <c r="F346" s="33">
        <v>150</v>
      </c>
      <c r="G346" s="422"/>
      <c r="H346" s="34">
        <f>F346*G346</f>
        <v>0</v>
      </c>
      <c r="I346" s="35">
        <v>0.26981</v>
      </c>
      <c r="J346" s="35">
        <f>F346*I346</f>
        <v>40.4715</v>
      </c>
      <c r="K346" s="36" t="s">
        <v>94</v>
      </c>
      <c r="N346" t="s">
        <v>2524</v>
      </c>
      <c r="X346" s="37">
        <f>IF(AO346="5",BH346,0)</f>
        <v>0</v>
      </c>
      <c r="Z346" s="37">
        <f>IF(AO346="1",BF346,0)</f>
        <v>0</v>
      </c>
      <c r="AA346" s="37">
        <f>IF(AO346="1",BG346,0)</f>
        <v>0</v>
      </c>
      <c r="AB346" s="37">
        <f>IF(AO346="7",BF346,0)</f>
        <v>0</v>
      </c>
      <c r="AC346" s="37">
        <f>IF(AO346="7",BG346,0)</f>
        <v>0</v>
      </c>
      <c r="AD346" s="37">
        <f>IF(AO346="2",BF346,0)</f>
        <v>0</v>
      </c>
      <c r="AE346" s="37">
        <f>IF(AO346="2",BG346,0)</f>
        <v>0</v>
      </c>
      <c r="AF346" s="37">
        <f>IF(AO346="0",BH346,0)</f>
        <v>0</v>
      </c>
      <c r="AG346" s="23"/>
      <c r="AH346" s="37">
        <f>IF(AL346=0,H346,0)</f>
        <v>0</v>
      </c>
      <c r="AI346" s="37">
        <f>IF(AL346=15,H346,0)</f>
        <v>0</v>
      </c>
      <c r="AJ346" s="37">
        <f>IF(AL346=21,H346,0)</f>
        <v>0</v>
      </c>
      <c r="AL346" s="37">
        <v>21</v>
      </c>
      <c r="AM346" s="37">
        <f>G346*0.72293122886133</f>
        <v>0</v>
      </c>
      <c r="AN346" s="37">
        <f>G346*(1-0.72293122886133)</f>
        <v>0</v>
      </c>
      <c r="AO346" s="38" t="s">
        <v>90</v>
      </c>
      <c r="AT346" s="37">
        <f>AU346+AV346</f>
        <v>0</v>
      </c>
      <c r="AU346" s="37">
        <f>F346*AM346</f>
        <v>0</v>
      </c>
      <c r="AV346" s="37">
        <f>F346*AN346</f>
        <v>0</v>
      </c>
      <c r="AW346" s="38" t="s">
        <v>628</v>
      </c>
      <c r="AX346" s="38" t="s">
        <v>629</v>
      </c>
      <c r="AY346" s="23" t="s">
        <v>97</v>
      </c>
      <c r="BA346" s="37">
        <f>AU346+AV346</f>
        <v>0</v>
      </c>
      <c r="BB346" s="37">
        <f>G346/(100-BC346)*100</f>
        <v>0</v>
      </c>
      <c r="BC346" s="37">
        <v>0</v>
      </c>
      <c r="BD346" s="37">
        <f>J346</f>
        <v>40.4715</v>
      </c>
      <c r="BF346" s="37">
        <f>F346*AM346</f>
        <v>0</v>
      </c>
      <c r="BG346" s="37">
        <f>F346*AN346</f>
        <v>0</v>
      </c>
      <c r="BH346" s="37">
        <f>F346*G346</f>
        <v>0</v>
      </c>
    </row>
    <row r="347" spans="1:11" ht="12.75">
      <c r="A347" s="39"/>
      <c r="B347" s="40"/>
      <c r="C347" s="40"/>
      <c r="D347" s="41" t="s">
        <v>636</v>
      </c>
      <c r="E347" s="40"/>
      <c r="F347" s="42">
        <v>150</v>
      </c>
      <c r="G347" s="40"/>
      <c r="H347" s="40"/>
      <c r="I347" s="43"/>
      <c r="J347" s="43"/>
      <c r="K347" s="40"/>
    </row>
    <row r="348" spans="1:45" ht="12.75">
      <c r="A348" s="24"/>
      <c r="B348" s="25"/>
      <c r="C348" s="25" t="s">
        <v>563</v>
      </c>
      <c r="D348" s="26" t="s">
        <v>637</v>
      </c>
      <c r="E348" s="24" t="s">
        <v>54</v>
      </c>
      <c r="F348" s="24" t="s">
        <v>54</v>
      </c>
      <c r="G348" s="24"/>
      <c r="H348" s="27">
        <f>SUM(H349:H365)</f>
        <v>0</v>
      </c>
      <c r="I348" s="28"/>
      <c r="J348" s="28">
        <f>SUM(J349:J365)</f>
        <v>28.34136</v>
      </c>
      <c r="K348" s="29"/>
      <c r="AG348" s="23"/>
      <c r="AQ348" s="31">
        <f>SUM(AH349:AH365)</f>
        <v>0</v>
      </c>
      <c r="AR348" s="31">
        <f>SUM(AI349:AI365)</f>
        <v>0</v>
      </c>
      <c r="AS348" s="31">
        <f>SUM(AJ349:AJ365)</f>
        <v>0</v>
      </c>
    </row>
    <row r="349" spans="1:60" ht="12.75">
      <c r="A349" s="16" t="s">
        <v>638</v>
      </c>
      <c r="B349" s="16"/>
      <c r="C349" s="16" t="s">
        <v>639</v>
      </c>
      <c r="D349" s="32" t="s">
        <v>640</v>
      </c>
      <c r="E349" s="16" t="s">
        <v>192</v>
      </c>
      <c r="F349" s="33">
        <v>1167</v>
      </c>
      <c r="G349" s="422"/>
      <c r="H349" s="34">
        <f>F349*G349</f>
        <v>0</v>
      </c>
      <c r="I349" s="35">
        <v>0.01838</v>
      </c>
      <c r="J349" s="35">
        <f>F349*I349</f>
        <v>21.449460000000002</v>
      </c>
      <c r="K349" s="36" t="s">
        <v>94</v>
      </c>
      <c r="X349" s="37">
        <f>IF(AO349="5",BH349,0)</f>
        <v>0</v>
      </c>
      <c r="Z349" s="37">
        <f>IF(AO349="1",BF349,0)</f>
        <v>0</v>
      </c>
      <c r="AA349" s="37">
        <f>IF(AO349="1",BG349,0)</f>
        <v>0</v>
      </c>
      <c r="AB349" s="37">
        <f>IF(AO349="7",BF349,0)</f>
        <v>0</v>
      </c>
      <c r="AC349" s="37">
        <f>IF(AO349="7",BG349,0)</f>
        <v>0</v>
      </c>
      <c r="AD349" s="37">
        <f>IF(AO349="2",BF349,0)</f>
        <v>0</v>
      </c>
      <c r="AE349" s="37">
        <f>IF(AO349="2",BG349,0)</f>
        <v>0</v>
      </c>
      <c r="AF349" s="37">
        <f>IF(AO349="0",BH349,0)</f>
        <v>0</v>
      </c>
      <c r="AG349" s="23"/>
      <c r="AH349" s="37">
        <f>IF(AL349=0,H349,0)</f>
        <v>0</v>
      </c>
      <c r="AI349" s="37">
        <f>IF(AL349=15,H349,0)</f>
        <v>0</v>
      </c>
      <c r="AJ349" s="37">
        <f>IF(AL349=21,H349,0)</f>
        <v>0</v>
      </c>
      <c r="AL349" s="37">
        <v>21</v>
      </c>
      <c r="AM349" s="37">
        <f>G349*0.000447093889716841</f>
        <v>0</v>
      </c>
      <c r="AN349" s="37">
        <f>G349*(1-0.000447093889716841)</f>
        <v>0</v>
      </c>
      <c r="AO349" s="38" t="s">
        <v>90</v>
      </c>
      <c r="AT349" s="37">
        <f>AU349+AV349</f>
        <v>0</v>
      </c>
      <c r="AU349" s="37">
        <f>F349*AM349</f>
        <v>0</v>
      </c>
      <c r="AV349" s="37">
        <f>F349*AN349</f>
        <v>0</v>
      </c>
      <c r="AW349" s="38" t="s">
        <v>641</v>
      </c>
      <c r="AX349" s="38" t="s">
        <v>629</v>
      </c>
      <c r="AY349" s="23" t="s">
        <v>97</v>
      </c>
      <c r="BA349" s="37">
        <f>AU349+AV349</f>
        <v>0</v>
      </c>
      <c r="BB349" s="37">
        <f>G349/(100-BC349)*100</f>
        <v>0</v>
      </c>
      <c r="BC349" s="37">
        <v>0</v>
      </c>
      <c r="BD349" s="37">
        <f>J349</f>
        <v>21.449460000000002</v>
      </c>
      <c r="BF349" s="37">
        <f>F349*AM349</f>
        <v>0</v>
      </c>
      <c r="BG349" s="37">
        <f>F349*AN349</f>
        <v>0</v>
      </c>
      <c r="BH349" s="37">
        <f>F349*G349</f>
        <v>0</v>
      </c>
    </row>
    <row r="350" spans="1:11" ht="12.75">
      <c r="A350" s="39"/>
      <c r="B350" s="40"/>
      <c r="C350" s="40"/>
      <c r="D350" s="41" t="s">
        <v>642</v>
      </c>
      <c r="E350" s="40"/>
      <c r="F350" s="42">
        <v>1167</v>
      </c>
      <c r="G350" s="40"/>
      <c r="H350" s="40"/>
      <c r="I350" s="43"/>
      <c r="J350" s="43"/>
      <c r="K350" s="40"/>
    </row>
    <row r="351" spans="1:60" ht="12.75">
      <c r="A351" s="16" t="s">
        <v>643</v>
      </c>
      <c r="B351" s="16"/>
      <c r="C351" s="16" t="s">
        <v>644</v>
      </c>
      <c r="D351" s="32" t="s">
        <v>645</v>
      </c>
      <c r="E351" s="16" t="s">
        <v>192</v>
      </c>
      <c r="F351" s="33">
        <v>5835</v>
      </c>
      <c r="G351" s="422"/>
      <c r="H351" s="34">
        <f>F351*G351</f>
        <v>0</v>
      </c>
      <c r="I351" s="35">
        <v>0.00097</v>
      </c>
      <c r="J351" s="35">
        <f>F351*I351</f>
        <v>5.65995</v>
      </c>
      <c r="K351" s="36" t="s">
        <v>94</v>
      </c>
      <c r="X351" s="37">
        <f>IF(AO351="5",BH351,0)</f>
        <v>0</v>
      </c>
      <c r="Z351" s="37">
        <f>IF(AO351="1",BF351,0)</f>
        <v>0</v>
      </c>
      <c r="AA351" s="37">
        <f>IF(AO351="1",BG351,0)</f>
        <v>0</v>
      </c>
      <c r="AB351" s="37">
        <f>IF(AO351="7",BF351,0)</f>
        <v>0</v>
      </c>
      <c r="AC351" s="37">
        <f>IF(AO351="7",BG351,0)</f>
        <v>0</v>
      </c>
      <c r="AD351" s="37">
        <f>IF(AO351="2",BF351,0)</f>
        <v>0</v>
      </c>
      <c r="AE351" s="37">
        <f>IF(AO351="2",BG351,0)</f>
        <v>0</v>
      </c>
      <c r="AF351" s="37">
        <f>IF(AO351="0",BH351,0)</f>
        <v>0</v>
      </c>
      <c r="AG351" s="23"/>
      <c r="AH351" s="37">
        <f>IF(AL351=0,H351,0)</f>
        <v>0</v>
      </c>
      <c r="AI351" s="37">
        <f>IF(AL351=15,H351,0)</f>
        <v>0</v>
      </c>
      <c r="AJ351" s="37">
        <f>IF(AL351=21,H351,0)</f>
        <v>0</v>
      </c>
      <c r="AL351" s="37">
        <v>21</v>
      </c>
      <c r="AM351" s="37">
        <f>G351*0.923076923076923</f>
        <v>0</v>
      </c>
      <c r="AN351" s="37">
        <f>G351*(1-0.923076923076923)</f>
        <v>0</v>
      </c>
      <c r="AO351" s="38" t="s">
        <v>90</v>
      </c>
      <c r="AT351" s="37">
        <f>AU351+AV351</f>
        <v>0</v>
      </c>
      <c r="AU351" s="37">
        <f>F351*AM351</f>
        <v>0</v>
      </c>
      <c r="AV351" s="37">
        <f>F351*AN351</f>
        <v>0</v>
      </c>
      <c r="AW351" s="38" t="s">
        <v>641</v>
      </c>
      <c r="AX351" s="38" t="s">
        <v>629</v>
      </c>
      <c r="AY351" s="23" t="s">
        <v>97</v>
      </c>
      <c r="BA351" s="37">
        <f>AU351+AV351</f>
        <v>0</v>
      </c>
      <c r="BB351" s="37">
        <f>G351/(100-BC351)*100</f>
        <v>0</v>
      </c>
      <c r="BC351" s="37">
        <v>0</v>
      </c>
      <c r="BD351" s="37">
        <f>J351</f>
        <v>5.65995</v>
      </c>
      <c r="BF351" s="37">
        <f>F351*AM351</f>
        <v>0</v>
      </c>
      <c r="BG351" s="37">
        <f>F351*AN351</f>
        <v>0</v>
      </c>
      <c r="BH351" s="37">
        <f>F351*G351</f>
        <v>0</v>
      </c>
    </row>
    <row r="352" spans="1:11" ht="12.75">
      <c r="A352" s="39"/>
      <c r="B352" s="40"/>
      <c r="C352" s="40"/>
      <c r="D352" s="41" t="s">
        <v>646</v>
      </c>
      <c r="E352" s="40"/>
      <c r="F352" s="42">
        <v>5835</v>
      </c>
      <c r="G352" s="40"/>
      <c r="H352" s="40"/>
      <c r="I352" s="43"/>
      <c r="J352" s="43"/>
      <c r="K352" s="40"/>
    </row>
    <row r="353" spans="1:60" ht="12.75">
      <c r="A353" s="16" t="s">
        <v>647</v>
      </c>
      <c r="B353" s="16"/>
      <c r="C353" s="16" t="s">
        <v>648</v>
      </c>
      <c r="D353" s="32" t="s">
        <v>649</v>
      </c>
      <c r="E353" s="16" t="s">
        <v>192</v>
      </c>
      <c r="F353" s="33">
        <v>1167</v>
      </c>
      <c r="G353" s="422"/>
      <c r="H353" s="34">
        <f>F353*G353</f>
        <v>0</v>
      </c>
      <c r="I353" s="35">
        <v>0</v>
      </c>
      <c r="J353" s="35">
        <f>F353*I353</f>
        <v>0</v>
      </c>
      <c r="K353" s="36" t="s">
        <v>94</v>
      </c>
      <c r="X353" s="37">
        <f>IF(AO353="5",BH353,0)</f>
        <v>0</v>
      </c>
      <c r="Z353" s="37">
        <f>IF(AO353="1",BF353,0)</f>
        <v>0</v>
      </c>
      <c r="AA353" s="37">
        <f>IF(AO353="1",BG353,0)</f>
        <v>0</v>
      </c>
      <c r="AB353" s="37">
        <f>IF(AO353="7",BF353,0)</f>
        <v>0</v>
      </c>
      <c r="AC353" s="37">
        <f>IF(AO353="7",BG353,0)</f>
        <v>0</v>
      </c>
      <c r="AD353" s="37">
        <f>IF(AO353="2",BF353,0)</f>
        <v>0</v>
      </c>
      <c r="AE353" s="37">
        <f>IF(AO353="2",BG353,0)</f>
        <v>0</v>
      </c>
      <c r="AF353" s="37">
        <f>IF(AO353="0",BH353,0)</f>
        <v>0</v>
      </c>
      <c r="AG353" s="23"/>
      <c r="AH353" s="37">
        <f>IF(AL353=0,H353,0)</f>
        <v>0</v>
      </c>
      <c r="AI353" s="37">
        <f>IF(AL353=15,H353,0)</f>
        <v>0</v>
      </c>
      <c r="AJ353" s="37">
        <f>IF(AL353=21,H353,0)</f>
        <v>0</v>
      </c>
      <c r="AL353" s="37">
        <v>21</v>
      </c>
      <c r="AM353" s="37">
        <f>G353*0</f>
        <v>0</v>
      </c>
      <c r="AN353" s="37">
        <f>G353*(1-0)</f>
        <v>0</v>
      </c>
      <c r="AO353" s="38" t="s">
        <v>90</v>
      </c>
      <c r="AT353" s="37">
        <f>AU353+AV353</f>
        <v>0</v>
      </c>
      <c r="AU353" s="37">
        <f>F353*AM353</f>
        <v>0</v>
      </c>
      <c r="AV353" s="37">
        <f>F353*AN353</f>
        <v>0</v>
      </c>
      <c r="AW353" s="38" t="s">
        <v>641</v>
      </c>
      <c r="AX353" s="38" t="s">
        <v>629</v>
      </c>
      <c r="AY353" s="23" t="s">
        <v>97</v>
      </c>
      <c r="BA353" s="37">
        <f>AU353+AV353</f>
        <v>0</v>
      </c>
      <c r="BB353" s="37">
        <f>G353/(100-BC353)*100</f>
        <v>0</v>
      </c>
      <c r="BC353" s="37">
        <v>0</v>
      </c>
      <c r="BD353" s="37">
        <f>J353</f>
        <v>0</v>
      </c>
      <c r="BF353" s="37">
        <f>F353*AM353</f>
        <v>0</v>
      </c>
      <c r="BG353" s="37">
        <f>F353*AN353</f>
        <v>0</v>
      </c>
      <c r="BH353" s="37">
        <f>F353*G353</f>
        <v>0</v>
      </c>
    </row>
    <row r="354" spans="1:11" ht="12.75">
      <c r="A354" s="39"/>
      <c r="B354" s="40"/>
      <c r="C354" s="40"/>
      <c r="D354" s="41" t="s">
        <v>650</v>
      </c>
      <c r="E354" s="40"/>
      <c r="F354" s="42">
        <v>1167</v>
      </c>
      <c r="G354" s="40"/>
      <c r="H354" s="40"/>
      <c r="I354" s="43"/>
      <c r="J354" s="43"/>
      <c r="K354" s="40"/>
    </row>
    <row r="355" spans="1:60" ht="12.75">
      <c r="A355" s="16" t="s">
        <v>651</v>
      </c>
      <c r="B355" s="16"/>
      <c r="C355" s="16" t="s">
        <v>652</v>
      </c>
      <c r="D355" s="32" t="s">
        <v>653</v>
      </c>
      <c r="E355" s="16" t="s">
        <v>192</v>
      </c>
      <c r="F355" s="33">
        <v>1167</v>
      </c>
      <c r="G355" s="422"/>
      <c r="H355" s="34">
        <f>F355*G355</f>
        <v>0</v>
      </c>
      <c r="I355" s="35">
        <v>0</v>
      </c>
      <c r="J355" s="35">
        <f>F355*I355</f>
        <v>0</v>
      </c>
      <c r="K355" s="36" t="s">
        <v>94</v>
      </c>
      <c r="X355" s="37">
        <f>IF(AO355="5",BH355,0)</f>
        <v>0</v>
      </c>
      <c r="Z355" s="37">
        <f>IF(AO355="1",BF355,0)</f>
        <v>0</v>
      </c>
      <c r="AA355" s="37">
        <f>IF(AO355="1",BG355,0)</f>
        <v>0</v>
      </c>
      <c r="AB355" s="37">
        <f>IF(AO355="7",BF355,0)</f>
        <v>0</v>
      </c>
      <c r="AC355" s="37">
        <f>IF(AO355="7",BG355,0)</f>
        <v>0</v>
      </c>
      <c r="AD355" s="37">
        <f>IF(AO355="2",BF355,0)</f>
        <v>0</v>
      </c>
      <c r="AE355" s="37">
        <f>IF(AO355="2",BG355,0)</f>
        <v>0</v>
      </c>
      <c r="AF355" s="37">
        <f>IF(AO355="0",BH355,0)</f>
        <v>0</v>
      </c>
      <c r="AG355" s="23"/>
      <c r="AH355" s="37">
        <f>IF(AL355=0,H355,0)</f>
        <v>0</v>
      </c>
      <c r="AI355" s="37">
        <f>IF(AL355=15,H355,0)</f>
        <v>0</v>
      </c>
      <c r="AJ355" s="37">
        <f>IF(AL355=21,H355,0)</f>
        <v>0</v>
      </c>
      <c r="AL355" s="37">
        <v>21</v>
      </c>
      <c r="AM355" s="37">
        <f>G355*0</f>
        <v>0</v>
      </c>
      <c r="AN355" s="37">
        <f>G355*(1-0)</f>
        <v>0</v>
      </c>
      <c r="AO355" s="38" t="s">
        <v>90</v>
      </c>
      <c r="AT355" s="37">
        <f>AU355+AV355</f>
        <v>0</v>
      </c>
      <c r="AU355" s="37">
        <f>F355*AM355</f>
        <v>0</v>
      </c>
      <c r="AV355" s="37">
        <f>F355*AN355</f>
        <v>0</v>
      </c>
      <c r="AW355" s="38" t="s">
        <v>641</v>
      </c>
      <c r="AX355" s="38" t="s">
        <v>629</v>
      </c>
      <c r="AY355" s="23" t="s">
        <v>97</v>
      </c>
      <c r="BA355" s="37">
        <f>AU355+AV355</f>
        <v>0</v>
      </c>
      <c r="BB355" s="37">
        <f>G355/(100-BC355)*100</f>
        <v>0</v>
      </c>
      <c r="BC355" s="37">
        <v>0</v>
      </c>
      <c r="BD355" s="37">
        <f>J355</f>
        <v>0</v>
      </c>
      <c r="BF355" s="37">
        <f>F355*AM355</f>
        <v>0</v>
      </c>
      <c r="BG355" s="37">
        <f>F355*AN355</f>
        <v>0</v>
      </c>
      <c r="BH355" s="37">
        <f>F355*G355</f>
        <v>0</v>
      </c>
    </row>
    <row r="356" spans="1:11" ht="12.75">
      <c r="A356" s="39"/>
      <c r="B356" s="40"/>
      <c r="C356" s="40"/>
      <c r="D356" s="41" t="s">
        <v>650</v>
      </c>
      <c r="E356" s="40"/>
      <c r="F356" s="42">
        <v>1167</v>
      </c>
      <c r="G356" s="40"/>
      <c r="H356" s="40"/>
      <c r="I356" s="43"/>
      <c r="J356" s="43"/>
      <c r="K356" s="40"/>
    </row>
    <row r="357" spans="1:60" ht="12.75">
      <c r="A357" s="16" t="s">
        <v>654</v>
      </c>
      <c r="B357" s="16"/>
      <c r="C357" s="16" t="s">
        <v>655</v>
      </c>
      <c r="D357" s="32" t="s">
        <v>656</v>
      </c>
      <c r="E357" s="16" t="s">
        <v>192</v>
      </c>
      <c r="F357" s="33">
        <v>5835</v>
      </c>
      <c r="G357" s="422"/>
      <c r="H357" s="34">
        <f>F357*G357</f>
        <v>0</v>
      </c>
      <c r="I357" s="35">
        <v>5E-05</v>
      </c>
      <c r="J357" s="35">
        <f>F357*I357</f>
        <v>0.29175</v>
      </c>
      <c r="K357" s="36" t="s">
        <v>94</v>
      </c>
      <c r="X357" s="37">
        <f>IF(AO357="5",BH357,0)</f>
        <v>0</v>
      </c>
      <c r="Z357" s="37">
        <f>IF(AO357="1",BF357,0)</f>
        <v>0</v>
      </c>
      <c r="AA357" s="37">
        <f>IF(AO357="1",BG357,0)</f>
        <v>0</v>
      </c>
      <c r="AB357" s="37">
        <f>IF(AO357="7",BF357,0)</f>
        <v>0</v>
      </c>
      <c r="AC357" s="37">
        <f>IF(AO357="7",BG357,0)</f>
        <v>0</v>
      </c>
      <c r="AD357" s="37">
        <f>IF(AO357="2",BF357,0)</f>
        <v>0</v>
      </c>
      <c r="AE357" s="37">
        <f>IF(AO357="2",BG357,0)</f>
        <v>0</v>
      </c>
      <c r="AF357" s="37">
        <f>IF(AO357="0",BH357,0)</f>
        <v>0</v>
      </c>
      <c r="AG357" s="23"/>
      <c r="AH357" s="37">
        <f>IF(AL357=0,H357,0)</f>
        <v>0</v>
      </c>
      <c r="AI357" s="37">
        <f>IF(AL357=15,H357,0)</f>
        <v>0</v>
      </c>
      <c r="AJ357" s="37">
        <f>IF(AL357=21,H357,0)</f>
        <v>0</v>
      </c>
      <c r="AL357" s="37">
        <v>21</v>
      </c>
      <c r="AM357" s="37">
        <f>G357*1</f>
        <v>0</v>
      </c>
      <c r="AN357" s="37">
        <f>G357*(1-1)</f>
        <v>0</v>
      </c>
      <c r="AO357" s="38" t="s">
        <v>90</v>
      </c>
      <c r="AT357" s="37">
        <f>AU357+AV357</f>
        <v>0</v>
      </c>
      <c r="AU357" s="37">
        <f>F357*AM357</f>
        <v>0</v>
      </c>
      <c r="AV357" s="37">
        <f>F357*AN357</f>
        <v>0</v>
      </c>
      <c r="AW357" s="38" t="s">
        <v>641</v>
      </c>
      <c r="AX357" s="38" t="s">
        <v>629</v>
      </c>
      <c r="AY357" s="23" t="s">
        <v>97</v>
      </c>
      <c r="BA357" s="37">
        <f>AU357+AV357</f>
        <v>0</v>
      </c>
      <c r="BB357" s="37">
        <f>G357/(100-BC357)*100</f>
        <v>0</v>
      </c>
      <c r="BC357" s="37">
        <v>0</v>
      </c>
      <c r="BD357" s="37">
        <f>J357</f>
        <v>0.29175</v>
      </c>
      <c r="BF357" s="37">
        <f>F357*AM357</f>
        <v>0</v>
      </c>
      <c r="BG357" s="37">
        <f>F357*AN357</f>
        <v>0</v>
      </c>
      <c r="BH357" s="37">
        <f>F357*G357</f>
        <v>0</v>
      </c>
    </row>
    <row r="358" spans="1:11" ht="12.75">
      <c r="A358" s="39"/>
      <c r="B358" s="40"/>
      <c r="C358" s="40"/>
      <c r="D358" s="41" t="s">
        <v>646</v>
      </c>
      <c r="E358" s="40"/>
      <c r="F358" s="42">
        <v>5835</v>
      </c>
      <c r="G358" s="40"/>
      <c r="H358" s="40"/>
      <c r="I358" s="43"/>
      <c r="J358" s="43"/>
      <c r="K358" s="40"/>
    </row>
    <row r="359" spans="1:60" ht="12.75">
      <c r="A359" s="16" t="s">
        <v>657</v>
      </c>
      <c r="B359" s="16"/>
      <c r="C359" s="16" t="s">
        <v>658</v>
      </c>
      <c r="D359" s="32" t="s">
        <v>659</v>
      </c>
      <c r="E359" s="16" t="s">
        <v>192</v>
      </c>
      <c r="F359" s="33">
        <v>1167</v>
      </c>
      <c r="G359" s="422"/>
      <c r="H359" s="34">
        <f>F359*G359</f>
        <v>0</v>
      </c>
      <c r="I359" s="35">
        <v>0</v>
      </c>
      <c r="J359" s="35">
        <f>F359*I359</f>
        <v>0</v>
      </c>
      <c r="K359" s="36" t="s">
        <v>94</v>
      </c>
      <c r="X359" s="37">
        <f>IF(AO359="5",BH359,0)</f>
        <v>0</v>
      </c>
      <c r="Z359" s="37">
        <f>IF(AO359="1",BF359,0)</f>
        <v>0</v>
      </c>
      <c r="AA359" s="37">
        <f>IF(AO359="1",BG359,0)</f>
        <v>0</v>
      </c>
      <c r="AB359" s="37">
        <f>IF(AO359="7",BF359,0)</f>
        <v>0</v>
      </c>
      <c r="AC359" s="37">
        <f>IF(AO359="7",BG359,0)</f>
        <v>0</v>
      </c>
      <c r="AD359" s="37">
        <f>IF(AO359="2",BF359,0)</f>
        <v>0</v>
      </c>
      <c r="AE359" s="37">
        <f>IF(AO359="2",BG359,0)</f>
        <v>0</v>
      </c>
      <c r="AF359" s="37">
        <f>IF(AO359="0",BH359,0)</f>
        <v>0</v>
      </c>
      <c r="AG359" s="23"/>
      <c r="AH359" s="37">
        <f>IF(AL359=0,H359,0)</f>
        <v>0</v>
      </c>
      <c r="AI359" s="37">
        <f>IF(AL359=15,H359,0)</f>
        <v>0</v>
      </c>
      <c r="AJ359" s="37">
        <f>IF(AL359=21,H359,0)</f>
        <v>0</v>
      </c>
      <c r="AL359" s="37">
        <v>21</v>
      </c>
      <c r="AM359" s="37">
        <f>G359*0</f>
        <v>0</v>
      </c>
      <c r="AN359" s="37">
        <f>G359*(1-0)</f>
        <v>0</v>
      </c>
      <c r="AO359" s="38" t="s">
        <v>90</v>
      </c>
      <c r="AT359" s="37">
        <f>AU359+AV359</f>
        <v>0</v>
      </c>
      <c r="AU359" s="37">
        <f>F359*AM359</f>
        <v>0</v>
      </c>
      <c r="AV359" s="37">
        <f>F359*AN359</f>
        <v>0</v>
      </c>
      <c r="AW359" s="38" t="s">
        <v>641</v>
      </c>
      <c r="AX359" s="38" t="s">
        <v>629</v>
      </c>
      <c r="AY359" s="23" t="s">
        <v>97</v>
      </c>
      <c r="BA359" s="37">
        <f>AU359+AV359</f>
        <v>0</v>
      </c>
      <c r="BB359" s="37">
        <f>G359/(100-BC359)*100</f>
        <v>0</v>
      </c>
      <c r="BC359" s="37">
        <v>0</v>
      </c>
      <c r="BD359" s="37">
        <f>J359</f>
        <v>0</v>
      </c>
      <c r="BF359" s="37">
        <f>F359*AM359</f>
        <v>0</v>
      </c>
      <c r="BG359" s="37">
        <f>F359*AN359</f>
        <v>0</v>
      </c>
      <c r="BH359" s="37">
        <f>F359*G359</f>
        <v>0</v>
      </c>
    </row>
    <row r="360" spans="1:11" ht="12.75">
      <c r="A360" s="39"/>
      <c r="B360" s="40"/>
      <c r="C360" s="40"/>
      <c r="D360" s="41" t="s">
        <v>650</v>
      </c>
      <c r="E360" s="40"/>
      <c r="F360" s="42">
        <v>1167</v>
      </c>
      <c r="G360" s="40"/>
      <c r="H360" s="40"/>
      <c r="I360" s="43"/>
      <c r="J360" s="43"/>
      <c r="K360" s="40"/>
    </row>
    <row r="361" spans="1:60" ht="12.75">
      <c r="A361" s="16" t="s">
        <v>660</v>
      </c>
      <c r="B361" s="16"/>
      <c r="C361" s="16" t="s">
        <v>661</v>
      </c>
      <c r="D361" s="32" t="s">
        <v>662</v>
      </c>
      <c r="E361" s="16" t="s">
        <v>192</v>
      </c>
      <c r="F361" s="33">
        <v>180</v>
      </c>
      <c r="G361" s="422"/>
      <c r="H361" s="34">
        <f>F361*G361</f>
        <v>0</v>
      </c>
      <c r="I361" s="35">
        <v>0.00121</v>
      </c>
      <c r="J361" s="35">
        <f>F361*I361</f>
        <v>0.2178</v>
      </c>
      <c r="K361" s="36" t="s">
        <v>94</v>
      </c>
      <c r="X361" s="37">
        <f>IF(AO361="5",BH361,0)</f>
        <v>0</v>
      </c>
      <c r="Z361" s="37">
        <f>IF(AO361="1",BF361,0)</f>
        <v>0</v>
      </c>
      <c r="AA361" s="37">
        <f>IF(AO361="1",BG361,0)</f>
        <v>0</v>
      </c>
      <c r="AB361" s="37">
        <f>IF(AO361="7",BF361,0)</f>
        <v>0</v>
      </c>
      <c r="AC361" s="37">
        <f>IF(AO361="7",BG361,0)</f>
        <v>0</v>
      </c>
      <c r="AD361" s="37">
        <f>IF(AO361="2",BF361,0)</f>
        <v>0</v>
      </c>
      <c r="AE361" s="37">
        <f>IF(AO361="2",BG361,0)</f>
        <v>0</v>
      </c>
      <c r="AF361" s="37">
        <f>IF(AO361="0",BH361,0)</f>
        <v>0</v>
      </c>
      <c r="AG361" s="23"/>
      <c r="AH361" s="37">
        <f>IF(AL361=0,H361,0)</f>
        <v>0</v>
      </c>
      <c r="AI361" s="37">
        <f>IF(AL361=15,H361,0)</f>
        <v>0</v>
      </c>
      <c r="AJ361" s="37">
        <f>IF(AL361=21,H361,0)</f>
        <v>0</v>
      </c>
      <c r="AL361" s="37">
        <v>21</v>
      </c>
      <c r="AM361" s="37">
        <f>G361*0.337601645013553</f>
        <v>0</v>
      </c>
      <c r="AN361" s="37">
        <f>G361*(1-0.337601645013553)</f>
        <v>0</v>
      </c>
      <c r="AO361" s="38" t="s">
        <v>90</v>
      </c>
      <c r="AT361" s="37">
        <f>AU361+AV361</f>
        <v>0</v>
      </c>
      <c r="AU361" s="37">
        <f>F361*AM361</f>
        <v>0</v>
      </c>
      <c r="AV361" s="37">
        <f>F361*AN361</f>
        <v>0</v>
      </c>
      <c r="AW361" s="38" t="s">
        <v>641</v>
      </c>
      <c r="AX361" s="38" t="s">
        <v>629</v>
      </c>
      <c r="AY361" s="23" t="s">
        <v>97</v>
      </c>
      <c r="BA361" s="37">
        <f>AU361+AV361</f>
        <v>0</v>
      </c>
      <c r="BB361" s="37">
        <f>G361/(100-BC361)*100</f>
        <v>0</v>
      </c>
      <c r="BC361" s="37">
        <v>0</v>
      </c>
      <c r="BD361" s="37">
        <f>J361</f>
        <v>0.2178</v>
      </c>
      <c r="BF361" s="37">
        <f>F361*AM361</f>
        <v>0</v>
      </c>
      <c r="BG361" s="37">
        <f>F361*AN361</f>
        <v>0</v>
      </c>
      <c r="BH361" s="37">
        <f>F361*G361</f>
        <v>0</v>
      </c>
    </row>
    <row r="362" spans="1:11" ht="12.75">
      <c r="A362" s="39"/>
      <c r="B362" s="40"/>
      <c r="C362" s="40"/>
      <c r="D362" s="41" t="s">
        <v>663</v>
      </c>
      <c r="E362" s="40"/>
      <c r="F362" s="42">
        <v>180</v>
      </c>
      <c r="G362" s="40"/>
      <c r="H362" s="40"/>
      <c r="I362" s="43"/>
      <c r="J362" s="43"/>
      <c r="K362" s="40"/>
    </row>
    <row r="363" spans="1:60" ht="12.75">
      <c r="A363" s="16" t="s">
        <v>664</v>
      </c>
      <c r="B363" s="16"/>
      <c r="C363" s="16" t="s">
        <v>665</v>
      </c>
      <c r="D363" s="32" t="s">
        <v>666</v>
      </c>
      <c r="E363" s="16" t="s">
        <v>192</v>
      </c>
      <c r="F363" s="33">
        <v>120</v>
      </c>
      <c r="G363" s="422"/>
      <c r="H363" s="34">
        <f>F363*G363</f>
        <v>0</v>
      </c>
      <c r="I363" s="35">
        <v>0.00158</v>
      </c>
      <c r="J363" s="35">
        <f>F363*I363</f>
        <v>0.1896</v>
      </c>
      <c r="K363" s="36" t="s">
        <v>94</v>
      </c>
      <c r="X363" s="37">
        <f>IF(AO363="5",BH363,0)</f>
        <v>0</v>
      </c>
      <c r="Z363" s="37">
        <f>IF(AO363="1",BF363,0)</f>
        <v>0</v>
      </c>
      <c r="AA363" s="37">
        <f>IF(AO363="1",BG363,0)</f>
        <v>0</v>
      </c>
      <c r="AB363" s="37">
        <f>IF(AO363="7",BF363,0)</f>
        <v>0</v>
      </c>
      <c r="AC363" s="37">
        <f>IF(AO363="7",BG363,0)</f>
        <v>0</v>
      </c>
      <c r="AD363" s="37">
        <f>IF(AO363="2",BF363,0)</f>
        <v>0</v>
      </c>
      <c r="AE363" s="37">
        <f>IF(AO363="2",BG363,0)</f>
        <v>0</v>
      </c>
      <c r="AF363" s="37">
        <f>IF(AO363="0",BH363,0)</f>
        <v>0</v>
      </c>
      <c r="AG363" s="23"/>
      <c r="AH363" s="37">
        <f>IF(AL363=0,H363,0)</f>
        <v>0</v>
      </c>
      <c r="AI363" s="37">
        <f>IF(AL363=15,H363,0)</f>
        <v>0</v>
      </c>
      <c r="AJ363" s="37">
        <f>IF(AL363=21,H363,0)</f>
        <v>0</v>
      </c>
      <c r="AL363" s="37">
        <v>21</v>
      </c>
      <c r="AM363" s="37">
        <f>G363*0.35578947368421</f>
        <v>0</v>
      </c>
      <c r="AN363" s="37">
        <f>G363*(1-0.35578947368421)</f>
        <v>0</v>
      </c>
      <c r="AO363" s="38" t="s">
        <v>90</v>
      </c>
      <c r="AT363" s="37">
        <f>AU363+AV363</f>
        <v>0</v>
      </c>
      <c r="AU363" s="37">
        <f>F363*AM363</f>
        <v>0</v>
      </c>
      <c r="AV363" s="37">
        <f>F363*AN363</f>
        <v>0</v>
      </c>
      <c r="AW363" s="38" t="s">
        <v>641</v>
      </c>
      <c r="AX363" s="38" t="s">
        <v>629</v>
      </c>
      <c r="AY363" s="23" t="s">
        <v>97</v>
      </c>
      <c r="BA363" s="37">
        <f>AU363+AV363</f>
        <v>0</v>
      </c>
      <c r="BB363" s="37">
        <f>G363/(100-BC363)*100</f>
        <v>0</v>
      </c>
      <c r="BC363" s="37">
        <v>0</v>
      </c>
      <c r="BD363" s="37">
        <f>J363</f>
        <v>0.1896</v>
      </c>
      <c r="BF363" s="37">
        <f>F363*AM363</f>
        <v>0</v>
      </c>
      <c r="BG363" s="37">
        <f>F363*AN363</f>
        <v>0</v>
      </c>
      <c r="BH363" s="37">
        <f>F363*G363</f>
        <v>0</v>
      </c>
    </row>
    <row r="364" spans="1:11" ht="12.75">
      <c r="A364" s="39"/>
      <c r="B364" s="40"/>
      <c r="C364" s="40"/>
      <c r="D364" s="41" t="s">
        <v>667</v>
      </c>
      <c r="E364" s="40"/>
      <c r="F364" s="42">
        <v>120</v>
      </c>
      <c r="G364" s="40"/>
      <c r="H364" s="40"/>
      <c r="I364" s="43"/>
      <c r="J364" s="43"/>
      <c r="K364" s="40"/>
    </row>
    <row r="365" spans="1:60" ht="12.75">
      <c r="A365" s="16" t="s">
        <v>668</v>
      </c>
      <c r="B365" s="16"/>
      <c r="C365" s="16" t="s">
        <v>669</v>
      </c>
      <c r="D365" s="32" t="s">
        <v>670</v>
      </c>
      <c r="E365" s="16" t="s">
        <v>192</v>
      </c>
      <c r="F365" s="33">
        <v>90</v>
      </c>
      <c r="G365" s="422"/>
      <c r="H365" s="34">
        <f>F365*G365</f>
        <v>0</v>
      </c>
      <c r="I365" s="35">
        <v>0.00592</v>
      </c>
      <c r="J365" s="35">
        <f>F365*I365</f>
        <v>0.5327999999999999</v>
      </c>
      <c r="K365" s="36" t="s">
        <v>94</v>
      </c>
      <c r="X365" s="37">
        <f>IF(AO365="5",BH365,0)</f>
        <v>0</v>
      </c>
      <c r="Z365" s="37">
        <f>IF(AO365="1",BF365,0)</f>
        <v>0</v>
      </c>
      <c r="AA365" s="37">
        <f>IF(AO365="1",BG365,0)</f>
        <v>0</v>
      </c>
      <c r="AB365" s="37">
        <f>IF(AO365="7",BF365,0)</f>
        <v>0</v>
      </c>
      <c r="AC365" s="37">
        <f>IF(AO365="7",BG365,0)</f>
        <v>0</v>
      </c>
      <c r="AD365" s="37">
        <f>IF(AO365="2",BF365,0)</f>
        <v>0</v>
      </c>
      <c r="AE365" s="37">
        <f>IF(AO365="2",BG365,0)</f>
        <v>0</v>
      </c>
      <c r="AF365" s="37">
        <f>IF(AO365="0",BH365,0)</f>
        <v>0</v>
      </c>
      <c r="AG365" s="23"/>
      <c r="AH365" s="37">
        <f>IF(AL365=0,H365,0)</f>
        <v>0</v>
      </c>
      <c r="AI365" s="37">
        <f>IF(AL365=15,H365,0)</f>
        <v>0</v>
      </c>
      <c r="AJ365" s="37">
        <f>IF(AL365=21,H365,0)</f>
        <v>0</v>
      </c>
      <c r="AL365" s="37">
        <v>21</v>
      </c>
      <c r="AM365" s="37">
        <f>G365*0.422333333333333</f>
        <v>0</v>
      </c>
      <c r="AN365" s="37">
        <f>G365*(1-0.422333333333333)</f>
        <v>0</v>
      </c>
      <c r="AO365" s="38" t="s">
        <v>90</v>
      </c>
      <c r="AT365" s="37">
        <f>AU365+AV365</f>
        <v>0</v>
      </c>
      <c r="AU365" s="37">
        <f>F365*AM365</f>
        <v>0</v>
      </c>
      <c r="AV365" s="37">
        <f>F365*AN365</f>
        <v>0</v>
      </c>
      <c r="AW365" s="38" t="s">
        <v>641</v>
      </c>
      <c r="AX365" s="38" t="s">
        <v>629</v>
      </c>
      <c r="AY365" s="23" t="s">
        <v>97</v>
      </c>
      <c r="BA365" s="37">
        <f>AU365+AV365</f>
        <v>0</v>
      </c>
      <c r="BB365" s="37">
        <f>G365/(100-BC365)*100</f>
        <v>0</v>
      </c>
      <c r="BC365" s="37">
        <v>0</v>
      </c>
      <c r="BD365" s="37">
        <f>J365</f>
        <v>0.5327999999999999</v>
      </c>
      <c r="BF365" s="37">
        <f>F365*AM365</f>
        <v>0</v>
      </c>
      <c r="BG365" s="37">
        <f>F365*AN365</f>
        <v>0</v>
      </c>
      <c r="BH365" s="37">
        <f>F365*G365</f>
        <v>0</v>
      </c>
    </row>
    <row r="366" spans="1:11" ht="12.75">
      <c r="A366" s="39"/>
      <c r="B366" s="40"/>
      <c r="C366" s="40"/>
      <c r="D366" s="41" t="s">
        <v>109</v>
      </c>
      <c r="E366" s="40"/>
      <c r="F366" s="42">
        <v>90</v>
      </c>
      <c r="G366" s="40"/>
      <c r="H366" s="40"/>
      <c r="I366" s="43"/>
      <c r="J366" s="43"/>
      <c r="K366" s="40"/>
    </row>
    <row r="367" spans="1:45" ht="12.75">
      <c r="A367" s="24"/>
      <c r="B367" s="25"/>
      <c r="C367" s="25" t="s">
        <v>567</v>
      </c>
      <c r="D367" s="26" t="s">
        <v>671</v>
      </c>
      <c r="E367" s="24" t="s">
        <v>54</v>
      </c>
      <c r="F367" s="24" t="s">
        <v>54</v>
      </c>
      <c r="G367" s="24"/>
      <c r="H367" s="27">
        <f>SUM(H368:H400)</f>
        <v>0</v>
      </c>
      <c r="I367" s="28"/>
      <c r="J367" s="28">
        <f>SUM(J368:J400)</f>
        <v>1.3560632</v>
      </c>
      <c r="K367" s="29"/>
      <c r="AG367" s="23"/>
      <c r="AQ367" s="31">
        <f>SUM(AH368:AH400)</f>
        <v>0</v>
      </c>
      <c r="AR367" s="31">
        <f>SUM(AI368:AI400)</f>
        <v>0</v>
      </c>
      <c r="AS367" s="31">
        <f>SUM(AJ368:AJ400)</f>
        <v>0</v>
      </c>
    </row>
    <row r="368" spans="1:60" ht="12.75">
      <c r="A368" s="16" t="s">
        <v>672</v>
      </c>
      <c r="B368" s="16"/>
      <c r="C368" s="16" t="s">
        <v>673</v>
      </c>
      <c r="D368" s="32" t="s">
        <v>674</v>
      </c>
      <c r="E368" s="16" t="s">
        <v>225</v>
      </c>
      <c r="F368" s="33">
        <v>5</v>
      </c>
      <c r="G368" s="422"/>
      <c r="H368" s="34">
        <f>F368*G368</f>
        <v>0</v>
      </c>
      <c r="I368" s="35">
        <v>0.007</v>
      </c>
      <c r="J368" s="35">
        <f>F368*I368</f>
        <v>0.035</v>
      </c>
      <c r="K368" s="36" t="s">
        <v>226</v>
      </c>
      <c r="X368" s="37">
        <f>IF(AO368="5",BH368,0)</f>
        <v>0</v>
      </c>
      <c r="Z368" s="37">
        <f>IF(AO368="1",BF368,0)</f>
        <v>0</v>
      </c>
      <c r="AA368" s="37">
        <f>IF(AO368="1",BG368,0)</f>
        <v>0</v>
      </c>
      <c r="AB368" s="37">
        <f>IF(AO368="7",BF368,0)</f>
        <v>0</v>
      </c>
      <c r="AC368" s="37">
        <f>IF(AO368="7",BG368,0)</f>
        <v>0</v>
      </c>
      <c r="AD368" s="37">
        <f>IF(AO368="2",BF368,0)</f>
        <v>0</v>
      </c>
      <c r="AE368" s="37">
        <f>IF(AO368="2",BG368,0)</f>
        <v>0</v>
      </c>
      <c r="AF368" s="37">
        <f>IF(AO368="0",BH368,0)</f>
        <v>0</v>
      </c>
      <c r="AG368" s="23"/>
      <c r="AH368" s="37">
        <f>IF(AL368=0,H368,0)</f>
        <v>0</v>
      </c>
      <c r="AI368" s="37">
        <f>IF(AL368=15,H368,0)</f>
        <v>0</v>
      </c>
      <c r="AJ368" s="37">
        <f>IF(AL368=21,H368,0)</f>
        <v>0</v>
      </c>
      <c r="AL368" s="37">
        <v>21</v>
      </c>
      <c r="AM368" s="37">
        <f>G368*0.541335294117647</f>
        <v>0</v>
      </c>
      <c r="AN368" s="37">
        <f>G368*(1-0.541335294117647)</f>
        <v>0</v>
      </c>
      <c r="AO368" s="38" t="s">
        <v>90</v>
      </c>
      <c r="AT368" s="37">
        <f>AU368+AV368</f>
        <v>0</v>
      </c>
      <c r="AU368" s="37">
        <f>F368*AM368</f>
        <v>0</v>
      </c>
      <c r="AV368" s="37">
        <f>F368*AN368</f>
        <v>0</v>
      </c>
      <c r="AW368" s="38" t="s">
        <v>675</v>
      </c>
      <c r="AX368" s="38" t="s">
        <v>629</v>
      </c>
      <c r="AY368" s="23" t="s">
        <v>97</v>
      </c>
      <c r="BA368" s="37">
        <f>AU368+AV368</f>
        <v>0</v>
      </c>
      <c r="BB368" s="37">
        <f>G368/(100-BC368)*100</f>
        <v>0</v>
      </c>
      <c r="BC368" s="37">
        <v>0</v>
      </c>
      <c r="BD368" s="37">
        <f>J368</f>
        <v>0.035</v>
      </c>
      <c r="BF368" s="37">
        <f>F368*AM368</f>
        <v>0</v>
      </c>
      <c r="BG368" s="37">
        <f>F368*AN368</f>
        <v>0</v>
      </c>
      <c r="BH368" s="37">
        <f>F368*G368</f>
        <v>0</v>
      </c>
    </row>
    <row r="369" spans="1:11" ht="12.75">
      <c r="A369" s="39"/>
      <c r="B369" s="40"/>
      <c r="C369" s="40"/>
      <c r="D369" s="41" t="s">
        <v>676</v>
      </c>
      <c r="E369" s="40"/>
      <c r="F369" s="42">
        <v>5</v>
      </c>
      <c r="G369" s="40"/>
      <c r="H369" s="40"/>
      <c r="I369" s="43"/>
      <c r="J369" s="43"/>
      <c r="K369" s="40"/>
    </row>
    <row r="370" spans="1:60" ht="12.75">
      <c r="A370" s="16" t="s">
        <v>677</v>
      </c>
      <c r="B370" s="16"/>
      <c r="C370" s="16" t="s">
        <v>678</v>
      </c>
      <c r="D370" s="32" t="s">
        <v>679</v>
      </c>
      <c r="E370" s="16" t="s">
        <v>225</v>
      </c>
      <c r="F370" s="33">
        <v>1</v>
      </c>
      <c r="G370" s="422"/>
      <c r="H370" s="34">
        <f>F370*G370</f>
        <v>0</v>
      </c>
      <c r="I370" s="35">
        <v>0.007</v>
      </c>
      <c r="J370" s="35">
        <f>F370*I370</f>
        <v>0.007</v>
      </c>
      <c r="K370" s="36" t="s">
        <v>94</v>
      </c>
      <c r="X370" s="37">
        <f>IF(AO370="5",BH370,0)</f>
        <v>0</v>
      </c>
      <c r="Z370" s="37">
        <f>IF(AO370="1",BF370,0)</f>
        <v>0</v>
      </c>
      <c r="AA370" s="37">
        <f>IF(AO370="1",BG370,0)</f>
        <v>0</v>
      </c>
      <c r="AB370" s="37">
        <f>IF(AO370="7",BF370,0)</f>
        <v>0</v>
      </c>
      <c r="AC370" s="37">
        <f>IF(AO370="7",BG370,0)</f>
        <v>0</v>
      </c>
      <c r="AD370" s="37">
        <f>IF(AO370="2",BF370,0)</f>
        <v>0</v>
      </c>
      <c r="AE370" s="37">
        <f>IF(AO370="2",BG370,0)</f>
        <v>0</v>
      </c>
      <c r="AF370" s="37">
        <f>IF(AO370="0",BH370,0)</f>
        <v>0</v>
      </c>
      <c r="AG370" s="23"/>
      <c r="AH370" s="37">
        <f>IF(AL370=0,H370,0)</f>
        <v>0</v>
      </c>
      <c r="AI370" s="37">
        <f>IF(AL370=15,H370,0)</f>
        <v>0</v>
      </c>
      <c r="AJ370" s="37">
        <f>IF(AL370=21,H370,0)</f>
        <v>0</v>
      </c>
      <c r="AL370" s="37">
        <v>21</v>
      </c>
      <c r="AM370" s="37">
        <f>G370*0.541335294117647</f>
        <v>0</v>
      </c>
      <c r="AN370" s="37">
        <f>G370*(1-0.541335294117647)</f>
        <v>0</v>
      </c>
      <c r="AO370" s="38" t="s">
        <v>90</v>
      </c>
      <c r="AT370" s="37">
        <f>AU370+AV370</f>
        <v>0</v>
      </c>
      <c r="AU370" s="37">
        <f>F370*AM370</f>
        <v>0</v>
      </c>
      <c r="AV370" s="37">
        <f>F370*AN370</f>
        <v>0</v>
      </c>
      <c r="AW370" s="38" t="s">
        <v>675</v>
      </c>
      <c r="AX370" s="38" t="s">
        <v>629</v>
      </c>
      <c r="AY370" s="23" t="s">
        <v>97</v>
      </c>
      <c r="BA370" s="37">
        <f>AU370+AV370</f>
        <v>0</v>
      </c>
      <c r="BB370" s="37">
        <f>G370/(100-BC370)*100</f>
        <v>0</v>
      </c>
      <c r="BC370" s="37">
        <v>0</v>
      </c>
      <c r="BD370" s="37">
        <f>J370</f>
        <v>0.007</v>
      </c>
      <c r="BF370" s="37">
        <f>F370*AM370</f>
        <v>0</v>
      </c>
      <c r="BG370" s="37">
        <f>F370*AN370</f>
        <v>0</v>
      </c>
      <c r="BH370" s="37">
        <f>F370*G370</f>
        <v>0</v>
      </c>
    </row>
    <row r="371" spans="1:11" ht="12.75">
      <c r="A371" s="39"/>
      <c r="B371" s="40"/>
      <c r="C371" s="40"/>
      <c r="D371" s="41" t="s">
        <v>680</v>
      </c>
      <c r="E371" s="40"/>
      <c r="F371" s="42">
        <v>1</v>
      </c>
      <c r="G371" s="40"/>
      <c r="H371" s="40"/>
      <c r="I371" s="43"/>
      <c r="J371" s="43"/>
      <c r="K371" s="40"/>
    </row>
    <row r="372" spans="1:60" ht="25.5">
      <c r="A372" s="16" t="s">
        <v>681</v>
      </c>
      <c r="B372" s="16"/>
      <c r="C372" s="16" t="s">
        <v>682</v>
      </c>
      <c r="D372" s="32" t="s">
        <v>683</v>
      </c>
      <c r="E372" s="16" t="s">
        <v>469</v>
      </c>
      <c r="F372" s="33">
        <v>1</v>
      </c>
      <c r="G372" s="422"/>
      <c r="H372" s="34">
        <f>F372*G372</f>
        <v>0</v>
      </c>
      <c r="I372" s="35">
        <v>0.00039</v>
      </c>
      <c r="J372" s="35">
        <f>F372*I372</f>
        <v>0.00039</v>
      </c>
      <c r="K372" s="36" t="s">
        <v>94</v>
      </c>
      <c r="X372" s="37">
        <f>IF(AO372="5",BH372,0)</f>
        <v>0</v>
      </c>
      <c r="Z372" s="37">
        <f>IF(AO372="1",BF372,0)</f>
        <v>0</v>
      </c>
      <c r="AA372" s="37">
        <f>IF(AO372="1",BG372,0)</f>
        <v>0</v>
      </c>
      <c r="AB372" s="37">
        <f>IF(AO372="7",BF372,0)</f>
        <v>0</v>
      </c>
      <c r="AC372" s="37">
        <f>IF(AO372="7",BG372,0)</f>
        <v>0</v>
      </c>
      <c r="AD372" s="37">
        <f>IF(AO372="2",BF372,0)</f>
        <v>0</v>
      </c>
      <c r="AE372" s="37">
        <f>IF(AO372="2",BG372,0)</f>
        <v>0</v>
      </c>
      <c r="AF372" s="37">
        <f>IF(AO372="0",BH372,0)</f>
        <v>0</v>
      </c>
      <c r="AG372" s="23"/>
      <c r="AH372" s="37">
        <f>IF(AL372=0,H372,0)</f>
        <v>0</v>
      </c>
      <c r="AI372" s="37">
        <f>IF(AL372=15,H372,0)</f>
        <v>0</v>
      </c>
      <c r="AJ372" s="37">
        <f>IF(AL372=21,H372,0)</f>
        <v>0</v>
      </c>
      <c r="AL372" s="37">
        <v>21</v>
      </c>
      <c r="AM372" s="37">
        <f>G372*0.598587333333333</f>
        <v>0</v>
      </c>
      <c r="AN372" s="37">
        <f>G372*(1-0.598587333333333)</f>
        <v>0</v>
      </c>
      <c r="AO372" s="38" t="s">
        <v>90</v>
      </c>
      <c r="AT372" s="37">
        <f>AU372+AV372</f>
        <v>0</v>
      </c>
      <c r="AU372" s="37">
        <f>F372*AM372</f>
        <v>0</v>
      </c>
      <c r="AV372" s="37">
        <f>F372*AN372</f>
        <v>0</v>
      </c>
      <c r="AW372" s="38" t="s">
        <v>675</v>
      </c>
      <c r="AX372" s="38" t="s">
        <v>629</v>
      </c>
      <c r="AY372" s="23" t="s">
        <v>97</v>
      </c>
      <c r="BA372" s="37">
        <f>AU372+AV372</f>
        <v>0</v>
      </c>
      <c r="BB372" s="37">
        <f>G372/(100-BC372)*100</f>
        <v>0</v>
      </c>
      <c r="BC372" s="37">
        <v>0</v>
      </c>
      <c r="BD372" s="37">
        <f>J372</f>
        <v>0.00039</v>
      </c>
      <c r="BF372" s="37">
        <f>F372*AM372</f>
        <v>0</v>
      </c>
      <c r="BG372" s="37">
        <f>F372*AN372</f>
        <v>0</v>
      </c>
      <c r="BH372" s="37">
        <f>F372*G372</f>
        <v>0</v>
      </c>
    </row>
    <row r="373" spans="1:11" ht="12.75">
      <c r="A373" s="39"/>
      <c r="B373" s="40"/>
      <c r="C373" s="40"/>
      <c r="D373" s="41" t="s">
        <v>684</v>
      </c>
      <c r="E373" s="40"/>
      <c r="F373" s="42">
        <v>1</v>
      </c>
      <c r="G373" s="40"/>
      <c r="H373" s="40"/>
      <c r="I373" s="43"/>
      <c r="J373" s="43"/>
      <c r="K373" s="40"/>
    </row>
    <row r="374" spans="1:60" ht="12.75">
      <c r="A374" s="16" t="s">
        <v>685</v>
      </c>
      <c r="B374" s="16"/>
      <c r="C374" s="16" t="s">
        <v>686</v>
      </c>
      <c r="D374" s="32" t="s">
        <v>687</v>
      </c>
      <c r="E374" s="16" t="s">
        <v>192</v>
      </c>
      <c r="F374" s="33">
        <v>1116.83</v>
      </c>
      <c r="G374" s="422"/>
      <c r="H374" s="34">
        <f>F374*G374</f>
        <v>0</v>
      </c>
      <c r="I374" s="35">
        <v>4E-05</v>
      </c>
      <c r="J374" s="35">
        <f>F374*I374</f>
        <v>0.0446732</v>
      </c>
      <c r="K374" s="36" t="s">
        <v>94</v>
      </c>
      <c r="X374" s="37">
        <f>IF(AO374="5",BH374,0)</f>
        <v>0</v>
      </c>
      <c r="Z374" s="37">
        <f>IF(AO374="1",BF374,0)</f>
        <v>0</v>
      </c>
      <c r="AA374" s="37">
        <f>IF(AO374="1",BG374,0)</f>
        <v>0</v>
      </c>
      <c r="AB374" s="37">
        <f>IF(AO374="7",BF374,0)</f>
        <v>0</v>
      </c>
      <c r="AC374" s="37">
        <f>IF(AO374="7",BG374,0)</f>
        <v>0</v>
      </c>
      <c r="AD374" s="37">
        <f>IF(AO374="2",BF374,0)</f>
        <v>0</v>
      </c>
      <c r="AE374" s="37">
        <f>IF(AO374="2",BG374,0)</f>
        <v>0</v>
      </c>
      <c r="AF374" s="37">
        <f>IF(AO374="0",BH374,0)</f>
        <v>0</v>
      </c>
      <c r="AG374" s="23"/>
      <c r="AH374" s="37">
        <f>IF(AL374=0,H374,0)</f>
        <v>0</v>
      </c>
      <c r="AI374" s="37">
        <f>IF(AL374=15,H374,0)</f>
        <v>0</v>
      </c>
      <c r="AJ374" s="37">
        <f>IF(AL374=21,H374,0)</f>
        <v>0</v>
      </c>
      <c r="AL374" s="37">
        <v>21</v>
      </c>
      <c r="AM374" s="37">
        <f>G374*0.0123809519010477</f>
        <v>0</v>
      </c>
      <c r="AN374" s="37">
        <f>G374*(1-0.0123809519010477)</f>
        <v>0</v>
      </c>
      <c r="AO374" s="38" t="s">
        <v>90</v>
      </c>
      <c r="AT374" s="37">
        <f>AU374+AV374</f>
        <v>0</v>
      </c>
      <c r="AU374" s="37">
        <f>F374*AM374</f>
        <v>0</v>
      </c>
      <c r="AV374" s="37">
        <f>F374*AN374</f>
        <v>0</v>
      </c>
      <c r="AW374" s="38" t="s">
        <v>675</v>
      </c>
      <c r="AX374" s="38" t="s">
        <v>629</v>
      </c>
      <c r="AY374" s="23" t="s">
        <v>97</v>
      </c>
      <c r="BA374" s="37">
        <f>AU374+AV374</f>
        <v>0</v>
      </c>
      <c r="BB374" s="37">
        <f>G374/(100-BC374)*100</f>
        <v>0</v>
      </c>
      <c r="BC374" s="37">
        <v>0</v>
      </c>
      <c r="BD374" s="37">
        <f>J374</f>
        <v>0.0446732</v>
      </c>
      <c r="BF374" s="37">
        <f>F374*AM374</f>
        <v>0</v>
      </c>
      <c r="BG374" s="37">
        <f>F374*AN374</f>
        <v>0</v>
      </c>
      <c r="BH374" s="37">
        <f>F374*G374</f>
        <v>0</v>
      </c>
    </row>
    <row r="375" spans="1:11" ht="12.75">
      <c r="A375" s="39"/>
      <c r="B375" s="40"/>
      <c r="C375" s="40"/>
      <c r="D375" s="41" t="s">
        <v>688</v>
      </c>
      <c r="E375" s="40"/>
      <c r="F375" s="42">
        <v>1116.83</v>
      </c>
      <c r="G375" s="40"/>
      <c r="H375" s="40"/>
      <c r="I375" s="43"/>
      <c r="J375" s="43"/>
      <c r="K375" s="40"/>
    </row>
    <row r="376" spans="1:11" ht="25.5">
      <c r="A376" s="39" t="s">
        <v>689</v>
      </c>
      <c r="B376" s="40"/>
      <c r="C376" s="16" t="s">
        <v>690</v>
      </c>
      <c r="D376" s="32" t="s">
        <v>691</v>
      </c>
      <c r="E376" s="16" t="s">
        <v>469</v>
      </c>
      <c r="F376" s="33">
        <v>1</v>
      </c>
      <c r="G376" s="422"/>
      <c r="H376" s="34">
        <f>F376*G376</f>
        <v>0</v>
      </c>
      <c r="I376" s="35">
        <v>0.007</v>
      </c>
      <c r="J376" s="35">
        <f>F376*I376</f>
        <v>0.007</v>
      </c>
      <c r="K376" s="36" t="s">
        <v>226</v>
      </c>
    </row>
    <row r="377" spans="1:11" ht="12.75">
      <c r="A377" s="39"/>
      <c r="B377" s="40"/>
      <c r="C377" s="40"/>
      <c r="D377" s="41" t="s">
        <v>692</v>
      </c>
      <c r="E377" s="40"/>
      <c r="F377" s="42">
        <v>1</v>
      </c>
      <c r="G377" s="40"/>
      <c r="H377" s="40"/>
      <c r="I377" s="43"/>
      <c r="J377" s="43"/>
      <c r="K377" s="40"/>
    </row>
    <row r="378" spans="1:11" ht="25.5">
      <c r="A378" s="39" t="s">
        <v>693</v>
      </c>
      <c r="B378" s="40"/>
      <c r="C378" s="16" t="s">
        <v>694</v>
      </c>
      <c r="D378" s="32" t="s">
        <v>695</v>
      </c>
      <c r="E378" s="16" t="s">
        <v>469</v>
      </c>
      <c r="F378" s="33">
        <v>1</v>
      </c>
      <c r="G378" s="422"/>
      <c r="H378" s="34">
        <f>F378*G378</f>
        <v>0</v>
      </c>
      <c r="I378" s="35">
        <v>0.12</v>
      </c>
      <c r="J378" s="35">
        <f>F378*I378</f>
        <v>0.12</v>
      </c>
      <c r="K378" s="36" t="s">
        <v>226</v>
      </c>
    </row>
    <row r="379" spans="1:11" ht="12.75">
      <c r="A379" s="39"/>
      <c r="B379" s="40"/>
      <c r="C379" s="40"/>
      <c r="D379" s="41" t="s">
        <v>696</v>
      </c>
      <c r="E379" s="40"/>
      <c r="F379" s="42">
        <v>1</v>
      </c>
      <c r="G379" s="40"/>
      <c r="H379" s="40"/>
      <c r="I379" s="43"/>
      <c r="J379" s="43"/>
      <c r="K379" s="40"/>
    </row>
    <row r="380" spans="1:11" ht="25.5">
      <c r="A380" s="39" t="s">
        <v>697</v>
      </c>
      <c r="B380" s="40"/>
      <c r="C380" s="16" t="s">
        <v>698</v>
      </c>
      <c r="D380" s="32" t="s">
        <v>699</v>
      </c>
      <c r="E380" s="16" t="s">
        <v>469</v>
      </c>
      <c r="F380" s="33">
        <v>1</v>
      </c>
      <c r="G380" s="422"/>
      <c r="H380" s="34">
        <f>F380*G380</f>
        <v>0</v>
      </c>
      <c r="I380" s="35">
        <v>0.1</v>
      </c>
      <c r="J380" s="35">
        <f>F380*I380</f>
        <v>0.1</v>
      </c>
      <c r="K380" s="36" t="s">
        <v>226</v>
      </c>
    </row>
    <row r="381" spans="1:11" ht="12.75">
      <c r="A381" s="39"/>
      <c r="B381" s="40"/>
      <c r="C381" s="40"/>
      <c r="D381" s="41" t="s">
        <v>700</v>
      </c>
      <c r="E381" s="40"/>
      <c r="F381" s="42">
        <v>1</v>
      </c>
      <c r="G381" s="40"/>
      <c r="H381" s="40"/>
      <c r="I381" s="43"/>
      <c r="J381" s="43"/>
      <c r="K381" s="40"/>
    </row>
    <row r="382" spans="1:11" ht="25.5">
      <c r="A382" s="39" t="s">
        <v>701</v>
      </c>
      <c r="B382" s="40"/>
      <c r="C382" s="16" t="s">
        <v>702</v>
      </c>
      <c r="D382" s="32" t="s">
        <v>703</v>
      </c>
      <c r="E382" s="16" t="s">
        <v>469</v>
      </c>
      <c r="F382" s="33">
        <v>1</v>
      </c>
      <c r="G382" s="422"/>
      <c r="H382" s="34">
        <f>F382*G382</f>
        <v>0</v>
      </c>
      <c r="I382" s="35">
        <v>0.12</v>
      </c>
      <c r="J382" s="35">
        <f>F382*I382</f>
        <v>0.12</v>
      </c>
      <c r="K382" s="36" t="s">
        <v>226</v>
      </c>
    </row>
    <row r="383" spans="1:11" ht="12.75">
      <c r="A383" s="39"/>
      <c r="B383" s="40"/>
      <c r="C383" s="40"/>
      <c r="D383" s="41" t="s">
        <v>704</v>
      </c>
      <c r="E383" s="40"/>
      <c r="F383" s="42">
        <v>1</v>
      </c>
      <c r="G383" s="40"/>
      <c r="H383" s="40"/>
      <c r="I383" s="43"/>
      <c r="J383" s="43"/>
      <c r="K383" s="40"/>
    </row>
    <row r="384" spans="1:11" ht="25.5">
      <c r="A384" s="39" t="s">
        <v>705</v>
      </c>
      <c r="B384" s="40"/>
      <c r="C384" s="16" t="s">
        <v>706</v>
      </c>
      <c r="D384" s="32" t="s">
        <v>707</v>
      </c>
      <c r="E384" s="16" t="s">
        <v>469</v>
      </c>
      <c r="F384" s="33">
        <v>1</v>
      </c>
      <c r="G384" s="422"/>
      <c r="H384" s="34">
        <f>F384*G384</f>
        <v>0</v>
      </c>
      <c r="I384" s="35">
        <v>0.12</v>
      </c>
      <c r="J384" s="35">
        <f>F384*I384</f>
        <v>0.12</v>
      </c>
      <c r="K384" s="36" t="s">
        <v>226</v>
      </c>
    </row>
    <row r="385" spans="1:11" ht="12.75">
      <c r="A385" s="39"/>
      <c r="B385" s="40"/>
      <c r="C385" s="40"/>
      <c r="D385" s="41" t="s">
        <v>708</v>
      </c>
      <c r="E385" s="40"/>
      <c r="F385" s="42">
        <v>1</v>
      </c>
      <c r="G385" s="40"/>
      <c r="H385" s="40"/>
      <c r="I385" s="43"/>
      <c r="J385" s="43"/>
      <c r="K385" s="40"/>
    </row>
    <row r="386" spans="1:11" ht="25.5">
      <c r="A386" s="39" t="s">
        <v>709</v>
      </c>
      <c r="B386" s="40"/>
      <c r="C386" s="16" t="s">
        <v>710</v>
      </c>
      <c r="D386" s="32" t="s">
        <v>711</v>
      </c>
      <c r="E386" s="16" t="s">
        <v>469</v>
      </c>
      <c r="F386" s="33">
        <v>1</v>
      </c>
      <c r="G386" s="422"/>
      <c r="H386" s="34">
        <f>F386*G386</f>
        <v>0</v>
      </c>
      <c r="I386" s="35">
        <v>0.24</v>
      </c>
      <c r="J386" s="35">
        <f>F386*I386</f>
        <v>0.24</v>
      </c>
      <c r="K386" s="36" t="s">
        <v>226</v>
      </c>
    </row>
    <row r="387" spans="1:11" ht="12.75">
      <c r="A387" s="39"/>
      <c r="B387" s="40"/>
      <c r="C387" s="40"/>
      <c r="D387" s="41" t="s">
        <v>712</v>
      </c>
      <c r="E387" s="40"/>
      <c r="F387" s="42">
        <v>1</v>
      </c>
      <c r="G387" s="40"/>
      <c r="H387" s="40"/>
      <c r="I387" s="43"/>
      <c r="J387" s="43"/>
      <c r="K387" s="40"/>
    </row>
    <row r="388" spans="1:11" ht="25.5">
      <c r="A388" s="39" t="s">
        <v>713</v>
      </c>
      <c r="B388" s="40"/>
      <c r="C388" s="16" t="s">
        <v>714</v>
      </c>
      <c r="D388" s="32" t="s">
        <v>715</v>
      </c>
      <c r="E388" s="16" t="s">
        <v>469</v>
      </c>
      <c r="F388" s="33">
        <v>1</v>
      </c>
      <c r="G388" s="422"/>
      <c r="H388" s="34">
        <f>F388*G388</f>
        <v>0</v>
      </c>
      <c r="I388" s="35">
        <v>0.124</v>
      </c>
      <c r="J388" s="35">
        <f>F388*I388</f>
        <v>0.124</v>
      </c>
      <c r="K388" s="36" t="s">
        <v>226</v>
      </c>
    </row>
    <row r="389" spans="1:11" ht="12.75">
      <c r="A389" s="39"/>
      <c r="B389" s="40"/>
      <c r="C389" s="40"/>
      <c r="D389" s="41" t="s">
        <v>716</v>
      </c>
      <c r="E389" s="40"/>
      <c r="F389" s="42">
        <v>1</v>
      </c>
      <c r="G389" s="40"/>
      <c r="H389" s="40"/>
      <c r="I389" s="43"/>
      <c r="J389" s="43"/>
      <c r="K389" s="40"/>
    </row>
    <row r="390" spans="1:11" ht="25.5">
      <c r="A390" s="39" t="s">
        <v>717</v>
      </c>
      <c r="B390" s="40"/>
      <c r="C390" s="16" t="s">
        <v>718</v>
      </c>
      <c r="D390" s="32" t="s">
        <v>719</v>
      </c>
      <c r="E390" s="16" t="s">
        <v>469</v>
      </c>
      <c r="F390" s="33">
        <v>1</v>
      </c>
      <c r="G390" s="422"/>
      <c r="H390" s="34">
        <f>F390*G390</f>
        <v>0</v>
      </c>
      <c r="I390" s="35">
        <v>0.15</v>
      </c>
      <c r="J390" s="35">
        <f>F390*I390</f>
        <v>0.15</v>
      </c>
      <c r="K390" s="36" t="s">
        <v>226</v>
      </c>
    </row>
    <row r="391" spans="1:11" ht="12.75">
      <c r="A391" s="39"/>
      <c r="B391" s="40"/>
      <c r="C391" s="40"/>
      <c r="D391" s="41" t="s">
        <v>720</v>
      </c>
      <c r="E391" s="40"/>
      <c r="F391" s="42">
        <v>1</v>
      </c>
      <c r="G391" s="40"/>
      <c r="H391" s="40"/>
      <c r="I391" s="43"/>
      <c r="J391" s="43"/>
      <c r="K391" s="40"/>
    </row>
    <row r="392" spans="1:11" ht="25.5">
      <c r="A392" s="39" t="s">
        <v>721</v>
      </c>
      <c r="B392" s="40"/>
      <c r="C392" s="16" t="s">
        <v>722</v>
      </c>
      <c r="D392" s="32" t="s">
        <v>723</v>
      </c>
      <c r="E392" s="16" t="s">
        <v>469</v>
      </c>
      <c r="F392" s="33">
        <v>1</v>
      </c>
      <c r="G392" s="422"/>
      <c r="H392" s="34">
        <f>F392*G392</f>
        <v>0</v>
      </c>
      <c r="I392" s="35">
        <v>0.123</v>
      </c>
      <c r="J392" s="35">
        <f>F392*I392</f>
        <v>0.123</v>
      </c>
      <c r="K392" s="36" t="s">
        <v>226</v>
      </c>
    </row>
    <row r="393" spans="1:11" ht="12.75">
      <c r="A393" s="39"/>
      <c r="B393" s="40"/>
      <c r="C393" s="40"/>
      <c r="D393" s="41" t="s">
        <v>724</v>
      </c>
      <c r="E393" s="40"/>
      <c r="F393" s="42">
        <v>1</v>
      </c>
      <c r="G393" s="40"/>
      <c r="H393" s="40"/>
      <c r="I393" s="43"/>
      <c r="J393" s="43"/>
      <c r="K393" s="40"/>
    </row>
    <row r="394" spans="1:60" ht="25.5">
      <c r="A394" s="44" t="s">
        <v>725</v>
      </c>
      <c r="B394" s="44"/>
      <c r="C394" s="44" t="s">
        <v>726</v>
      </c>
      <c r="D394" s="45" t="s">
        <v>727</v>
      </c>
      <c r="E394" s="44" t="s">
        <v>225</v>
      </c>
      <c r="F394" s="46">
        <v>1</v>
      </c>
      <c r="G394" s="423"/>
      <c r="H394" s="47">
        <f>F394*G394</f>
        <v>0</v>
      </c>
      <c r="I394" s="48">
        <v>0.005</v>
      </c>
      <c r="J394" s="48">
        <f>F394*I394</f>
        <v>0.005</v>
      </c>
      <c r="K394" s="49" t="s">
        <v>226</v>
      </c>
      <c r="X394" s="37">
        <f>IF(AO394="5",BH394,0)</f>
        <v>0</v>
      </c>
      <c r="Z394" s="37">
        <f>IF(AO394="1",BF394,0)</f>
        <v>0</v>
      </c>
      <c r="AA394" s="37">
        <f>IF(AO394="1",BG394,0)</f>
        <v>0</v>
      </c>
      <c r="AB394" s="37">
        <f>IF(AO394="7",BF394,0)</f>
        <v>0</v>
      </c>
      <c r="AC394" s="37">
        <f>IF(AO394="7",BG394,0)</f>
        <v>0</v>
      </c>
      <c r="AD394" s="37">
        <f>IF(AO394="2",BF394,0)</f>
        <v>0</v>
      </c>
      <c r="AE394" s="37">
        <f>IF(AO394="2",BG394,0)</f>
        <v>0</v>
      </c>
      <c r="AF394" s="37">
        <f>IF(AO394="0",BH394,0)</f>
        <v>0</v>
      </c>
      <c r="AG394" s="23"/>
      <c r="AH394" s="37">
        <f>IF(AL394=0,H394,0)</f>
        <v>0</v>
      </c>
      <c r="AI394" s="37">
        <f>IF(AL394=15,H394,0)</f>
        <v>0</v>
      </c>
      <c r="AJ394" s="37">
        <f>IF(AL394=21,H394,0)</f>
        <v>0</v>
      </c>
      <c r="AL394" s="37">
        <v>21</v>
      </c>
      <c r="AM394" s="37">
        <f>G394*0.882352941176471</f>
        <v>0</v>
      </c>
      <c r="AN394" s="37">
        <f>G394*(1-0.882352941176471)</f>
        <v>0</v>
      </c>
      <c r="AO394" s="38" t="s">
        <v>90</v>
      </c>
      <c r="AT394" s="37">
        <f>AU394+AV394</f>
        <v>0</v>
      </c>
      <c r="AU394" s="37">
        <f>F394*AM394</f>
        <v>0</v>
      </c>
      <c r="AV394" s="37">
        <f>F394*AN394</f>
        <v>0</v>
      </c>
      <c r="AW394" s="38" t="s">
        <v>675</v>
      </c>
      <c r="AX394" s="38" t="s">
        <v>629</v>
      </c>
      <c r="AY394" s="23" t="s">
        <v>97</v>
      </c>
      <c r="BA394" s="37">
        <f>AU394+AV394</f>
        <v>0</v>
      </c>
      <c r="BB394" s="37">
        <f>G394/(100-BC394)*100</f>
        <v>0</v>
      </c>
      <c r="BC394" s="37">
        <v>0</v>
      </c>
      <c r="BD394" s="37">
        <f>J394</f>
        <v>0.005</v>
      </c>
      <c r="BF394" s="37">
        <f>F394*AM394</f>
        <v>0</v>
      </c>
      <c r="BG394" s="37">
        <f>F394*AN394</f>
        <v>0</v>
      </c>
      <c r="BH394" s="37">
        <f>F394*G394</f>
        <v>0</v>
      </c>
    </row>
    <row r="395" spans="1:11" ht="12.75">
      <c r="A395" s="50"/>
      <c r="B395" s="51"/>
      <c r="C395" s="51"/>
      <c r="D395" s="52" t="s">
        <v>728</v>
      </c>
      <c r="E395" s="51"/>
      <c r="F395" s="53">
        <v>1</v>
      </c>
      <c r="G395" s="51"/>
      <c r="H395" s="51"/>
      <c r="I395" s="54"/>
      <c r="J395" s="54"/>
      <c r="K395" s="51"/>
    </row>
    <row r="396" spans="1:60" ht="25.5">
      <c r="A396" s="44" t="s">
        <v>729</v>
      </c>
      <c r="B396" s="44"/>
      <c r="C396" s="44" t="s">
        <v>730</v>
      </c>
      <c r="D396" s="45" t="s">
        <v>731</v>
      </c>
      <c r="E396" s="44" t="s">
        <v>225</v>
      </c>
      <c r="F396" s="46">
        <v>6</v>
      </c>
      <c r="G396" s="423"/>
      <c r="H396" s="47">
        <f>F396*G396</f>
        <v>0</v>
      </c>
      <c r="I396" s="48">
        <v>0.005</v>
      </c>
      <c r="J396" s="48">
        <f>F396*I396</f>
        <v>0.03</v>
      </c>
      <c r="K396" s="49" t="s">
        <v>226</v>
      </c>
      <c r="X396" s="37">
        <f>IF(AO396="5",BH396,0)</f>
        <v>0</v>
      </c>
      <c r="Z396" s="37">
        <f>IF(AO396="1",BF396,0)</f>
        <v>0</v>
      </c>
      <c r="AA396" s="37">
        <f>IF(AO396="1",BG396,0)</f>
        <v>0</v>
      </c>
      <c r="AB396" s="37">
        <f>IF(AO396="7",BF396,0)</f>
        <v>0</v>
      </c>
      <c r="AC396" s="37">
        <f>IF(AO396="7",BG396,0)</f>
        <v>0</v>
      </c>
      <c r="AD396" s="37">
        <f>IF(AO396="2",BF396,0)</f>
        <v>0</v>
      </c>
      <c r="AE396" s="37">
        <f>IF(AO396="2",BG396,0)</f>
        <v>0</v>
      </c>
      <c r="AF396" s="37">
        <f>IF(AO396="0",BH396,0)</f>
        <v>0</v>
      </c>
      <c r="AG396" s="23"/>
      <c r="AH396" s="37">
        <f>IF(AL396=0,H396,0)</f>
        <v>0</v>
      </c>
      <c r="AI396" s="37">
        <f>IF(AL396=15,H396,0)</f>
        <v>0</v>
      </c>
      <c r="AJ396" s="37">
        <f>IF(AL396=21,H396,0)</f>
        <v>0</v>
      </c>
      <c r="AL396" s="37">
        <v>21</v>
      </c>
      <c r="AM396" s="37">
        <f>G396*0.928888888888889</f>
        <v>0</v>
      </c>
      <c r="AN396" s="37">
        <f>G396*(1-0.928888888888889)</f>
        <v>0</v>
      </c>
      <c r="AO396" s="38" t="s">
        <v>90</v>
      </c>
      <c r="AT396" s="37">
        <f>AU396+AV396</f>
        <v>0</v>
      </c>
      <c r="AU396" s="37">
        <f>F396*AM396</f>
        <v>0</v>
      </c>
      <c r="AV396" s="37">
        <f>F396*AN396</f>
        <v>0</v>
      </c>
      <c r="AW396" s="38" t="s">
        <v>675</v>
      </c>
      <c r="AX396" s="38" t="s">
        <v>629</v>
      </c>
      <c r="AY396" s="23" t="s">
        <v>97</v>
      </c>
      <c r="BA396" s="37">
        <f>AU396+AV396</f>
        <v>0</v>
      </c>
      <c r="BB396" s="37">
        <f>G396/(100-BC396)*100</f>
        <v>0</v>
      </c>
      <c r="BC396" s="37">
        <v>0</v>
      </c>
      <c r="BD396" s="37">
        <f>J396</f>
        <v>0.03</v>
      </c>
      <c r="BF396" s="37">
        <f>F396*AM396</f>
        <v>0</v>
      </c>
      <c r="BG396" s="37">
        <f>F396*AN396</f>
        <v>0</v>
      </c>
      <c r="BH396" s="37">
        <f>F396*G396</f>
        <v>0</v>
      </c>
    </row>
    <row r="397" spans="1:11" ht="12.75">
      <c r="A397" s="50"/>
      <c r="B397" s="51"/>
      <c r="C397" s="51"/>
      <c r="D397" s="52" t="s">
        <v>732</v>
      </c>
      <c r="E397" s="51"/>
      <c r="F397" s="53">
        <v>6</v>
      </c>
      <c r="G397" s="51"/>
      <c r="H397" s="51"/>
      <c r="I397" s="54"/>
      <c r="J397" s="54"/>
      <c r="K397" s="51"/>
    </row>
    <row r="398" spans="1:60" ht="25.5">
      <c r="A398" s="44" t="s">
        <v>733</v>
      </c>
      <c r="B398" s="44"/>
      <c r="C398" s="44" t="s">
        <v>734</v>
      </c>
      <c r="D398" s="45" t="s">
        <v>735</v>
      </c>
      <c r="E398" s="44" t="s">
        <v>225</v>
      </c>
      <c r="F398" s="46">
        <v>20</v>
      </c>
      <c r="G398" s="423"/>
      <c r="H398" s="47">
        <f>F398*G398</f>
        <v>0</v>
      </c>
      <c r="I398" s="48">
        <v>0.005</v>
      </c>
      <c r="J398" s="48">
        <f>F398*I398</f>
        <v>0.1</v>
      </c>
      <c r="K398" s="49" t="s">
        <v>226</v>
      </c>
      <c r="X398" s="37">
        <f>IF(AO398="5",BH398,0)</f>
        <v>0</v>
      </c>
      <c r="Z398" s="37">
        <f>IF(AO398="1",BF398,0)</f>
        <v>0</v>
      </c>
      <c r="AA398" s="37">
        <f>IF(AO398="1",BG398,0)</f>
        <v>0</v>
      </c>
      <c r="AB398" s="37">
        <f>IF(AO398="7",BF398,0)</f>
        <v>0</v>
      </c>
      <c r="AC398" s="37">
        <f>IF(AO398="7",BG398,0)</f>
        <v>0</v>
      </c>
      <c r="AD398" s="37">
        <f>IF(AO398="2",BF398,0)</f>
        <v>0</v>
      </c>
      <c r="AE398" s="37">
        <f>IF(AO398="2",BG398,0)</f>
        <v>0</v>
      </c>
      <c r="AF398" s="37">
        <f>IF(AO398="0",BH398,0)</f>
        <v>0</v>
      </c>
      <c r="AG398" s="23"/>
      <c r="AH398" s="37">
        <f>IF(AL398=0,H398,0)</f>
        <v>0</v>
      </c>
      <c r="AI398" s="37">
        <f>IF(AL398=15,H398,0)</f>
        <v>0</v>
      </c>
      <c r="AJ398" s="37">
        <f>IF(AL398=21,H398,0)</f>
        <v>0</v>
      </c>
      <c r="AL398" s="37">
        <v>21</v>
      </c>
      <c r="AM398" s="37">
        <f>G398*0.81981981981982</f>
        <v>0</v>
      </c>
      <c r="AN398" s="37">
        <f>G398*(1-0.81981981981982)</f>
        <v>0</v>
      </c>
      <c r="AO398" s="38" t="s">
        <v>90</v>
      </c>
      <c r="AT398" s="37">
        <f>AU398+AV398</f>
        <v>0</v>
      </c>
      <c r="AU398" s="37">
        <f>F398*AM398</f>
        <v>0</v>
      </c>
      <c r="AV398" s="37">
        <f>F398*AN398</f>
        <v>0</v>
      </c>
      <c r="AW398" s="38" t="s">
        <v>675</v>
      </c>
      <c r="AX398" s="38" t="s">
        <v>629</v>
      </c>
      <c r="AY398" s="23" t="s">
        <v>97</v>
      </c>
      <c r="BA398" s="37">
        <f>AU398+AV398</f>
        <v>0</v>
      </c>
      <c r="BB398" s="37">
        <f>G398/(100-BC398)*100</f>
        <v>0</v>
      </c>
      <c r="BC398" s="37">
        <v>0</v>
      </c>
      <c r="BD398" s="37">
        <f>J398</f>
        <v>0.1</v>
      </c>
      <c r="BF398" s="37">
        <f>F398*AM398</f>
        <v>0</v>
      </c>
      <c r="BG398" s="37">
        <f>F398*AN398</f>
        <v>0</v>
      </c>
      <c r="BH398" s="37">
        <f>F398*G398</f>
        <v>0</v>
      </c>
    </row>
    <row r="399" spans="1:11" ht="12.75">
      <c r="A399" s="50"/>
      <c r="B399" s="51"/>
      <c r="C399" s="51"/>
      <c r="D399" s="52" t="s">
        <v>736</v>
      </c>
      <c r="E399" s="51"/>
      <c r="F399" s="53">
        <v>20</v>
      </c>
      <c r="G399" s="51"/>
      <c r="H399" s="51"/>
      <c r="I399" s="54"/>
      <c r="J399" s="54"/>
      <c r="K399" s="51"/>
    </row>
    <row r="400" spans="1:60" ht="38.25">
      <c r="A400" s="44" t="s">
        <v>737</v>
      </c>
      <c r="B400" s="44"/>
      <c r="C400" s="44" t="s">
        <v>738</v>
      </c>
      <c r="D400" s="45" t="s">
        <v>739</v>
      </c>
      <c r="E400" s="44" t="s">
        <v>225</v>
      </c>
      <c r="F400" s="46">
        <v>6</v>
      </c>
      <c r="G400" s="423"/>
      <c r="H400" s="47">
        <f>F400*G400</f>
        <v>0</v>
      </c>
      <c r="I400" s="48">
        <v>0.005</v>
      </c>
      <c r="J400" s="48">
        <f>F400*I400</f>
        <v>0.03</v>
      </c>
      <c r="K400" s="49" t="s">
        <v>226</v>
      </c>
      <c r="X400" s="37">
        <f>IF(AO400="5",BH400,0)</f>
        <v>0</v>
      </c>
      <c r="Z400" s="37">
        <f>IF(AO400="1",BF400,0)</f>
        <v>0</v>
      </c>
      <c r="AA400" s="37">
        <f>IF(AO400="1",BG400,0)</f>
        <v>0</v>
      </c>
      <c r="AB400" s="37">
        <f>IF(AO400="7",BF400,0)</f>
        <v>0</v>
      </c>
      <c r="AC400" s="37">
        <f>IF(AO400="7",BG400,0)</f>
        <v>0</v>
      </c>
      <c r="AD400" s="37">
        <f>IF(AO400="2",BF400,0)</f>
        <v>0</v>
      </c>
      <c r="AE400" s="37">
        <f>IF(AO400="2",BG400,0)</f>
        <v>0</v>
      </c>
      <c r="AF400" s="37">
        <f>IF(AO400="0",BH400,0)</f>
        <v>0</v>
      </c>
      <c r="AG400" s="23"/>
      <c r="AH400" s="37">
        <f>IF(AL400=0,H400,0)</f>
        <v>0</v>
      </c>
      <c r="AI400" s="37">
        <f>IF(AL400=15,H400,0)</f>
        <v>0</v>
      </c>
      <c r="AJ400" s="37">
        <f>IF(AL400=21,H400,0)</f>
        <v>0</v>
      </c>
      <c r="AL400" s="37">
        <v>21</v>
      </c>
      <c r="AM400" s="37">
        <f>G400*0.831932773109244</f>
        <v>0</v>
      </c>
      <c r="AN400" s="37">
        <f>G400*(1-0.831932773109244)</f>
        <v>0</v>
      </c>
      <c r="AO400" s="38" t="s">
        <v>90</v>
      </c>
      <c r="AT400" s="37">
        <f>AU400+AV400</f>
        <v>0</v>
      </c>
      <c r="AU400" s="37">
        <f>F400*AM400</f>
        <v>0</v>
      </c>
      <c r="AV400" s="37">
        <f>F400*AN400</f>
        <v>0</v>
      </c>
      <c r="AW400" s="38" t="s">
        <v>675</v>
      </c>
      <c r="AX400" s="38" t="s">
        <v>629</v>
      </c>
      <c r="AY400" s="23" t="s">
        <v>97</v>
      </c>
      <c r="BA400" s="37">
        <f>AU400+AV400</f>
        <v>0</v>
      </c>
      <c r="BB400" s="37">
        <f>G400/(100-BC400)*100</f>
        <v>0</v>
      </c>
      <c r="BC400" s="37">
        <v>0</v>
      </c>
      <c r="BD400" s="37">
        <f>J400</f>
        <v>0.03</v>
      </c>
      <c r="BF400" s="37">
        <f>F400*AM400</f>
        <v>0</v>
      </c>
      <c r="BG400" s="37">
        <f>F400*AN400</f>
        <v>0</v>
      </c>
      <c r="BH400" s="37">
        <f>F400*G400</f>
        <v>0</v>
      </c>
    </row>
    <row r="401" spans="1:11" ht="12.75">
      <c r="A401" s="50"/>
      <c r="B401" s="51"/>
      <c r="C401" s="51"/>
      <c r="D401" s="52" t="s">
        <v>740</v>
      </c>
      <c r="E401" s="51"/>
      <c r="F401" s="53">
        <v>6</v>
      </c>
      <c r="G401" s="51"/>
      <c r="H401" s="51"/>
      <c r="I401" s="54"/>
      <c r="J401" s="54"/>
      <c r="K401" s="51"/>
    </row>
    <row r="402" spans="1:45" ht="12.75">
      <c r="A402" s="24"/>
      <c r="B402" s="25"/>
      <c r="C402" s="25" t="s">
        <v>741</v>
      </c>
      <c r="D402" s="26" t="s">
        <v>742</v>
      </c>
      <c r="E402" s="24" t="s">
        <v>54</v>
      </c>
      <c r="F402" s="24" t="s">
        <v>54</v>
      </c>
      <c r="G402" s="24"/>
      <c r="H402" s="27">
        <f>SUM(H403:H415)</f>
        <v>0</v>
      </c>
      <c r="I402" s="28"/>
      <c r="J402" s="28">
        <f>SUM(J403:J415)</f>
        <v>0</v>
      </c>
      <c r="K402" s="29"/>
      <c r="AG402" s="23"/>
      <c r="AQ402" s="31">
        <f>SUM(AH403:AH415)</f>
        <v>0</v>
      </c>
      <c r="AR402" s="31">
        <f>SUM(AI403:AI415)</f>
        <v>0</v>
      </c>
      <c r="AS402" s="31">
        <f>SUM(AJ403:AJ415)</f>
        <v>0</v>
      </c>
    </row>
    <row r="403" spans="1:60" ht="12.75">
      <c r="A403" s="16" t="s">
        <v>743</v>
      </c>
      <c r="B403" s="16"/>
      <c r="C403" s="16" t="s">
        <v>744</v>
      </c>
      <c r="D403" s="32" t="s">
        <v>745</v>
      </c>
      <c r="E403" s="16" t="s">
        <v>239</v>
      </c>
      <c r="F403" s="33">
        <v>50</v>
      </c>
      <c r="G403" s="422"/>
      <c r="H403" s="34">
        <f>F403*G403</f>
        <v>0</v>
      </c>
      <c r="I403" s="35">
        <v>0</v>
      </c>
      <c r="J403" s="35">
        <f>F403*I403</f>
        <v>0</v>
      </c>
      <c r="K403" s="36" t="s">
        <v>94</v>
      </c>
      <c r="X403" s="37">
        <f>IF(AO403="5",BH403,0)</f>
        <v>0</v>
      </c>
      <c r="Z403" s="37">
        <f>IF(AO403="1",BF403,0)</f>
        <v>0</v>
      </c>
      <c r="AA403" s="37">
        <f>IF(AO403="1",BG403,0)</f>
        <v>0</v>
      </c>
      <c r="AB403" s="37">
        <f>IF(AO403="7",BF403,0)</f>
        <v>0</v>
      </c>
      <c r="AC403" s="37">
        <f>IF(AO403="7",BG403,0)</f>
        <v>0</v>
      </c>
      <c r="AD403" s="37">
        <f>IF(AO403="2",BF403,0)</f>
        <v>0</v>
      </c>
      <c r="AE403" s="37">
        <f>IF(AO403="2",BG403,0)</f>
        <v>0</v>
      </c>
      <c r="AF403" s="37">
        <f>IF(AO403="0",BH403,0)</f>
        <v>0</v>
      </c>
      <c r="AG403" s="23"/>
      <c r="AH403" s="37">
        <f>IF(AL403=0,H403,0)</f>
        <v>0</v>
      </c>
      <c r="AI403" s="37">
        <f>IF(AL403=15,H403,0)</f>
        <v>0</v>
      </c>
      <c r="AJ403" s="37">
        <f>IF(AL403=21,H403,0)</f>
        <v>0</v>
      </c>
      <c r="AL403" s="37">
        <v>21</v>
      </c>
      <c r="AM403" s="37">
        <f>G403*0</f>
        <v>0</v>
      </c>
      <c r="AN403" s="37">
        <f>G403*(1-0)</f>
        <v>0</v>
      </c>
      <c r="AO403" s="38" t="s">
        <v>118</v>
      </c>
      <c r="AT403" s="37">
        <f>AU403+AV403</f>
        <v>0</v>
      </c>
      <c r="AU403" s="37">
        <f>F403*AM403</f>
        <v>0</v>
      </c>
      <c r="AV403" s="37">
        <f>F403*AN403</f>
        <v>0</v>
      </c>
      <c r="AW403" s="38" t="s">
        <v>746</v>
      </c>
      <c r="AX403" s="38" t="s">
        <v>629</v>
      </c>
      <c r="AY403" s="23" t="s">
        <v>97</v>
      </c>
      <c r="BA403" s="37">
        <f>AU403+AV403</f>
        <v>0</v>
      </c>
      <c r="BB403" s="37">
        <f>G403/(100-BC403)*100</f>
        <v>0</v>
      </c>
      <c r="BC403" s="37">
        <v>0</v>
      </c>
      <c r="BD403" s="37">
        <f>J403</f>
        <v>0</v>
      </c>
      <c r="BF403" s="37">
        <f>F403*AM403</f>
        <v>0</v>
      </c>
      <c r="BG403" s="37">
        <f>F403*AN403</f>
        <v>0</v>
      </c>
      <c r="BH403" s="37">
        <f>F403*G403</f>
        <v>0</v>
      </c>
    </row>
    <row r="404" spans="1:11" ht="12.75">
      <c r="A404" s="39"/>
      <c r="B404" s="40"/>
      <c r="C404" s="40"/>
      <c r="D404" s="41" t="s">
        <v>747</v>
      </c>
      <c r="E404" s="40"/>
      <c r="F404" s="42">
        <v>50</v>
      </c>
      <c r="G404" s="40"/>
      <c r="H404" s="40"/>
      <c r="I404" s="43"/>
      <c r="J404" s="43"/>
      <c r="K404" s="40"/>
    </row>
    <row r="405" spans="1:60" ht="12.75">
      <c r="A405" s="16" t="s">
        <v>748</v>
      </c>
      <c r="B405" s="16"/>
      <c r="C405" s="16" t="s">
        <v>749</v>
      </c>
      <c r="D405" s="32" t="s">
        <v>750</v>
      </c>
      <c r="E405" s="16" t="s">
        <v>239</v>
      </c>
      <c r="F405" s="33">
        <v>1000</v>
      </c>
      <c r="G405" s="422"/>
      <c r="H405" s="34">
        <f>F405*G405</f>
        <v>0</v>
      </c>
      <c r="I405" s="35">
        <v>0</v>
      </c>
      <c r="J405" s="35">
        <f>F405*I405</f>
        <v>0</v>
      </c>
      <c r="K405" s="36" t="s">
        <v>94</v>
      </c>
      <c r="X405" s="37">
        <f>IF(AO405="5",BH405,0)</f>
        <v>0</v>
      </c>
      <c r="Z405" s="37">
        <f>IF(AO405="1",BF405,0)</f>
        <v>0</v>
      </c>
      <c r="AA405" s="37">
        <f>IF(AO405="1",BG405,0)</f>
        <v>0</v>
      </c>
      <c r="AB405" s="37">
        <f>IF(AO405="7",BF405,0)</f>
        <v>0</v>
      </c>
      <c r="AC405" s="37">
        <f>IF(AO405="7",BG405,0)</f>
        <v>0</v>
      </c>
      <c r="AD405" s="37">
        <f>IF(AO405="2",BF405,0)</f>
        <v>0</v>
      </c>
      <c r="AE405" s="37">
        <f>IF(AO405="2",BG405,0)</f>
        <v>0</v>
      </c>
      <c r="AF405" s="37">
        <f>IF(AO405="0",BH405,0)</f>
        <v>0</v>
      </c>
      <c r="AG405" s="23"/>
      <c r="AH405" s="37">
        <f>IF(AL405=0,H405,0)</f>
        <v>0</v>
      </c>
      <c r="AI405" s="37">
        <f>IF(AL405=15,H405,0)</f>
        <v>0</v>
      </c>
      <c r="AJ405" s="37">
        <f>IF(AL405=21,H405,0)</f>
        <v>0</v>
      </c>
      <c r="AL405" s="37">
        <v>21</v>
      </c>
      <c r="AM405" s="37">
        <f>G405*0</f>
        <v>0</v>
      </c>
      <c r="AN405" s="37">
        <f>G405*(1-0)</f>
        <v>0</v>
      </c>
      <c r="AO405" s="38" t="s">
        <v>118</v>
      </c>
      <c r="AT405" s="37">
        <f>AU405+AV405</f>
        <v>0</v>
      </c>
      <c r="AU405" s="37">
        <f>F405*AM405</f>
        <v>0</v>
      </c>
      <c r="AV405" s="37">
        <f>F405*AN405</f>
        <v>0</v>
      </c>
      <c r="AW405" s="38" t="s">
        <v>746</v>
      </c>
      <c r="AX405" s="38" t="s">
        <v>629</v>
      </c>
      <c r="AY405" s="23" t="s">
        <v>97</v>
      </c>
      <c r="BA405" s="37">
        <f>AU405+AV405</f>
        <v>0</v>
      </c>
      <c r="BB405" s="37">
        <f>G405/(100-BC405)*100</f>
        <v>0</v>
      </c>
      <c r="BC405" s="37">
        <v>0</v>
      </c>
      <c r="BD405" s="37">
        <f>J405</f>
        <v>0</v>
      </c>
      <c r="BF405" s="37">
        <f>F405*AM405</f>
        <v>0</v>
      </c>
      <c r="BG405" s="37">
        <f>F405*AN405</f>
        <v>0</v>
      </c>
      <c r="BH405" s="37">
        <f>F405*G405</f>
        <v>0</v>
      </c>
    </row>
    <row r="406" spans="1:11" ht="12.75">
      <c r="A406" s="39"/>
      <c r="B406" s="40"/>
      <c r="C406" s="40"/>
      <c r="D406" s="41" t="s">
        <v>751</v>
      </c>
      <c r="E406" s="40"/>
      <c r="F406" s="42">
        <v>1000</v>
      </c>
      <c r="G406" s="40"/>
      <c r="H406" s="40"/>
      <c r="I406" s="43"/>
      <c r="J406" s="43"/>
      <c r="K406" s="40"/>
    </row>
    <row r="407" spans="1:60" ht="12.75">
      <c r="A407" s="16" t="s">
        <v>752</v>
      </c>
      <c r="B407" s="16"/>
      <c r="C407" s="16" t="s">
        <v>753</v>
      </c>
      <c r="D407" s="32" t="s">
        <v>754</v>
      </c>
      <c r="E407" s="16" t="s">
        <v>239</v>
      </c>
      <c r="F407" s="33">
        <v>50</v>
      </c>
      <c r="G407" s="422"/>
      <c r="H407" s="34">
        <f>F407*G407</f>
        <v>0</v>
      </c>
      <c r="I407" s="35">
        <v>0</v>
      </c>
      <c r="J407" s="35">
        <f>F407*I407</f>
        <v>0</v>
      </c>
      <c r="K407" s="36" t="s">
        <v>94</v>
      </c>
      <c r="X407" s="37">
        <f>IF(AO407="5",BH407,0)</f>
        <v>0</v>
      </c>
      <c r="Z407" s="37">
        <f>IF(AO407="1",BF407,0)</f>
        <v>0</v>
      </c>
      <c r="AA407" s="37">
        <f>IF(AO407="1",BG407,0)</f>
        <v>0</v>
      </c>
      <c r="AB407" s="37">
        <f>IF(AO407="7",BF407,0)</f>
        <v>0</v>
      </c>
      <c r="AC407" s="37">
        <f>IF(AO407="7",BG407,0)</f>
        <v>0</v>
      </c>
      <c r="AD407" s="37">
        <f>IF(AO407="2",BF407,0)</f>
        <v>0</v>
      </c>
      <c r="AE407" s="37">
        <f>IF(AO407="2",BG407,0)</f>
        <v>0</v>
      </c>
      <c r="AF407" s="37">
        <f>IF(AO407="0",BH407,0)</f>
        <v>0</v>
      </c>
      <c r="AG407" s="23"/>
      <c r="AH407" s="37">
        <f>IF(AL407=0,H407,0)</f>
        <v>0</v>
      </c>
      <c r="AI407" s="37">
        <f>IF(AL407=15,H407,0)</f>
        <v>0</v>
      </c>
      <c r="AJ407" s="37">
        <f>IF(AL407=21,H407,0)</f>
        <v>0</v>
      </c>
      <c r="AL407" s="37">
        <v>21</v>
      </c>
      <c r="AM407" s="37">
        <f>G407*0</f>
        <v>0</v>
      </c>
      <c r="AN407" s="37">
        <f>G407*(1-0)</f>
        <v>0</v>
      </c>
      <c r="AO407" s="38" t="s">
        <v>118</v>
      </c>
      <c r="AT407" s="37">
        <f>AU407+AV407</f>
        <v>0</v>
      </c>
      <c r="AU407" s="37">
        <f>F407*AM407</f>
        <v>0</v>
      </c>
      <c r="AV407" s="37">
        <f>F407*AN407</f>
        <v>0</v>
      </c>
      <c r="AW407" s="38" t="s">
        <v>746</v>
      </c>
      <c r="AX407" s="38" t="s">
        <v>629</v>
      </c>
      <c r="AY407" s="23" t="s">
        <v>97</v>
      </c>
      <c r="BA407" s="37">
        <f>AU407+AV407</f>
        <v>0</v>
      </c>
      <c r="BB407" s="37">
        <f>G407/(100-BC407)*100</f>
        <v>0</v>
      </c>
      <c r="BC407" s="37">
        <v>0</v>
      </c>
      <c r="BD407" s="37">
        <f>J407</f>
        <v>0</v>
      </c>
      <c r="BF407" s="37">
        <f>F407*AM407</f>
        <v>0</v>
      </c>
      <c r="BG407" s="37">
        <f>F407*AN407</f>
        <v>0</v>
      </c>
      <c r="BH407" s="37">
        <f>F407*G407</f>
        <v>0</v>
      </c>
    </row>
    <row r="408" spans="1:11" ht="12.75">
      <c r="A408" s="39"/>
      <c r="B408" s="40"/>
      <c r="C408" s="40"/>
      <c r="D408" s="41" t="s">
        <v>755</v>
      </c>
      <c r="E408" s="40"/>
      <c r="F408" s="42">
        <v>50</v>
      </c>
      <c r="G408" s="40"/>
      <c r="H408" s="40"/>
      <c r="I408" s="43"/>
      <c r="J408" s="43"/>
      <c r="K408" s="40"/>
    </row>
    <row r="409" spans="1:60" ht="12.75">
      <c r="A409" s="16" t="s">
        <v>756</v>
      </c>
      <c r="B409" s="16"/>
      <c r="C409" s="16" t="s">
        <v>757</v>
      </c>
      <c r="D409" s="32" t="s">
        <v>758</v>
      </c>
      <c r="E409" s="16" t="s">
        <v>239</v>
      </c>
      <c r="F409" s="33">
        <v>500</v>
      </c>
      <c r="G409" s="422"/>
      <c r="H409" s="34">
        <f>F409*G409</f>
        <v>0</v>
      </c>
      <c r="I409" s="35">
        <v>0</v>
      </c>
      <c r="J409" s="35">
        <f>F409*I409</f>
        <v>0</v>
      </c>
      <c r="K409" s="36" t="s">
        <v>94</v>
      </c>
      <c r="X409" s="37">
        <f>IF(AO409="5",BH409,0)</f>
        <v>0</v>
      </c>
      <c r="Z409" s="37">
        <f>IF(AO409="1",BF409,0)</f>
        <v>0</v>
      </c>
      <c r="AA409" s="37">
        <f>IF(AO409="1",BG409,0)</f>
        <v>0</v>
      </c>
      <c r="AB409" s="37">
        <f>IF(AO409="7",BF409,0)</f>
        <v>0</v>
      </c>
      <c r="AC409" s="37">
        <f>IF(AO409="7",BG409,0)</f>
        <v>0</v>
      </c>
      <c r="AD409" s="37">
        <f>IF(AO409="2",BF409,0)</f>
        <v>0</v>
      </c>
      <c r="AE409" s="37">
        <f>IF(AO409="2",BG409,0)</f>
        <v>0</v>
      </c>
      <c r="AF409" s="37">
        <f>IF(AO409="0",BH409,0)</f>
        <v>0</v>
      </c>
      <c r="AG409" s="23"/>
      <c r="AH409" s="37">
        <f>IF(AL409=0,H409,0)</f>
        <v>0</v>
      </c>
      <c r="AI409" s="37">
        <f>IF(AL409=15,H409,0)</f>
        <v>0</v>
      </c>
      <c r="AJ409" s="37">
        <f>IF(AL409=21,H409,0)</f>
        <v>0</v>
      </c>
      <c r="AL409" s="37">
        <v>21</v>
      </c>
      <c r="AM409" s="37">
        <f>G409*0</f>
        <v>0</v>
      </c>
      <c r="AN409" s="37">
        <f>G409*(1-0)</f>
        <v>0</v>
      </c>
      <c r="AO409" s="38" t="s">
        <v>118</v>
      </c>
      <c r="AT409" s="37">
        <f>AU409+AV409</f>
        <v>0</v>
      </c>
      <c r="AU409" s="37">
        <f>F409*AM409</f>
        <v>0</v>
      </c>
      <c r="AV409" s="37">
        <f>F409*AN409</f>
        <v>0</v>
      </c>
      <c r="AW409" s="38" t="s">
        <v>746</v>
      </c>
      <c r="AX409" s="38" t="s">
        <v>629</v>
      </c>
      <c r="AY409" s="23" t="s">
        <v>97</v>
      </c>
      <c r="BA409" s="37">
        <f>AU409+AV409</f>
        <v>0</v>
      </c>
      <c r="BB409" s="37">
        <f>G409/(100-BC409)*100</f>
        <v>0</v>
      </c>
      <c r="BC409" s="37">
        <v>0</v>
      </c>
      <c r="BD409" s="37">
        <f>J409</f>
        <v>0</v>
      </c>
      <c r="BF409" s="37">
        <f>F409*AM409</f>
        <v>0</v>
      </c>
      <c r="BG409" s="37">
        <f>F409*AN409</f>
        <v>0</v>
      </c>
      <c r="BH409" s="37">
        <f>F409*G409</f>
        <v>0</v>
      </c>
    </row>
    <row r="410" spans="1:11" ht="12.75">
      <c r="A410" s="39"/>
      <c r="B410" s="40"/>
      <c r="C410" s="40"/>
      <c r="D410" s="41" t="s">
        <v>759</v>
      </c>
      <c r="E410" s="40"/>
      <c r="F410" s="42">
        <v>500</v>
      </c>
      <c r="G410" s="40"/>
      <c r="H410" s="40"/>
      <c r="I410" s="43"/>
      <c r="J410" s="43"/>
      <c r="K410" s="40"/>
    </row>
    <row r="411" spans="1:60" ht="12.75">
      <c r="A411" s="16" t="s">
        <v>760</v>
      </c>
      <c r="B411" s="16"/>
      <c r="C411" s="16" t="s">
        <v>761</v>
      </c>
      <c r="D411" s="32" t="s">
        <v>762</v>
      </c>
      <c r="E411" s="16" t="s">
        <v>239</v>
      </c>
      <c r="F411" s="33">
        <v>50</v>
      </c>
      <c r="G411" s="422"/>
      <c r="H411" s="34">
        <f>F411*G411</f>
        <v>0</v>
      </c>
      <c r="I411" s="35">
        <v>0</v>
      </c>
      <c r="J411" s="35">
        <f>F411*I411</f>
        <v>0</v>
      </c>
      <c r="K411" s="36" t="s">
        <v>94</v>
      </c>
      <c r="X411" s="37">
        <f>IF(AO411="5",BH411,0)</f>
        <v>0</v>
      </c>
      <c r="Z411" s="37">
        <f>IF(AO411="1",BF411,0)</f>
        <v>0</v>
      </c>
      <c r="AA411" s="37">
        <f>IF(AO411="1",BG411,0)</f>
        <v>0</v>
      </c>
      <c r="AB411" s="37">
        <f>IF(AO411="7",BF411,0)</f>
        <v>0</v>
      </c>
      <c r="AC411" s="37">
        <f>IF(AO411="7",BG411,0)</f>
        <v>0</v>
      </c>
      <c r="AD411" s="37">
        <f>IF(AO411="2",BF411,0)</f>
        <v>0</v>
      </c>
      <c r="AE411" s="37">
        <f>IF(AO411="2",BG411,0)</f>
        <v>0</v>
      </c>
      <c r="AF411" s="37">
        <f>IF(AO411="0",BH411,0)</f>
        <v>0</v>
      </c>
      <c r="AG411" s="23"/>
      <c r="AH411" s="37">
        <f>IF(AL411=0,H411,0)</f>
        <v>0</v>
      </c>
      <c r="AI411" s="37">
        <f>IF(AL411=15,H411,0)</f>
        <v>0</v>
      </c>
      <c r="AJ411" s="37">
        <f>IF(AL411=21,H411,0)</f>
        <v>0</v>
      </c>
      <c r="AL411" s="37">
        <v>21</v>
      </c>
      <c r="AM411" s="37">
        <f>G411*0</f>
        <v>0</v>
      </c>
      <c r="AN411" s="37">
        <f>G411*(1-0)</f>
        <v>0</v>
      </c>
      <c r="AO411" s="38" t="s">
        <v>118</v>
      </c>
      <c r="AT411" s="37">
        <f>AU411+AV411</f>
        <v>0</v>
      </c>
      <c r="AU411" s="37">
        <f>F411*AM411</f>
        <v>0</v>
      </c>
      <c r="AV411" s="37">
        <f>F411*AN411</f>
        <v>0</v>
      </c>
      <c r="AW411" s="38" t="s">
        <v>746</v>
      </c>
      <c r="AX411" s="38" t="s">
        <v>629</v>
      </c>
      <c r="AY411" s="23" t="s">
        <v>97</v>
      </c>
      <c r="BA411" s="37">
        <f>AU411+AV411</f>
        <v>0</v>
      </c>
      <c r="BB411" s="37">
        <f>G411/(100-BC411)*100</f>
        <v>0</v>
      </c>
      <c r="BC411" s="37">
        <v>0</v>
      </c>
      <c r="BD411" s="37">
        <f>J411</f>
        <v>0</v>
      </c>
      <c r="BF411" s="37">
        <f>F411*AM411</f>
        <v>0</v>
      </c>
      <c r="BG411" s="37">
        <f>F411*AN411</f>
        <v>0</v>
      </c>
      <c r="BH411" s="37">
        <f>F411*G411</f>
        <v>0</v>
      </c>
    </row>
    <row r="412" spans="1:11" ht="12.75">
      <c r="A412" s="39"/>
      <c r="B412" s="40"/>
      <c r="C412" s="40"/>
      <c r="D412" s="41" t="s">
        <v>755</v>
      </c>
      <c r="E412" s="40"/>
      <c r="F412" s="42">
        <v>50</v>
      </c>
      <c r="G412" s="40"/>
      <c r="H412" s="40"/>
      <c r="I412" s="43"/>
      <c r="J412" s="43"/>
      <c r="K412" s="40"/>
    </row>
    <row r="413" spans="1:60" ht="12.75">
      <c r="A413" s="16" t="s">
        <v>763</v>
      </c>
      <c r="B413" s="16"/>
      <c r="C413" s="16" t="s">
        <v>764</v>
      </c>
      <c r="D413" s="32" t="s">
        <v>765</v>
      </c>
      <c r="E413" s="16" t="s">
        <v>239</v>
      </c>
      <c r="F413" s="33">
        <v>50</v>
      </c>
      <c r="G413" s="422"/>
      <c r="H413" s="34">
        <f>F413*G413</f>
        <v>0</v>
      </c>
      <c r="I413" s="35">
        <v>0</v>
      </c>
      <c r="J413" s="35">
        <f>F413*I413</f>
        <v>0</v>
      </c>
      <c r="K413" s="36" t="s">
        <v>94</v>
      </c>
      <c r="X413" s="37">
        <f>IF(AO413="5",BH413,0)</f>
        <v>0</v>
      </c>
      <c r="Z413" s="37">
        <f>IF(AO413="1",BF413,0)</f>
        <v>0</v>
      </c>
      <c r="AA413" s="37">
        <f>IF(AO413="1",BG413,0)</f>
        <v>0</v>
      </c>
      <c r="AB413" s="37">
        <f>IF(AO413="7",BF413,0)</f>
        <v>0</v>
      </c>
      <c r="AC413" s="37">
        <f>IF(AO413="7",BG413,0)</f>
        <v>0</v>
      </c>
      <c r="AD413" s="37">
        <f>IF(AO413="2",BF413,0)</f>
        <v>0</v>
      </c>
      <c r="AE413" s="37">
        <f>IF(AO413="2",BG413,0)</f>
        <v>0</v>
      </c>
      <c r="AF413" s="37">
        <f>IF(AO413="0",BH413,0)</f>
        <v>0</v>
      </c>
      <c r="AG413" s="23"/>
      <c r="AH413" s="37">
        <f>IF(AL413=0,H413,0)</f>
        <v>0</v>
      </c>
      <c r="AI413" s="37">
        <f>IF(AL413=15,H413,0)</f>
        <v>0</v>
      </c>
      <c r="AJ413" s="37">
        <f>IF(AL413=21,H413,0)</f>
        <v>0</v>
      </c>
      <c r="AL413" s="37">
        <v>21</v>
      </c>
      <c r="AM413" s="37">
        <f>G413*0</f>
        <v>0</v>
      </c>
      <c r="AN413" s="37">
        <f>G413*(1-0)</f>
        <v>0</v>
      </c>
      <c r="AO413" s="38" t="s">
        <v>118</v>
      </c>
      <c r="AT413" s="37">
        <f>AU413+AV413</f>
        <v>0</v>
      </c>
      <c r="AU413" s="37">
        <f>F413*AM413</f>
        <v>0</v>
      </c>
      <c r="AV413" s="37">
        <f>F413*AN413</f>
        <v>0</v>
      </c>
      <c r="AW413" s="38" t="s">
        <v>746</v>
      </c>
      <c r="AX413" s="38" t="s">
        <v>629</v>
      </c>
      <c r="AY413" s="23" t="s">
        <v>97</v>
      </c>
      <c r="BA413" s="37">
        <f>AU413+AV413</f>
        <v>0</v>
      </c>
      <c r="BB413" s="37">
        <f>G413/(100-BC413)*100</f>
        <v>0</v>
      </c>
      <c r="BC413" s="37">
        <v>0</v>
      </c>
      <c r="BD413" s="37">
        <f>J413</f>
        <v>0</v>
      </c>
      <c r="BF413" s="37">
        <f>F413*AM413</f>
        <v>0</v>
      </c>
      <c r="BG413" s="37">
        <f>F413*AN413</f>
        <v>0</v>
      </c>
      <c r="BH413" s="37">
        <f>F413*G413</f>
        <v>0</v>
      </c>
    </row>
    <row r="414" spans="1:11" ht="12.75">
      <c r="A414" s="39"/>
      <c r="B414" s="40"/>
      <c r="C414" s="40"/>
      <c r="D414" s="41" t="s">
        <v>755</v>
      </c>
      <c r="E414" s="40"/>
      <c r="F414" s="42">
        <v>50</v>
      </c>
      <c r="G414" s="40"/>
      <c r="H414" s="40"/>
      <c r="I414" s="43"/>
      <c r="J414" s="43"/>
      <c r="K414" s="40"/>
    </row>
    <row r="415" spans="1:60" ht="12.75">
      <c r="A415" s="16" t="s">
        <v>766</v>
      </c>
      <c r="B415" s="16"/>
      <c r="C415" s="16" t="s">
        <v>767</v>
      </c>
      <c r="D415" s="32" t="s">
        <v>768</v>
      </c>
      <c r="E415" s="16" t="s">
        <v>239</v>
      </c>
      <c r="F415" s="33">
        <v>50</v>
      </c>
      <c r="G415" s="422"/>
      <c r="H415" s="34">
        <f>F415*G415</f>
        <v>0</v>
      </c>
      <c r="I415" s="35">
        <v>0</v>
      </c>
      <c r="J415" s="35">
        <f>F415*I415</f>
        <v>0</v>
      </c>
      <c r="K415" s="36" t="s">
        <v>94</v>
      </c>
      <c r="X415" s="37">
        <f>IF(AO415="5",BH415,0)</f>
        <v>0</v>
      </c>
      <c r="Z415" s="37">
        <f>IF(AO415="1",BF415,0)</f>
        <v>0</v>
      </c>
      <c r="AA415" s="37">
        <f>IF(AO415="1",BG415,0)</f>
        <v>0</v>
      </c>
      <c r="AB415" s="37">
        <f>IF(AO415="7",BF415,0)</f>
        <v>0</v>
      </c>
      <c r="AC415" s="37">
        <f>IF(AO415="7",BG415,0)</f>
        <v>0</v>
      </c>
      <c r="AD415" s="37">
        <f>IF(AO415="2",BF415,0)</f>
        <v>0</v>
      </c>
      <c r="AE415" s="37">
        <f>IF(AO415="2",BG415,0)</f>
        <v>0</v>
      </c>
      <c r="AF415" s="37">
        <f>IF(AO415="0",BH415,0)</f>
        <v>0</v>
      </c>
      <c r="AG415" s="23"/>
      <c r="AH415" s="37">
        <f>IF(AL415=0,H415,0)</f>
        <v>0</v>
      </c>
      <c r="AI415" s="37">
        <f>IF(AL415=15,H415,0)</f>
        <v>0</v>
      </c>
      <c r="AJ415" s="37">
        <f>IF(AL415=21,H415,0)</f>
        <v>0</v>
      </c>
      <c r="AL415" s="37">
        <v>21</v>
      </c>
      <c r="AM415" s="37">
        <f>G415*0</f>
        <v>0</v>
      </c>
      <c r="AN415" s="37">
        <f>G415*(1-0)</f>
        <v>0</v>
      </c>
      <c r="AO415" s="38" t="s">
        <v>118</v>
      </c>
      <c r="AT415" s="37">
        <f>AU415+AV415</f>
        <v>0</v>
      </c>
      <c r="AU415" s="37">
        <f>F415*AM415</f>
        <v>0</v>
      </c>
      <c r="AV415" s="37">
        <f>F415*AN415</f>
        <v>0</v>
      </c>
      <c r="AW415" s="38" t="s">
        <v>746</v>
      </c>
      <c r="AX415" s="38" t="s">
        <v>629</v>
      </c>
      <c r="AY415" s="23" t="s">
        <v>97</v>
      </c>
      <c r="BA415" s="37">
        <f>AU415+AV415</f>
        <v>0</v>
      </c>
      <c r="BB415" s="37">
        <f>G415/(100-BC415)*100</f>
        <v>0</v>
      </c>
      <c r="BC415" s="37">
        <v>0</v>
      </c>
      <c r="BD415" s="37">
        <f>J415</f>
        <v>0</v>
      </c>
      <c r="BF415" s="37">
        <f>F415*AM415</f>
        <v>0</v>
      </c>
      <c r="BG415" s="37">
        <f>F415*AN415</f>
        <v>0</v>
      </c>
      <c r="BH415" s="37">
        <f>F415*G415</f>
        <v>0</v>
      </c>
    </row>
    <row r="416" spans="1:11" ht="12.75">
      <c r="A416" s="39"/>
      <c r="B416" s="40"/>
      <c r="C416" s="40"/>
      <c r="D416" s="41" t="s">
        <v>755</v>
      </c>
      <c r="E416" s="40"/>
      <c r="F416" s="42">
        <v>50</v>
      </c>
      <c r="G416" s="40"/>
      <c r="H416" s="40"/>
      <c r="I416" s="43"/>
      <c r="J416" s="43"/>
      <c r="K416" s="40"/>
    </row>
    <row r="417" spans="1:45" ht="12.75">
      <c r="A417" s="24"/>
      <c r="B417" s="25"/>
      <c r="C417" s="25" t="s">
        <v>769</v>
      </c>
      <c r="D417" s="26" t="s">
        <v>770</v>
      </c>
      <c r="E417" s="24" t="s">
        <v>54</v>
      </c>
      <c r="F417" s="24" t="s">
        <v>54</v>
      </c>
      <c r="G417" s="24" t="s">
        <v>54</v>
      </c>
      <c r="H417" s="27">
        <f>SUM(H418:H418)</f>
        <v>0</v>
      </c>
      <c r="I417" s="28"/>
      <c r="J417" s="28">
        <f>SUM(J418:J418)</f>
        <v>0</v>
      </c>
      <c r="K417" s="29"/>
      <c r="AG417" s="23"/>
      <c r="AQ417" s="31">
        <f>SUM(AH418:AH418)</f>
        <v>0</v>
      </c>
      <c r="AR417" s="31">
        <f>SUM(AI418:AI418)</f>
        <v>0</v>
      </c>
      <c r="AS417" s="31">
        <f>SUM(AJ418:AJ418)</f>
        <v>0</v>
      </c>
    </row>
    <row r="418" spans="1:60" ht="12.75">
      <c r="A418" s="16" t="s">
        <v>771</v>
      </c>
      <c r="B418" s="16"/>
      <c r="C418" s="16" t="s">
        <v>772</v>
      </c>
      <c r="D418" s="32" t="s">
        <v>773</v>
      </c>
      <c r="E418" s="16" t="s">
        <v>239</v>
      </c>
      <c r="F418" s="33">
        <v>3142</v>
      </c>
      <c r="G418" s="422"/>
      <c r="H418" s="34">
        <f>F418*G418</f>
        <v>0</v>
      </c>
      <c r="I418" s="35">
        <v>0</v>
      </c>
      <c r="J418" s="35">
        <f>F418*I418</f>
        <v>0</v>
      </c>
      <c r="K418" s="36" t="s">
        <v>94</v>
      </c>
      <c r="N418" t="s">
        <v>2524</v>
      </c>
      <c r="X418" s="37">
        <f>IF(AO418="5",BH418,0)</f>
        <v>0</v>
      </c>
      <c r="Z418" s="37">
        <f>IF(AO418="1",BF418,0)</f>
        <v>0</v>
      </c>
      <c r="AA418" s="37">
        <f>IF(AO418="1",BG418,0)</f>
        <v>0</v>
      </c>
      <c r="AB418" s="37">
        <f>IF(AO418="7",BF418,0)</f>
        <v>0</v>
      </c>
      <c r="AC418" s="37">
        <f>IF(AO418="7",BG418,0)</f>
        <v>0</v>
      </c>
      <c r="AD418" s="37">
        <f>IF(AO418="2",BF418,0)</f>
        <v>0</v>
      </c>
      <c r="AE418" s="37">
        <f>IF(AO418="2",BG418,0)</f>
        <v>0</v>
      </c>
      <c r="AF418" s="37">
        <f>IF(AO418="0",BH418,0)</f>
        <v>0</v>
      </c>
      <c r="AG418" s="23"/>
      <c r="AH418" s="37">
        <f>IF(AL418=0,H418,0)</f>
        <v>0</v>
      </c>
      <c r="AI418" s="37">
        <f>IF(AL418=15,H418,0)</f>
        <v>0</v>
      </c>
      <c r="AJ418" s="37">
        <f>IF(AL418=21,H418,0)</f>
        <v>0</v>
      </c>
      <c r="AL418" s="37">
        <v>21</v>
      </c>
      <c r="AM418" s="37">
        <f>G418*0</f>
        <v>0</v>
      </c>
      <c r="AN418" s="37">
        <f>G418*(1-0)</f>
        <v>0</v>
      </c>
      <c r="AO418" s="38" t="s">
        <v>118</v>
      </c>
      <c r="AT418" s="37">
        <f>AU418+AV418</f>
        <v>0</v>
      </c>
      <c r="AU418" s="37">
        <f>F418*AM418</f>
        <v>0</v>
      </c>
      <c r="AV418" s="37">
        <f>F418*AN418</f>
        <v>0</v>
      </c>
      <c r="AW418" s="38" t="s">
        <v>774</v>
      </c>
      <c r="AX418" s="38" t="s">
        <v>629</v>
      </c>
      <c r="AY418" s="23" t="s">
        <v>97</v>
      </c>
      <c r="BA418" s="37">
        <f>AU418+AV418</f>
        <v>0</v>
      </c>
      <c r="BB418" s="37">
        <f>G418/(100-BC418)*100</f>
        <v>0</v>
      </c>
      <c r="BC418" s="37">
        <v>0</v>
      </c>
      <c r="BD418" s="37">
        <f>J418</f>
        <v>0</v>
      </c>
      <c r="BF418" s="37">
        <f>F418*AM418</f>
        <v>0</v>
      </c>
      <c r="BG418" s="37">
        <f>F418*AN418</f>
        <v>0</v>
      </c>
      <c r="BH418" s="37">
        <f>F418*G418</f>
        <v>0</v>
      </c>
    </row>
    <row r="419" spans="1:11" ht="12.75">
      <c r="A419" s="39"/>
      <c r="B419" s="40"/>
      <c r="C419" s="40"/>
      <c r="D419" s="41" t="s">
        <v>775</v>
      </c>
      <c r="E419" s="40"/>
      <c r="F419" s="42">
        <v>3142</v>
      </c>
      <c r="G419" s="40"/>
      <c r="H419" s="40"/>
      <c r="I419" s="43"/>
      <c r="J419" s="43"/>
      <c r="K419" s="40"/>
    </row>
    <row r="420" spans="1:45" ht="12.75">
      <c r="A420" s="24"/>
      <c r="B420" s="25"/>
      <c r="C420" s="25" t="s">
        <v>776</v>
      </c>
      <c r="D420" s="26" t="s">
        <v>777</v>
      </c>
      <c r="E420" s="24" t="s">
        <v>54</v>
      </c>
      <c r="F420" s="24" t="s">
        <v>54</v>
      </c>
      <c r="G420" s="24" t="s">
        <v>54</v>
      </c>
      <c r="H420" s="27">
        <f>SUM(H421:H457)</f>
        <v>0</v>
      </c>
      <c r="I420" s="28"/>
      <c r="J420" s="28">
        <f>SUM(J421:J457)</f>
        <v>21.6145364</v>
      </c>
      <c r="K420" s="29"/>
      <c r="AG420" s="23"/>
      <c r="AQ420" s="31">
        <f>SUM(AH421:AH457)</f>
        <v>0</v>
      </c>
      <c r="AR420" s="31">
        <f>SUM(AI421:AI457)</f>
        <v>0</v>
      </c>
      <c r="AS420" s="31">
        <f>SUM(AJ421:AJ457)</f>
        <v>0</v>
      </c>
    </row>
    <row r="421" spans="1:60" ht="25.5">
      <c r="A421" s="16" t="s">
        <v>778</v>
      </c>
      <c r="B421" s="16"/>
      <c r="C421" s="16" t="s">
        <v>779</v>
      </c>
      <c r="D421" s="32" t="s">
        <v>780</v>
      </c>
      <c r="E421" s="16" t="s">
        <v>192</v>
      </c>
      <c r="F421" s="33">
        <v>1021.72</v>
      </c>
      <c r="G421" s="422"/>
      <c r="H421" s="34">
        <f>F421*G421</f>
        <v>0</v>
      </c>
      <c r="I421" s="35">
        <v>0.00033</v>
      </c>
      <c r="J421" s="35">
        <f>F421*I421</f>
        <v>0.3371676</v>
      </c>
      <c r="K421" s="36" t="s">
        <v>94</v>
      </c>
      <c r="L421" s="56"/>
      <c r="M421" s="56"/>
      <c r="X421" s="37">
        <f>IF(AO421="5",BH421,0)</f>
        <v>0</v>
      </c>
      <c r="Z421" s="37">
        <f>IF(AO421="1",BF421,0)</f>
        <v>0</v>
      </c>
      <c r="AA421" s="37">
        <f>IF(AO421="1",BG421,0)</f>
        <v>0</v>
      </c>
      <c r="AB421" s="37">
        <f>IF(AO421="7",BF421,0)</f>
        <v>0</v>
      </c>
      <c r="AC421" s="37">
        <f>IF(AO421="7",BG421,0)</f>
        <v>0</v>
      </c>
      <c r="AD421" s="37">
        <f>IF(AO421="2",BF421,0)</f>
        <v>0</v>
      </c>
      <c r="AE421" s="37">
        <f>IF(AO421="2",BG421,0)</f>
        <v>0</v>
      </c>
      <c r="AF421" s="37">
        <f>IF(AO421="0",BH421,0)</f>
        <v>0</v>
      </c>
      <c r="AG421" s="23"/>
      <c r="AH421" s="37">
        <f>IF(AL421=0,H421,0)</f>
        <v>0</v>
      </c>
      <c r="AI421" s="37">
        <f>IF(AL421=15,H421,0)</f>
        <v>0</v>
      </c>
      <c r="AJ421" s="37">
        <f>IF(AL421=21,H421,0)</f>
        <v>0</v>
      </c>
      <c r="AL421" s="37">
        <v>21</v>
      </c>
      <c r="AM421" s="37">
        <f>G421*0.56630425921652</f>
        <v>0</v>
      </c>
      <c r="AN421" s="37">
        <f>G421*(1-0.56630425921652)</f>
        <v>0</v>
      </c>
      <c r="AO421" s="38" t="s">
        <v>136</v>
      </c>
      <c r="AT421" s="37">
        <f>AU421+AV421</f>
        <v>0</v>
      </c>
      <c r="AU421" s="37">
        <f>F421*AM421</f>
        <v>0</v>
      </c>
      <c r="AV421" s="37">
        <f>F421*AN421</f>
        <v>0</v>
      </c>
      <c r="AW421" s="38" t="s">
        <v>781</v>
      </c>
      <c r="AX421" s="38" t="s">
        <v>782</v>
      </c>
      <c r="AY421" s="23" t="s">
        <v>97</v>
      </c>
      <c r="BA421" s="37">
        <f>AU421+AV421</f>
        <v>0</v>
      </c>
      <c r="BB421" s="37">
        <f>G421/(100-BC421)*100</f>
        <v>0</v>
      </c>
      <c r="BC421" s="37">
        <v>0</v>
      </c>
      <c r="BD421" s="37">
        <f>J421</f>
        <v>0.3371676</v>
      </c>
      <c r="BF421" s="37">
        <f>F421*AM421</f>
        <v>0</v>
      </c>
      <c r="BG421" s="37">
        <f>F421*AN421</f>
        <v>0</v>
      </c>
      <c r="BH421" s="37">
        <f>F421*G421</f>
        <v>0</v>
      </c>
    </row>
    <row r="422" spans="1:13" ht="12.75">
      <c r="A422" s="39"/>
      <c r="B422" s="40"/>
      <c r="C422" s="40"/>
      <c r="D422" s="41" t="s">
        <v>208</v>
      </c>
      <c r="E422" s="40"/>
      <c r="F422" s="42">
        <v>699.72</v>
      </c>
      <c r="G422" s="40"/>
      <c r="H422" s="40"/>
      <c r="I422" s="43"/>
      <c r="J422" s="43"/>
      <c r="K422" s="40"/>
      <c r="L422" s="56"/>
      <c r="M422" s="56"/>
    </row>
    <row r="423" spans="1:13" ht="12.75">
      <c r="A423" s="39"/>
      <c r="B423" s="40"/>
      <c r="C423" s="40"/>
      <c r="D423" s="41" t="s">
        <v>783</v>
      </c>
      <c r="E423" s="40"/>
      <c r="F423" s="42">
        <v>122</v>
      </c>
      <c r="G423" s="40"/>
      <c r="H423" s="40"/>
      <c r="I423" s="43"/>
      <c r="J423" s="43"/>
      <c r="K423" s="40"/>
      <c r="L423" s="56"/>
      <c r="M423" s="56"/>
    </row>
    <row r="424" spans="1:13" ht="12.75">
      <c r="A424" s="39"/>
      <c r="B424" s="40"/>
      <c r="C424" s="40"/>
      <c r="D424" s="41" t="s">
        <v>784</v>
      </c>
      <c r="E424" s="40"/>
      <c r="F424" s="42">
        <v>45</v>
      </c>
      <c r="G424" s="40"/>
      <c r="H424" s="40"/>
      <c r="I424" s="43"/>
      <c r="J424" s="43"/>
      <c r="K424" s="40"/>
      <c r="L424" s="56"/>
      <c r="M424" s="56"/>
    </row>
    <row r="425" spans="1:13" ht="12.75">
      <c r="A425" s="39"/>
      <c r="B425" s="40"/>
      <c r="C425" s="40"/>
      <c r="D425" s="41" t="s">
        <v>785</v>
      </c>
      <c r="E425" s="40"/>
      <c r="F425" s="42">
        <v>155</v>
      </c>
      <c r="G425" s="40"/>
      <c r="H425" s="40"/>
      <c r="I425" s="43"/>
      <c r="J425" s="43"/>
      <c r="K425" s="40"/>
      <c r="L425" s="56"/>
      <c r="M425" s="56"/>
    </row>
    <row r="426" spans="1:60" ht="25.5">
      <c r="A426" s="44" t="s">
        <v>786</v>
      </c>
      <c r="B426" s="16"/>
      <c r="C426" s="16" t="s">
        <v>787</v>
      </c>
      <c r="D426" s="32" t="s">
        <v>788</v>
      </c>
      <c r="E426" s="16" t="s">
        <v>192</v>
      </c>
      <c r="F426" s="33">
        <v>813.345</v>
      </c>
      <c r="G426" s="422"/>
      <c r="H426" s="34">
        <f>F426*G426</f>
        <v>0</v>
      </c>
      <c r="I426" s="35">
        <v>0.00052</v>
      </c>
      <c r="J426" s="35">
        <f>F426*I426</f>
        <v>0.42293939999999997</v>
      </c>
      <c r="K426" s="36" t="s">
        <v>94</v>
      </c>
      <c r="L426" s="56"/>
      <c r="M426" s="56"/>
      <c r="X426" s="37">
        <f>IF(AO426="5",BH426,0)</f>
        <v>0</v>
      </c>
      <c r="Z426" s="37">
        <f>IF(AO426="1",BF426,0)</f>
        <v>0</v>
      </c>
      <c r="AA426" s="37">
        <f>IF(AO426="1",BG426,0)</f>
        <v>0</v>
      </c>
      <c r="AB426" s="37">
        <f>IF(AO426="7",BF426,0)</f>
        <v>0</v>
      </c>
      <c r="AC426" s="37">
        <f>IF(AO426="7",BG426,0)</f>
        <v>0</v>
      </c>
      <c r="AD426" s="37">
        <f>IF(AO426="2",BF426,0)</f>
        <v>0</v>
      </c>
      <c r="AE426" s="37">
        <f>IF(AO426="2",BG426,0)</f>
        <v>0</v>
      </c>
      <c r="AF426" s="37">
        <f>IF(AO426="0",BH426,0)</f>
        <v>0</v>
      </c>
      <c r="AG426" s="23"/>
      <c r="AH426" s="37">
        <f>IF(AL426=0,H426,0)</f>
        <v>0</v>
      </c>
      <c r="AI426" s="37">
        <f>IF(AL426=15,H426,0)</f>
        <v>0</v>
      </c>
      <c r="AJ426" s="37">
        <f>IF(AL426=21,H426,0)</f>
        <v>0</v>
      </c>
      <c r="AL426" s="37">
        <v>21</v>
      </c>
      <c r="AM426" s="37">
        <f>G426*0.4945796332854</f>
        <v>0</v>
      </c>
      <c r="AN426" s="37">
        <f>G426*(1-0.4945796332854)</f>
        <v>0</v>
      </c>
      <c r="AO426" s="38" t="s">
        <v>136</v>
      </c>
      <c r="AT426" s="37">
        <f>AU426+AV426</f>
        <v>0</v>
      </c>
      <c r="AU426" s="37">
        <f>F426*AM426</f>
        <v>0</v>
      </c>
      <c r="AV426" s="37">
        <f>F426*AN426</f>
        <v>0</v>
      </c>
      <c r="AW426" s="38" t="s">
        <v>781</v>
      </c>
      <c r="AX426" s="38" t="s">
        <v>782</v>
      </c>
      <c r="AY426" s="23" t="s">
        <v>97</v>
      </c>
      <c r="BA426" s="37">
        <f>AU426+AV426</f>
        <v>0</v>
      </c>
      <c r="BB426" s="37">
        <f>G426/(100-BC426)*100</f>
        <v>0</v>
      </c>
      <c r="BC426" s="37">
        <v>0</v>
      </c>
      <c r="BD426" s="37">
        <f>J426</f>
        <v>0.42293939999999997</v>
      </c>
      <c r="BF426" s="37">
        <f>F426*AM426</f>
        <v>0</v>
      </c>
      <c r="BG426" s="37">
        <f>F426*AN426</f>
        <v>0</v>
      </c>
      <c r="BH426" s="37">
        <f>F426*G426</f>
        <v>0</v>
      </c>
    </row>
    <row r="427" spans="1:13" ht="12.75">
      <c r="A427" s="50"/>
      <c r="B427" s="55"/>
      <c r="C427" s="55"/>
      <c r="D427" s="41" t="s">
        <v>789</v>
      </c>
      <c r="E427" s="55"/>
      <c r="F427" s="42">
        <v>813.345</v>
      </c>
      <c r="G427" s="55"/>
      <c r="H427" s="55"/>
      <c r="I427" s="57"/>
      <c r="J427" s="57"/>
      <c r="K427" s="55"/>
      <c r="L427" s="56"/>
      <c r="M427" s="56"/>
    </row>
    <row r="428" spans="1:13" ht="25.5">
      <c r="A428" s="58" t="s">
        <v>790</v>
      </c>
      <c r="B428" s="55"/>
      <c r="C428" s="16" t="s">
        <v>791</v>
      </c>
      <c r="D428" s="32" t="s">
        <v>792</v>
      </c>
      <c r="E428" s="16" t="s">
        <v>192</v>
      </c>
      <c r="F428" s="33">
        <v>699.72</v>
      </c>
      <c r="G428" s="422"/>
      <c r="H428" s="34">
        <f>F428*G428</f>
        <v>0</v>
      </c>
      <c r="I428" s="35">
        <v>0.00115</v>
      </c>
      <c r="J428" s="35">
        <f>F428*I428</f>
        <v>0.804678</v>
      </c>
      <c r="K428" s="36" t="s">
        <v>94</v>
      </c>
      <c r="L428" s="56"/>
      <c r="M428" s="56"/>
    </row>
    <row r="429" spans="1:13" ht="12.75">
      <c r="A429" s="50"/>
      <c r="B429" s="55"/>
      <c r="C429" s="55"/>
      <c r="D429" s="41" t="s">
        <v>208</v>
      </c>
      <c r="E429" s="55"/>
      <c r="F429" s="42">
        <v>699.72</v>
      </c>
      <c r="G429" s="55"/>
      <c r="H429" s="55"/>
      <c r="I429" s="57"/>
      <c r="J429" s="57"/>
      <c r="K429" s="55"/>
      <c r="L429" s="56"/>
      <c r="M429" s="56"/>
    </row>
    <row r="430" spans="1:60" ht="25.5">
      <c r="A430" s="16" t="s">
        <v>793</v>
      </c>
      <c r="B430" s="16"/>
      <c r="C430" s="16" t="s">
        <v>794</v>
      </c>
      <c r="D430" s="32" t="s">
        <v>795</v>
      </c>
      <c r="E430" s="16" t="s">
        <v>192</v>
      </c>
      <c r="F430" s="33">
        <v>976.72</v>
      </c>
      <c r="G430" s="422"/>
      <c r="H430" s="34">
        <f>F430*G430</f>
        <v>0</v>
      </c>
      <c r="I430" s="35">
        <v>0.00974</v>
      </c>
      <c r="J430" s="35">
        <f>F430*I430</f>
        <v>9.5132528</v>
      </c>
      <c r="K430" s="36" t="s">
        <v>94</v>
      </c>
      <c r="L430" s="56"/>
      <c r="M430" s="56"/>
      <c r="N430" t="s">
        <v>2524</v>
      </c>
      <c r="X430" s="37">
        <f>IF(AO430="5",BH430,0)</f>
        <v>0</v>
      </c>
      <c r="Z430" s="37">
        <f>IF(AO430="1",BF430,0)</f>
        <v>0</v>
      </c>
      <c r="AA430" s="37">
        <f>IF(AO430="1",BG430,0)</f>
        <v>0</v>
      </c>
      <c r="AB430" s="37">
        <f>IF(AO430="7",BF430,0)</f>
        <v>0</v>
      </c>
      <c r="AC430" s="37">
        <f>IF(AO430="7",BG430,0)</f>
        <v>0</v>
      </c>
      <c r="AD430" s="37">
        <f>IF(AO430="2",BF430,0)</f>
        <v>0</v>
      </c>
      <c r="AE430" s="37">
        <f>IF(AO430="2",BG430,0)</f>
        <v>0</v>
      </c>
      <c r="AF430" s="37">
        <f>IF(AO430="0",BH430,0)</f>
        <v>0</v>
      </c>
      <c r="AG430" s="23"/>
      <c r="AH430" s="37">
        <f>IF(AL430=0,H430,0)</f>
        <v>0</v>
      </c>
      <c r="AI430" s="37">
        <f>IF(AL430=15,H430,0)</f>
        <v>0</v>
      </c>
      <c r="AJ430" s="37">
        <f>IF(AL430=21,H430,0)</f>
        <v>0</v>
      </c>
      <c r="AL430" s="37">
        <v>21</v>
      </c>
      <c r="AM430" s="37">
        <f>G430*0.535248886652621</f>
        <v>0</v>
      </c>
      <c r="AN430" s="37">
        <f>G430*(1-0.535248886652621)</f>
        <v>0</v>
      </c>
      <c r="AO430" s="38" t="s">
        <v>136</v>
      </c>
      <c r="AT430" s="37">
        <f>AU430+AV430</f>
        <v>0</v>
      </c>
      <c r="AU430" s="37">
        <f>F430*AM430</f>
        <v>0</v>
      </c>
      <c r="AV430" s="37">
        <f>F430*AN430</f>
        <v>0</v>
      </c>
      <c r="AW430" s="38" t="s">
        <v>781</v>
      </c>
      <c r="AX430" s="38" t="s">
        <v>782</v>
      </c>
      <c r="AY430" s="23" t="s">
        <v>97</v>
      </c>
      <c r="BA430" s="37">
        <f>AU430+AV430</f>
        <v>0</v>
      </c>
      <c r="BB430" s="37">
        <f>G430/(100-BC430)*100</f>
        <v>0</v>
      </c>
      <c r="BC430" s="37">
        <v>0</v>
      </c>
      <c r="BD430" s="37">
        <f>J430</f>
        <v>9.5132528</v>
      </c>
      <c r="BF430" s="37">
        <f>F430*AM430</f>
        <v>0</v>
      </c>
      <c r="BG430" s="37">
        <f>F430*AN430</f>
        <v>0</v>
      </c>
      <c r="BH430" s="37">
        <f>F430*G430</f>
        <v>0</v>
      </c>
    </row>
    <row r="431" spans="1:13" ht="12.75">
      <c r="A431" s="39"/>
      <c r="B431" s="40"/>
      <c r="C431" s="40"/>
      <c r="D431" s="41" t="s">
        <v>796</v>
      </c>
      <c r="E431" s="40"/>
      <c r="F431" s="42">
        <v>699.72</v>
      </c>
      <c r="G431" s="40"/>
      <c r="H431" s="40"/>
      <c r="I431" s="43"/>
      <c r="J431" s="43"/>
      <c r="K431" s="40"/>
      <c r="L431" s="56"/>
      <c r="M431" s="56"/>
    </row>
    <row r="432" spans="1:13" ht="12.75">
      <c r="A432" s="39"/>
      <c r="B432" s="40"/>
      <c r="C432" s="40"/>
      <c r="D432" s="41" t="s">
        <v>797</v>
      </c>
      <c r="E432" s="40"/>
      <c r="F432" s="42">
        <v>122</v>
      </c>
      <c r="G432" s="40"/>
      <c r="H432" s="40"/>
      <c r="I432" s="43"/>
      <c r="J432" s="43"/>
      <c r="K432" s="40"/>
      <c r="L432" s="56"/>
      <c r="M432" s="56"/>
    </row>
    <row r="433" spans="1:13" ht="12.75">
      <c r="A433" s="39"/>
      <c r="B433" s="40"/>
      <c r="C433" s="40"/>
      <c r="D433" s="41" t="s">
        <v>798</v>
      </c>
      <c r="E433" s="40"/>
      <c r="F433" s="42">
        <v>155</v>
      </c>
      <c r="G433" s="40"/>
      <c r="H433" s="40"/>
      <c r="I433" s="43"/>
      <c r="J433" s="43"/>
      <c r="K433" s="40"/>
      <c r="L433" s="56"/>
      <c r="M433" s="56"/>
    </row>
    <row r="434" spans="1:60" ht="25.5">
      <c r="A434" s="44" t="s">
        <v>799</v>
      </c>
      <c r="B434" s="16"/>
      <c r="C434" s="16" t="s">
        <v>800</v>
      </c>
      <c r="D434" s="32" t="s">
        <v>801</v>
      </c>
      <c r="E434" s="16" t="s">
        <v>192</v>
      </c>
      <c r="F434" s="33">
        <v>813.345</v>
      </c>
      <c r="G434" s="422"/>
      <c r="H434" s="34">
        <f>F434*G434</f>
        <v>0</v>
      </c>
      <c r="I434" s="35">
        <v>0.0103</v>
      </c>
      <c r="J434" s="35">
        <f>F434*I434</f>
        <v>8.3774535</v>
      </c>
      <c r="K434" s="36" t="s">
        <v>94</v>
      </c>
      <c r="L434" s="56"/>
      <c r="M434" s="56"/>
      <c r="N434" t="s">
        <v>2524</v>
      </c>
      <c r="X434" s="37">
        <f>IF(AO434="5",BH434,0)</f>
        <v>0</v>
      </c>
      <c r="Z434" s="37">
        <f>IF(AO434="1",BF434,0)</f>
        <v>0</v>
      </c>
      <c r="AA434" s="37">
        <f>IF(AO434="1",BG434,0)</f>
        <v>0</v>
      </c>
      <c r="AB434" s="37">
        <f>IF(AO434="7",BF434,0)</f>
        <v>0</v>
      </c>
      <c r="AC434" s="37">
        <f>IF(AO434="7",BG434,0)</f>
        <v>0</v>
      </c>
      <c r="AD434" s="37">
        <f>IF(AO434="2",BF434,0)</f>
        <v>0</v>
      </c>
      <c r="AE434" s="37">
        <f>IF(AO434="2",BG434,0)</f>
        <v>0</v>
      </c>
      <c r="AF434" s="37">
        <f>IF(AO434="0",BH434,0)</f>
        <v>0</v>
      </c>
      <c r="AG434" s="23"/>
      <c r="AH434" s="37">
        <f>IF(AL434=0,H434,0)</f>
        <v>0</v>
      </c>
      <c r="AI434" s="37">
        <f>IF(AL434=15,H434,0)</f>
        <v>0</v>
      </c>
      <c r="AJ434" s="37">
        <f>IF(AL434=21,H434,0)</f>
        <v>0</v>
      </c>
      <c r="AL434" s="37">
        <v>21</v>
      </c>
      <c r="AM434" s="37">
        <f>G434*0.513614334201707</f>
        <v>0</v>
      </c>
      <c r="AN434" s="37">
        <f>G434*(1-0.513614334201707)</f>
        <v>0</v>
      </c>
      <c r="AO434" s="38" t="s">
        <v>136</v>
      </c>
      <c r="AT434" s="37">
        <f>AU434+AV434</f>
        <v>0</v>
      </c>
      <c r="AU434" s="37">
        <f>F434*AM434</f>
        <v>0</v>
      </c>
      <c r="AV434" s="37">
        <f>F434*AN434</f>
        <v>0</v>
      </c>
      <c r="AW434" s="38" t="s">
        <v>781</v>
      </c>
      <c r="AX434" s="38" t="s">
        <v>782</v>
      </c>
      <c r="AY434" s="23" t="s">
        <v>97</v>
      </c>
      <c r="BA434" s="37">
        <f>AU434+AV434</f>
        <v>0</v>
      </c>
      <c r="BB434" s="37">
        <f>G434/(100-BC434)*100</f>
        <v>0</v>
      </c>
      <c r="BC434" s="37">
        <v>0</v>
      </c>
      <c r="BD434" s="37">
        <f>J434</f>
        <v>8.3774535</v>
      </c>
      <c r="BF434" s="37">
        <f>F434*AM434</f>
        <v>0</v>
      </c>
      <c r="BG434" s="37">
        <f>F434*AN434</f>
        <v>0</v>
      </c>
      <c r="BH434" s="37">
        <f>F434*G434</f>
        <v>0</v>
      </c>
    </row>
    <row r="435" spans="1:13" ht="12.75">
      <c r="A435" s="50"/>
      <c r="B435" s="55"/>
      <c r="C435" s="55"/>
      <c r="D435" s="41" t="s">
        <v>789</v>
      </c>
      <c r="E435" s="55"/>
      <c r="F435" s="42">
        <v>813.345</v>
      </c>
      <c r="G435" s="55"/>
      <c r="H435" s="55"/>
      <c r="I435" s="57"/>
      <c r="J435" s="57"/>
      <c r="K435" s="55"/>
      <c r="L435" s="56"/>
      <c r="M435" s="56"/>
    </row>
    <row r="436" spans="1:60" ht="25.5">
      <c r="A436" s="16" t="s">
        <v>802</v>
      </c>
      <c r="B436" s="16"/>
      <c r="C436" s="16" t="s">
        <v>803</v>
      </c>
      <c r="D436" s="32" t="s">
        <v>804</v>
      </c>
      <c r="E436" s="16" t="s">
        <v>192</v>
      </c>
      <c r="F436" s="33">
        <v>813.345</v>
      </c>
      <c r="G436" s="422"/>
      <c r="H436" s="34">
        <f>F436*G436</f>
        <v>0</v>
      </c>
      <c r="I436" s="35">
        <v>0.00081</v>
      </c>
      <c r="J436" s="35">
        <f>F436*I436</f>
        <v>0.65880945</v>
      </c>
      <c r="K436" s="36" t="s">
        <v>94</v>
      </c>
      <c r="L436" s="56"/>
      <c r="M436" s="56"/>
      <c r="X436" s="37">
        <f>IF(AO436="5",BH436,0)</f>
        <v>0</v>
      </c>
      <c r="Z436" s="37">
        <f>IF(AO436="1",BF436,0)</f>
        <v>0</v>
      </c>
      <c r="AA436" s="37">
        <f>IF(AO436="1",BG436,0)</f>
        <v>0</v>
      </c>
      <c r="AB436" s="37">
        <f>IF(AO436="7",BF436,0)</f>
        <v>0</v>
      </c>
      <c r="AC436" s="37">
        <f>IF(AO436="7",BG436,0)</f>
        <v>0</v>
      </c>
      <c r="AD436" s="37">
        <f>IF(AO436="2",BF436,0)</f>
        <v>0</v>
      </c>
      <c r="AE436" s="37">
        <f>IF(AO436="2",BG436,0)</f>
        <v>0</v>
      </c>
      <c r="AF436" s="37">
        <f>IF(AO436="0",BH436,0)</f>
        <v>0</v>
      </c>
      <c r="AG436" s="23"/>
      <c r="AH436" s="37">
        <f>IF(AL436=0,H436,0)</f>
        <v>0</v>
      </c>
      <c r="AI436" s="37">
        <f>IF(AL436=15,H436,0)</f>
        <v>0</v>
      </c>
      <c r="AJ436" s="37">
        <f>IF(AL436=21,H436,0)</f>
        <v>0</v>
      </c>
      <c r="AL436" s="37">
        <v>21</v>
      </c>
      <c r="AM436" s="37">
        <f>G436*0.4071550858845</f>
        <v>0</v>
      </c>
      <c r="AN436" s="37">
        <f>G436*(1-0.4071550858845)</f>
        <v>0</v>
      </c>
      <c r="AO436" s="38" t="s">
        <v>136</v>
      </c>
      <c r="AT436" s="37">
        <f>AU436+AV436</f>
        <v>0</v>
      </c>
      <c r="AU436" s="37">
        <f>F436*AM436</f>
        <v>0</v>
      </c>
      <c r="AV436" s="37">
        <f>F436*AN436</f>
        <v>0</v>
      </c>
      <c r="AW436" s="38" t="s">
        <v>781</v>
      </c>
      <c r="AX436" s="38" t="s">
        <v>782</v>
      </c>
      <c r="AY436" s="23" t="s">
        <v>97</v>
      </c>
      <c r="BA436" s="37">
        <f>AU436+AV436</f>
        <v>0</v>
      </c>
      <c r="BB436" s="37">
        <f>G436/(100-BC436)*100</f>
        <v>0</v>
      </c>
      <c r="BC436" s="37">
        <v>0</v>
      </c>
      <c r="BD436" s="37">
        <f>J436</f>
        <v>0.65880945</v>
      </c>
      <c r="BF436" s="37">
        <f>F436*AM436</f>
        <v>0</v>
      </c>
      <c r="BG436" s="37">
        <f>F436*AN436</f>
        <v>0</v>
      </c>
      <c r="BH436" s="37">
        <f>F436*G436</f>
        <v>0</v>
      </c>
    </row>
    <row r="437" spans="1:13" ht="12.75">
      <c r="A437" s="39"/>
      <c r="B437" s="40"/>
      <c r="C437" s="40"/>
      <c r="D437" s="41" t="s">
        <v>789</v>
      </c>
      <c r="E437" s="40"/>
      <c r="F437" s="42">
        <v>813.345</v>
      </c>
      <c r="G437" s="40"/>
      <c r="H437" s="40"/>
      <c r="I437" s="43"/>
      <c r="J437" s="43"/>
      <c r="K437" s="40"/>
      <c r="L437" s="56"/>
      <c r="M437" s="56"/>
    </row>
    <row r="438" spans="1:60" ht="12.75">
      <c r="A438" s="16" t="s">
        <v>805</v>
      </c>
      <c r="B438" s="16"/>
      <c r="C438" s="16" t="s">
        <v>806</v>
      </c>
      <c r="D438" s="32" t="s">
        <v>807</v>
      </c>
      <c r="E438" s="16" t="s">
        <v>192</v>
      </c>
      <c r="F438" s="33">
        <v>281</v>
      </c>
      <c r="G438" s="422"/>
      <c r="H438" s="34">
        <f>F438*G438</f>
        <v>0</v>
      </c>
      <c r="I438" s="35">
        <v>0.00017</v>
      </c>
      <c r="J438" s="35">
        <f>F438*I438</f>
        <v>0.04777000000000001</v>
      </c>
      <c r="K438" s="36" t="s">
        <v>94</v>
      </c>
      <c r="L438" s="56"/>
      <c r="M438" s="56"/>
      <c r="X438" s="37">
        <f>IF(AO438="5",BH438,0)</f>
        <v>0</v>
      </c>
      <c r="Z438" s="37">
        <f>IF(AO438="1",BF438,0)</f>
        <v>0</v>
      </c>
      <c r="AA438" s="37">
        <f>IF(AO438="1",BG438,0)</f>
        <v>0</v>
      </c>
      <c r="AB438" s="37">
        <f>IF(AO438="7",BF438,0)</f>
        <v>0</v>
      </c>
      <c r="AC438" s="37">
        <f>IF(AO438="7",BG438,0)</f>
        <v>0</v>
      </c>
      <c r="AD438" s="37">
        <f>IF(AO438="2",BF438,0)</f>
        <v>0</v>
      </c>
      <c r="AE438" s="37">
        <f>IF(AO438="2",BG438,0)</f>
        <v>0</v>
      </c>
      <c r="AF438" s="37">
        <f>IF(AO438="0",BH438,0)</f>
        <v>0</v>
      </c>
      <c r="AG438" s="23"/>
      <c r="AH438" s="37">
        <f>IF(AL438=0,H438,0)</f>
        <v>0</v>
      </c>
      <c r="AI438" s="37">
        <f>IF(AL438=15,H438,0)</f>
        <v>0</v>
      </c>
      <c r="AJ438" s="37">
        <f>IF(AL438=21,H438,0)</f>
        <v>0</v>
      </c>
      <c r="AL438" s="37">
        <v>21</v>
      </c>
      <c r="AM438" s="37">
        <f>G438*0.410555595903806</f>
        <v>0</v>
      </c>
      <c r="AN438" s="37">
        <f>G438*(1-0.410555595903806)</f>
        <v>0</v>
      </c>
      <c r="AO438" s="38" t="s">
        <v>136</v>
      </c>
      <c r="AT438" s="37">
        <f>AU438+AV438</f>
        <v>0</v>
      </c>
      <c r="AU438" s="37">
        <f>F438*AM438</f>
        <v>0</v>
      </c>
      <c r="AV438" s="37">
        <f>F438*AN438</f>
        <v>0</v>
      </c>
      <c r="AW438" s="38" t="s">
        <v>781</v>
      </c>
      <c r="AX438" s="38" t="s">
        <v>782</v>
      </c>
      <c r="AY438" s="23" t="s">
        <v>97</v>
      </c>
      <c r="BA438" s="37">
        <f>AU438+AV438</f>
        <v>0</v>
      </c>
      <c r="BB438" s="37">
        <f>G438/(100-BC438)*100</f>
        <v>0</v>
      </c>
      <c r="BC438" s="37">
        <v>0</v>
      </c>
      <c r="BD438" s="37">
        <f>J438</f>
        <v>0.04777000000000001</v>
      </c>
      <c r="BF438" s="37">
        <f>F438*AM438</f>
        <v>0</v>
      </c>
      <c r="BG438" s="37">
        <f>F438*AN438</f>
        <v>0</v>
      </c>
      <c r="BH438" s="37">
        <f>F438*G438</f>
        <v>0</v>
      </c>
    </row>
    <row r="439" spans="1:13" ht="12.75">
      <c r="A439" s="39"/>
      <c r="B439" s="40"/>
      <c r="C439" s="40"/>
      <c r="D439" s="41" t="s">
        <v>808</v>
      </c>
      <c r="E439" s="40"/>
      <c r="F439" s="42">
        <v>122</v>
      </c>
      <c r="G439" s="40"/>
      <c r="H439" s="34"/>
      <c r="I439" s="43"/>
      <c r="J439" s="35"/>
      <c r="K439" s="40"/>
      <c r="L439" s="56"/>
      <c r="M439" s="56"/>
    </row>
    <row r="440" spans="1:13" ht="12.75">
      <c r="A440" s="39"/>
      <c r="B440" s="40"/>
      <c r="C440" s="40"/>
      <c r="D440" s="41" t="s">
        <v>809</v>
      </c>
      <c r="E440" s="40"/>
      <c r="F440" s="42">
        <v>45</v>
      </c>
      <c r="G440" s="40"/>
      <c r="H440" s="34"/>
      <c r="I440" s="43"/>
      <c r="J440" s="35"/>
      <c r="K440" s="40"/>
      <c r="L440" s="56"/>
      <c r="M440" s="56"/>
    </row>
    <row r="441" spans="1:13" ht="12.75">
      <c r="A441" s="39"/>
      <c r="B441" s="40"/>
      <c r="C441" s="40"/>
      <c r="D441" s="41" t="s">
        <v>810</v>
      </c>
      <c r="E441" s="40"/>
      <c r="F441" s="42">
        <v>114</v>
      </c>
      <c r="G441" s="40"/>
      <c r="H441" s="34"/>
      <c r="I441" s="43"/>
      <c r="J441" s="35"/>
      <c r="K441" s="40"/>
      <c r="L441" s="56"/>
      <c r="M441" s="56"/>
    </row>
    <row r="442" spans="1:13" ht="12.75">
      <c r="A442" s="39" t="s">
        <v>811</v>
      </c>
      <c r="B442" s="40"/>
      <c r="C442" s="40" t="s">
        <v>812</v>
      </c>
      <c r="D442" s="32" t="s">
        <v>813</v>
      </c>
      <c r="E442" s="40" t="s">
        <v>192</v>
      </c>
      <c r="F442" s="33">
        <v>322</v>
      </c>
      <c r="G442" s="425"/>
      <c r="H442" s="34">
        <f>F442*G442</f>
        <v>0</v>
      </c>
      <c r="I442" s="43">
        <v>0.00215</v>
      </c>
      <c r="J442" s="35">
        <f>F442*I442</f>
        <v>0.6923</v>
      </c>
      <c r="K442" s="36" t="s">
        <v>94</v>
      </c>
      <c r="L442" s="56"/>
      <c r="M442" s="56"/>
    </row>
    <row r="443" spans="1:13" ht="12.75">
      <c r="A443" s="39"/>
      <c r="B443" s="40"/>
      <c r="C443" s="40"/>
      <c r="D443" s="41" t="s">
        <v>808</v>
      </c>
      <c r="E443" s="40"/>
      <c r="F443" s="42">
        <v>122</v>
      </c>
      <c r="G443" s="40"/>
      <c r="H443" s="34"/>
      <c r="I443" s="43"/>
      <c r="J443" s="43"/>
      <c r="K443" s="40"/>
      <c r="L443" s="56"/>
      <c r="M443" s="56"/>
    </row>
    <row r="444" spans="1:13" ht="12.75">
      <c r="A444" s="39"/>
      <c r="B444" s="40"/>
      <c r="C444" s="40"/>
      <c r="D444" s="41" t="s">
        <v>809</v>
      </c>
      <c r="E444" s="40"/>
      <c r="F444" s="42">
        <v>45</v>
      </c>
      <c r="G444" s="40"/>
      <c r="H444" s="34"/>
      <c r="I444" s="43"/>
      <c r="J444" s="43"/>
      <c r="K444" s="40"/>
      <c r="L444" s="56"/>
      <c r="M444" s="56"/>
    </row>
    <row r="445" spans="1:13" ht="12.75">
      <c r="A445" s="39"/>
      <c r="B445" s="40"/>
      <c r="C445" s="40"/>
      <c r="D445" s="41" t="s">
        <v>814</v>
      </c>
      <c r="E445" s="40"/>
      <c r="F445" s="42">
        <v>155</v>
      </c>
      <c r="G445" s="40"/>
      <c r="H445" s="40"/>
      <c r="I445" s="43"/>
      <c r="J445" s="43"/>
      <c r="K445" s="40"/>
      <c r="L445" s="56"/>
      <c r="M445" s="56"/>
    </row>
    <row r="446" spans="1:14" ht="12.75">
      <c r="A446" s="39" t="s">
        <v>815</v>
      </c>
      <c r="B446" s="40"/>
      <c r="C446" s="16" t="s">
        <v>816</v>
      </c>
      <c r="D446" s="32" t="s">
        <v>817</v>
      </c>
      <c r="E446" s="16" t="s">
        <v>192</v>
      </c>
      <c r="F446" s="33">
        <v>1680.44</v>
      </c>
      <c r="G446" s="422"/>
      <c r="H446" s="34">
        <f>F446*G446</f>
        <v>0</v>
      </c>
      <c r="I446" s="35">
        <v>0.00032</v>
      </c>
      <c r="J446" s="35">
        <f>F446*I446</f>
        <v>0.5377408</v>
      </c>
      <c r="K446" s="36" t="s">
        <v>94</v>
      </c>
      <c r="L446" s="56"/>
      <c r="M446" s="56"/>
      <c r="N446" t="s">
        <v>2524</v>
      </c>
    </row>
    <row r="447" spans="1:13" ht="12.75">
      <c r="A447" s="39"/>
      <c r="B447" s="40"/>
      <c r="C447" s="40"/>
      <c r="D447" s="41" t="s">
        <v>818</v>
      </c>
      <c r="E447" s="40"/>
      <c r="F447" s="42">
        <v>1399.44</v>
      </c>
      <c r="G447" s="40"/>
      <c r="H447" s="40"/>
      <c r="I447" s="43"/>
      <c r="J447" s="43"/>
      <c r="K447" s="40"/>
      <c r="L447" s="56"/>
      <c r="M447" s="56"/>
    </row>
    <row r="448" spans="1:13" ht="12.75">
      <c r="A448" s="39"/>
      <c r="B448" s="40"/>
      <c r="C448" s="40"/>
      <c r="D448" s="41" t="s">
        <v>819</v>
      </c>
      <c r="E448" s="40"/>
      <c r="F448" s="42">
        <v>122</v>
      </c>
      <c r="G448" s="40"/>
      <c r="H448" s="40"/>
      <c r="I448" s="43"/>
      <c r="J448" s="43"/>
      <c r="K448" s="40"/>
      <c r="L448" s="56"/>
      <c r="M448" s="56"/>
    </row>
    <row r="449" spans="1:13" ht="12.75">
      <c r="A449" s="39"/>
      <c r="B449" s="40"/>
      <c r="C449" s="40"/>
      <c r="D449" s="41" t="s">
        <v>820</v>
      </c>
      <c r="E449" s="40"/>
      <c r="F449" s="42">
        <v>45</v>
      </c>
      <c r="G449" s="40"/>
      <c r="H449" s="40"/>
      <c r="I449" s="43"/>
      <c r="J449" s="43"/>
      <c r="K449" s="40"/>
      <c r="L449" s="56"/>
      <c r="M449" s="56"/>
    </row>
    <row r="450" spans="1:13" ht="12.75">
      <c r="A450" s="39"/>
      <c r="B450" s="40"/>
      <c r="C450" s="40"/>
      <c r="D450" s="41" t="s">
        <v>821</v>
      </c>
      <c r="E450" s="40"/>
      <c r="F450" s="42">
        <v>114</v>
      </c>
      <c r="G450" s="40"/>
      <c r="H450" s="40"/>
      <c r="I450" s="43"/>
      <c r="J450" s="43"/>
      <c r="K450" s="40"/>
      <c r="L450" s="56"/>
      <c r="M450" s="56"/>
    </row>
    <row r="451" spans="1:13" ht="12.75">
      <c r="A451" s="39" t="s">
        <v>822</v>
      </c>
      <c r="B451" s="40"/>
      <c r="C451" s="16" t="s">
        <v>823</v>
      </c>
      <c r="D451" s="32" t="s">
        <v>824</v>
      </c>
      <c r="E451" s="16" t="s">
        <v>192</v>
      </c>
      <c r="F451" s="33">
        <v>562</v>
      </c>
      <c r="G451" s="422"/>
      <c r="H451" s="34">
        <f>F451*G451</f>
        <v>0</v>
      </c>
      <c r="I451" s="35">
        <v>0.00032</v>
      </c>
      <c r="J451" s="35">
        <f>F451*I451</f>
        <v>0.17984000000000003</v>
      </c>
      <c r="K451" s="36" t="s">
        <v>94</v>
      </c>
      <c r="L451" s="56"/>
      <c r="M451" s="56"/>
    </row>
    <row r="452" spans="1:13" ht="12.75">
      <c r="A452" s="39"/>
      <c r="B452" s="40"/>
      <c r="C452" s="40"/>
      <c r="D452" s="41" t="s">
        <v>825</v>
      </c>
      <c r="E452" s="40"/>
      <c r="F452" s="42">
        <v>244</v>
      </c>
      <c r="G452" s="40"/>
      <c r="H452" s="40"/>
      <c r="I452" s="43"/>
      <c r="J452" s="43"/>
      <c r="K452" s="40"/>
      <c r="L452" s="56"/>
      <c r="M452" s="56"/>
    </row>
    <row r="453" spans="1:13" ht="12.75">
      <c r="A453" s="39"/>
      <c r="B453" s="40"/>
      <c r="C453" s="40"/>
      <c r="D453" s="41" t="s">
        <v>826</v>
      </c>
      <c r="E453" s="40"/>
      <c r="F453" s="42">
        <v>90</v>
      </c>
      <c r="G453" s="40"/>
      <c r="H453" s="40"/>
      <c r="I453" s="43"/>
      <c r="J453" s="43"/>
      <c r="K453" s="40"/>
      <c r="L453" s="56"/>
      <c r="M453" s="56"/>
    </row>
    <row r="454" spans="1:13" ht="12.75">
      <c r="A454" s="39"/>
      <c r="B454" s="40"/>
      <c r="C454" s="40"/>
      <c r="D454" s="41" t="s">
        <v>827</v>
      </c>
      <c r="E454" s="40"/>
      <c r="F454" s="42">
        <v>228</v>
      </c>
      <c r="G454" s="40"/>
      <c r="H454" s="40"/>
      <c r="I454" s="43"/>
      <c r="J454" s="43"/>
      <c r="K454" s="40"/>
      <c r="L454" s="56"/>
      <c r="M454" s="56"/>
    </row>
    <row r="455" spans="1:60" ht="12.75">
      <c r="A455" s="16" t="s">
        <v>828</v>
      </c>
      <c r="B455" s="16"/>
      <c r="C455" s="16" t="s">
        <v>829</v>
      </c>
      <c r="D455" s="32" t="s">
        <v>830</v>
      </c>
      <c r="E455" s="16" t="s">
        <v>192</v>
      </c>
      <c r="F455" s="33">
        <v>67.595</v>
      </c>
      <c r="G455" s="422"/>
      <c r="H455" s="34">
        <f>F455*G455</f>
        <v>0</v>
      </c>
      <c r="I455" s="35">
        <v>0.00063</v>
      </c>
      <c r="J455" s="35">
        <f>F455*I455</f>
        <v>0.04258485</v>
      </c>
      <c r="K455" s="36" t="s">
        <v>94</v>
      </c>
      <c r="L455" s="56"/>
      <c r="M455" s="56"/>
      <c r="X455" s="37">
        <f>IF(AO455="5",BH455,0)</f>
        <v>0</v>
      </c>
      <c r="Z455" s="37">
        <f>IF(AO455="1",BF455,0)</f>
        <v>0</v>
      </c>
      <c r="AA455" s="37">
        <f>IF(AO455="1",BG455,0)</f>
        <v>0</v>
      </c>
      <c r="AB455" s="37">
        <f>IF(AO455="7",BF455,0)</f>
        <v>0</v>
      </c>
      <c r="AC455" s="37">
        <f>IF(AO455="7",BG455,0)</f>
        <v>0</v>
      </c>
      <c r="AD455" s="37">
        <f>IF(AO455="2",BF455,0)</f>
        <v>0</v>
      </c>
      <c r="AE455" s="37">
        <f>IF(AO455="2",BG455,0)</f>
        <v>0</v>
      </c>
      <c r="AF455" s="37">
        <f>IF(AO455="0",BH455,0)</f>
        <v>0</v>
      </c>
      <c r="AG455" s="23"/>
      <c r="AH455" s="37">
        <f>IF(AL455=0,H455,0)</f>
        <v>0</v>
      </c>
      <c r="AI455" s="37">
        <f>IF(AL455=15,H455,0)</f>
        <v>0</v>
      </c>
      <c r="AJ455" s="37">
        <f>IF(AL455=21,H455,0)</f>
        <v>0</v>
      </c>
      <c r="AL455" s="37">
        <v>21</v>
      </c>
      <c r="AM455" s="37">
        <f>G455*0.432740503631102</f>
        <v>0</v>
      </c>
      <c r="AN455" s="37">
        <f>G455*(1-0.432740503631102)</f>
        <v>0</v>
      </c>
      <c r="AO455" s="38" t="s">
        <v>136</v>
      </c>
      <c r="AT455" s="37">
        <f>AU455+AV455</f>
        <v>0</v>
      </c>
      <c r="AU455" s="37">
        <f>F455*AM455</f>
        <v>0</v>
      </c>
      <c r="AV455" s="37">
        <f>F455*AN455</f>
        <v>0</v>
      </c>
      <c r="AW455" s="38" t="s">
        <v>781</v>
      </c>
      <c r="AX455" s="38" t="s">
        <v>782</v>
      </c>
      <c r="AY455" s="23" t="s">
        <v>97</v>
      </c>
      <c r="BA455" s="37">
        <f>AU455+AV455</f>
        <v>0</v>
      </c>
      <c r="BB455" s="37">
        <f>G455/(100-BC455)*100</f>
        <v>0</v>
      </c>
      <c r="BC455" s="37">
        <v>0</v>
      </c>
      <c r="BD455" s="37">
        <f>J455</f>
        <v>0.04258485</v>
      </c>
      <c r="BF455" s="37">
        <f>F455*AM455</f>
        <v>0</v>
      </c>
      <c r="BG455" s="37">
        <f>F455*AN455</f>
        <v>0</v>
      </c>
      <c r="BH455" s="37">
        <f>F455*G455</f>
        <v>0</v>
      </c>
    </row>
    <row r="456" spans="1:13" ht="12.75">
      <c r="A456" s="39"/>
      <c r="B456" s="40"/>
      <c r="C456" s="40"/>
      <c r="D456" s="41" t="s">
        <v>831</v>
      </c>
      <c r="E456" s="40"/>
      <c r="F456" s="42">
        <v>67.595</v>
      </c>
      <c r="G456" s="40"/>
      <c r="H456" s="40"/>
      <c r="I456" s="43"/>
      <c r="J456" s="43"/>
      <c r="K456" s="40"/>
      <c r="L456" s="56"/>
      <c r="M456" s="56"/>
    </row>
    <row r="457" spans="1:60" ht="12.75">
      <c r="A457" s="44" t="s">
        <v>832</v>
      </c>
      <c r="B457" s="16"/>
      <c r="C457" s="16" t="s">
        <v>833</v>
      </c>
      <c r="D457" s="32" t="s">
        <v>834</v>
      </c>
      <c r="E457" s="16" t="s">
        <v>239</v>
      </c>
      <c r="F457" s="33">
        <v>19.83</v>
      </c>
      <c r="G457" s="422"/>
      <c r="H457" s="34">
        <f>F457*G457</f>
        <v>0</v>
      </c>
      <c r="I457" s="35">
        <v>0</v>
      </c>
      <c r="J457" s="35">
        <f>F457*I457</f>
        <v>0</v>
      </c>
      <c r="K457" s="36" t="s">
        <v>94</v>
      </c>
      <c r="L457" s="56"/>
      <c r="M457" s="56"/>
      <c r="X457" s="37">
        <f>IF(AO457="5",BH457,0)</f>
        <v>0</v>
      </c>
      <c r="Z457" s="37">
        <f>IF(AO457="1",BF457,0)</f>
        <v>0</v>
      </c>
      <c r="AA457" s="37">
        <f>IF(AO457="1",BG457,0)</f>
        <v>0</v>
      </c>
      <c r="AB457" s="37">
        <f>IF(AO457="7",BF457,0)</f>
        <v>0</v>
      </c>
      <c r="AC457" s="37">
        <f>IF(AO457="7",BG457,0)</f>
        <v>0</v>
      </c>
      <c r="AD457" s="37">
        <f>IF(AO457="2",BF457,0)</f>
        <v>0</v>
      </c>
      <c r="AE457" s="37">
        <f>IF(AO457="2",BG457,0)</f>
        <v>0</v>
      </c>
      <c r="AF457" s="37">
        <f>IF(AO457="0",BH457,0)</f>
        <v>0</v>
      </c>
      <c r="AG457" s="23"/>
      <c r="AH457" s="37">
        <f>IF(AL457=0,H457,0)</f>
        <v>0</v>
      </c>
      <c r="AI457" s="37">
        <f>IF(AL457=15,H457,0)</f>
        <v>0</v>
      </c>
      <c r="AJ457" s="37">
        <f>IF(AL457=21,H457,0)</f>
        <v>0</v>
      </c>
      <c r="AL457" s="37">
        <v>21</v>
      </c>
      <c r="AM457" s="37">
        <f>G457*0</f>
        <v>0</v>
      </c>
      <c r="AN457" s="37">
        <f>G457*(1-0)</f>
        <v>0</v>
      </c>
      <c r="AO457" s="38" t="s">
        <v>118</v>
      </c>
      <c r="AT457" s="37">
        <f>AU457+AV457</f>
        <v>0</v>
      </c>
      <c r="AU457" s="37">
        <f>F457*AM457</f>
        <v>0</v>
      </c>
      <c r="AV457" s="37">
        <f>F457*AN457</f>
        <v>0</v>
      </c>
      <c r="AW457" s="38" t="s">
        <v>781</v>
      </c>
      <c r="AX457" s="38" t="s">
        <v>782</v>
      </c>
      <c r="AY457" s="23" t="s">
        <v>97</v>
      </c>
      <c r="BA457" s="37">
        <f>AU457+AV457</f>
        <v>0</v>
      </c>
      <c r="BB457" s="37">
        <f>G457/(100-BC457)*100</f>
        <v>0</v>
      </c>
      <c r="BC457" s="37">
        <v>0</v>
      </c>
      <c r="BD457" s="37">
        <f>J457</f>
        <v>0</v>
      </c>
      <c r="BF457" s="37">
        <f>F457*AM457</f>
        <v>0</v>
      </c>
      <c r="BG457" s="37">
        <f>F457*AN457</f>
        <v>0</v>
      </c>
      <c r="BH457" s="37">
        <f>F457*G457</f>
        <v>0</v>
      </c>
    </row>
    <row r="458" spans="1:13" ht="12.75">
      <c r="A458" s="50"/>
      <c r="B458" s="55"/>
      <c r="C458" s="55"/>
      <c r="D458" s="41" t="s">
        <v>835</v>
      </c>
      <c r="E458" s="55"/>
      <c r="F458" s="42">
        <v>19.83</v>
      </c>
      <c r="G458" s="55"/>
      <c r="H458" s="55"/>
      <c r="I458" s="57"/>
      <c r="J458" s="57"/>
      <c r="K458" s="55"/>
      <c r="L458" s="56"/>
      <c r="M458" s="56"/>
    </row>
    <row r="459" spans="1:45" ht="12.75">
      <c r="A459" s="24"/>
      <c r="B459" s="25"/>
      <c r="C459" s="25" t="s">
        <v>836</v>
      </c>
      <c r="D459" s="26" t="s">
        <v>837</v>
      </c>
      <c r="E459" s="24" t="s">
        <v>54</v>
      </c>
      <c r="F459" s="24" t="s">
        <v>54</v>
      </c>
      <c r="G459" s="24" t="s">
        <v>54</v>
      </c>
      <c r="H459" s="27">
        <f>SUM(H460:H478)</f>
        <v>0</v>
      </c>
      <c r="I459" s="28"/>
      <c r="J459" s="28">
        <f>SUM(J460:J478)</f>
        <v>7.1037754</v>
      </c>
      <c r="K459" s="29"/>
      <c r="AG459" s="23"/>
      <c r="AQ459" s="31">
        <f>SUM(AH460:AH478)</f>
        <v>0</v>
      </c>
      <c r="AR459" s="31">
        <f>SUM(AI460:AI478)</f>
        <v>0</v>
      </c>
      <c r="AS459" s="31">
        <f>SUM(AJ460:AJ478)</f>
        <v>0</v>
      </c>
    </row>
    <row r="460" spans="1:60" ht="25.5">
      <c r="A460" s="16" t="s">
        <v>838</v>
      </c>
      <c r="B460" s="16"/>
      <c r="C460" s="16" t="s">
        <v>839</v>
      </c>
      <c r="D460" s="32" t="s">
        <v>840</v>
      </c>
      <c r="E460" s="16" t="s">
        <v>192</v>
      </c>
      <c r="F460" s="33">
        <v>239.548</v>
      </c>
      <c r="G460" s="422"/>
      <c r="H460" s="34">
        <f>F460*G460</f>
        <v>0</v>
      </c>
      <c r="I460" s="35">
        <v>0.00033</v>
      </c>
      <c r="J460" s="35">
        <f>F460*I460</f>
        <v>0.07905084</v>
      </c>
      <c r="K460" s="36" t="s">
        <v>94</v>
      </c>
      <c r="X460" s="37">
        <f>IF(AO460="5",BH460,0)</f>
        <v>0</v>
      </c>
      <c r="Z460" s="37">
        <f>IF(AO460="1",BF460,0)</f>
        <v>0</v>
      </c>
      <c r="AA460" s="37">
        <f>IF(AO460="1",BG460,0)</f>
        <v>0</v>
      </c>
      <c r="AB460" s="37">
        <f>IF(AO460="7",BF460,0)</f>
        <v>0</v>
      </c>
      <c r="AC460" s="37">
        <f>IF(AO460="7",BG460,0)</f>
        <v>0</v>
      </c>
      <c r="AD460" s="37">
        <f>IF(AO460="2",BF460,0)</f>
        <v>0</v>
      </c>
      <c r="AE460" s="37">
        <f>IF(AO460="2",BG460,0)</f>
        <v>0</v>
      </c>
      <c r="AF460" s="37">
        <f>IF(AO460="0",BH460,0)</f>
        <v>0</v>
      </c>
      <c r="AG460" s="23"/>
      <c r="AH460" s="37">
        <f>IF(AL460=0,H460,0)</f>
        <v>0</v>
      </c>
      <c r="AI460" s="37">
        <f>IF(AL460=15,H460,0)</f>
        <v>0</v>
      </c>
      <c r="AJ460" s="37">
        <f>IF(AL460=21,H460,0)</f>
        <v>0</v>
      </c>
      <c r="AL460" s="37">
        <v>21</v>
      </c>
      <c r="AM460" s="37">
        <f>G460*0.566304758966168</f>
        <v>0</v>
      </c>
      <c r="AN460" s="37">
        <f>G460*(1-0.566304758966168)</f>
        <v>0</v>
      </c>
      <c r="AO460" s="38" t="s">
        <v>136</v>
      </c>
      <c r="AT460" s="37">
        <f>AU460+AV460</f>
        <v>0</v>
      </c>
      <c r="AU460" s="37">
        <f>F460*AM460</f>
        <v>0</v>
      </c>
      <c r="AV460" s="37">
        <f>F460*AN460</f>
        <v>0</v>
      </c>
      <c r="AW460" s="38" t="s">
        <v>841</v>
      </c>
      <c r="AX460" s="38" t="s">
        <v>782</v>
      </c>
      <c r="AY460" s="23" t="s">
        <v>97</v>
      </c>
      <c r="BA460" s="37">
        <f>AU460+AV460</f>
        <v>0</v>
      </c>
      <c r="BB460" s="37">
        <f>G460/(100-BC460)*100</f>
        <v>0</v>
      </c>
      <c r="BC460" s="37">
        <v>0</v>
      </c>
      <c r="BD460" s="37">
        <f>J460</f>
        <v>0.07905084</v>
      </c>
      <c r="BF460" s="37">
        <f>F460*AM460</f>
        <v>0</v>
      </c>
      <c r="BG460" s="37">
        <f>F460*AN460</f>
        <v>0</v>
      </c>
      <c r="BH460" s="37">
        <f>F460*G460</f>
        <v>0</v>
      </c>
    </row>
    <row r="461" spans="1:11" ht="12.75">
      <c r="A461" s="39"/>
      <c r="B461" s="40"/>
      <c r="C461" s="40"/>
      <c r="D461" s="41" t="s">
        <v>842</v>
      </c>
      <c r="E461" s="40"/>
      <c r="F461" s="42">
        <v>171.953</v>
      </c>
      <c r="G461" s="40"/>
      <c r="H461" s="40"/>
      <c r="I461" s="43"/>
      <c r="J461" s="43"/>
      <c r="K461" s="40"/>
    </row>
    <row r="462" spans="1:11" ht="12.75">
      <c r="A462" s="39"/>
      <c r="B462" s="40"/>
      <c r="C462" s="40"/>
      <c r="D462" s="41" t="s">
        <v>831</v>
      </c>
      <c r="E462" s="40"/>
      <c r="F462" s="42">
        <v>67.595</v>
      </c>
      <c r="G462" s="40"/>
      <c r="H462" s="40"/>
      <c r="I462" s="43"/>
      <c r="J462" s="43"/>
      <c r="K462" s="40"/>
    </row>
    <row r="463" spans="1:60" ht="25.5">
      <c r="A463" s="16" t="s">
        <v>843</v>
      </c>
      <c r="B463" s="16"/>
      <c r="C463" s="16" t="s">
        <v>844</v>
      </c>
      <c r="D463" s="32" t="s">
        <v>845</v>
      </c>
      <c r="E463" s="16" t="s">
        <v>192</v>
      </c>
      <c r="F463" s="33">
        <v>239.548</v>
      </c>
      <c r="G463" s="422"/>
      <c r="H463" s="34">
        <f>F463*G463</f>
        <v>0</v>
      </c>
      <c r="I463" s="35">
        <v>0.00481</v>
      </c>
      <c r="J463" s="35">
        <f>F463*I463</f>
        <v>1.15222588</v>
      </c>
      <c r="K463" s="36" t="s">
        <v>94</v>
      </c>
      <c r="X463" s="37">
        <f>IF(AO463="5",BH463,0)</f>
        <v>0</v>
      </c>
      <c r="Z463" s="37">
        <f>IF(AO463="1",BF463,0)</f>
        <v>0</v>
      </c>
      <c r="AA463" s="37">
        <f>IF(AO463="1",BG463,0)</f>
        <v>0</v>
      </c>
      <c r="AB463" s="37">
        <f>IF(AO463="7",BF463,0)</f>
        <v>0</v>
      </c>
      <c r="AC463" s="37">
        <f>IF(AO463="7",BG463,0)</f>
        <v>0</v>
      </c>
      <c r="AD463" s="37">
        <f>IF(AO463="2",BF463,0)</f>
        <v>0</v>
      </c>
      <c r="AE463" s="37">
        <f>IF(AO463="2",BG463,0)</f>
        <v>0</v>
      </c>
      <c r="AF463" s="37">
        <f>IF(AO463="0",BH463,0)</f>
        <v>0</v>
      </c>
      <c r="AG463" s="23"/>
      <c r="AH463" s="37">
        <f>IF(AL463=0,H463,0)</f>
        <v>0</v>
      </c>
      <c r="AI463" s="37">
        <f>IF(AL463=15,H463,0)</f>
        <v>0</v>
      </c>
      <c r="AJ463" s="37">
        <f>IF(AL463=21,H463,0)</f>
        <v>0</v>
      </c>
      <c r="AL463" s="37">
        <v>21</v>
      </c>
      <c r="AM463" s="37">
        <f>G463*0.550589213570089</f>
        <v>0</v>
      </c>
      <c r="AN463" s="37">
        <f>G463*(1-0.550589213570089)</f>
        <v>0</v>
      </c>
      <c r="AO463" s="38" t="s">
        <v>136</v>
      </c>
      <c r="AT463" s="37">
        <f>AU463+AV463</f>
        <v>0</v>
      </c>
      <c r="AU463" s="37">
        <f>F463*AM463</f>
        <v>0</v>
      </c>
      <c r="AV463" s="37">
        <f>F463*AN463</f>
        <v>0</v>
      </c>
      <c r="AW463" s="38" t="s">
        <v>841</v>
      </c>
      <c r="AX463" s="38" t="s">
        <v>782</v>
      </c>
      <c r="AY463" s="23" t="s">
        <v>97</v>
      </c>
      <c r="BA463" s="37">
        <f>AU463+AV463</f>
        <v>0</v>
      </c>
      <c r="BB463" s="37">
        <f>G463/(100-BC463)*100</f>
        <v>0</v>
      </c>
      <c r="BC463" s="37">
        <v>0</v>
      </c>
      <c r="BD463" s="37">
        <f>J463</f>
        <v>1.15222588</v>
      </c>
      <c r="BF463" s="37">
        <f>F463*AM463</f>
        <v>0</v>
      </c>
      <c r="BG463" s="37">
        <f>F463*AN463</f>
        <v>0</v>
      </c>
      <c r="BH463" s="37">
        <f>F463*G463</f>
        <v>0</v>
      </c>
    </row>
    <row r="464" spans="1:11" ht="12.75">
      <c r="A464" s="39"/>
      <c r="B464" s="40"/>
      <c r="C464" s="40"/>
      <c r="D464" s="41" t="s">
        <v>842</v>
      </c>
      <c r="E464" s="40"/>
      <c r="F464" s="42">
        <v>171.953</v>
      </c>
      <c r="G464" s="40"/>
      <c r="H464" s="40"/>
      <c r="I464" s="43"/>
      <c r="J464" s="43"/>
      <c r="K464" s="40"/>
    </row>
    <row r="465" spans="1:11" ht="12.75">
      <c r="A465" s="39"/>
      <c r="B465" s="40"/>
      <c r="C465" s="40"/>
      <c r="D465" s="41" t="s">
        <v>831</v>
      </c>
      <c r="E465" s="40"/>
      <c r="F465" s="42">
        <v>67.595</v>
      </c>
      <c r="G465" s="40"/>
      <c r="H465" s="40"/>
      <c r="I465" s="43"/>
      <c r="J465" s="43"/>
      <c r="K465" s="40"/>
    </row>
    <row r="466" spans="1:60" ht="25.5">
      <c r="A466" s="16" t="s">
        <v>846</v>
      </c>
      <c r="B466" s="16"/>
      <c r="C466" s="16" t="s">
        <v>847</v>
      </c>
      <c r="D466" s="32" t="s">
        <v>848</v>
      </c>
      <c r="E466" s="16" t="s">
        <v>192</v>
      </c>
      <c r="F466" s="33">
        <v>239.548</v>
      </c>
      <c r="G466" s="422"/>
      <c r="H466" s="34">
        <f>F466*G466</f>
        <v>0</v>
      </c>
      <c r="I466" s="35">
        <v>0.00032</v>
      </c>
      <c r="J466" s="35">
        <f>F466*I466</f>
        <v>0.07665536</v>
      </c>
      <c r="K466" s="36" t="s">
        <v>94</v>
      </c>
      <c r="X466" s="37">
        <f>IF(AO466="5",BH466,0)</f>
        <v>0</v>
      </c>
      <c r="Z466" s="37">
        <f>IF(AO466="1",BF466,0)</f>
        <v>0</v>
      </c>
      <c r="AA466" s="37">
        <f>IF(AO466="1",BG466,0)</f>
        <v>0</v>
      </c>
      <c r="AB466" s="37">
        <f>IF(AO466="7",BF466,0)</f>
        <v>0</v>
      </c>
      <c r="AC466" s="37">
        <f>IF(AO466="7",BG466,0)</f>
        <v>0</v>
      </c>
      <c r="AD466" s="37">
        <f>IF(AO466="2",BF466,0)</f>
        <v>0</v>
      </c>
      <c r="AE466" s="37">
        <f>IF(AO466="2",BG466,0)</f>
        <v>0</v>
      </c>
      <c r="AF466" s="37">
        <f>IF(AO466="0",BH466,0)</f>
        <v>0</v>
      </c>
      <c r="AG466" s="23"/>
      <c r="AH466" s="37">
        <f>IF(AL466=0,H466,0)</f>
        <v>0</v>
      </c>
      <c r="AI466" s="37">
        <f>IF(AL466=15,H466,0)</f>
        <v>0</v>
      </c>
      <c r="AJ466" s="37">
        <f>IF(AL466=21,H466,0)</f>
        <v>0</v>
      </c>
      <c r="AL466" s="37">
        <v>21</v>
      </c>
      <c r="AM466" s="37">
        <f>G466*0.361866666666667</f>
        <v>0</v>
      </c>
      <c r="AN466" s="37">
        <f>G466*(1-0.361866666666667)</f>
        <v>0</v>
      </c>
      <c r="AO466" s="38" t="s">
        <v>136</v>
      </c>
      <c r="AT466" s="37">
        <f>AU466+AV466</f>
        <v>0</v>
      </c>
      <c r="AU466" s="37">
        <f>F466*AM466</f>
        <v>0</v>
      </c>
      <c r="AV466" s="37">
        <f>F466*AN466</f>
        <v>0</v>
      </c>
      <c r="AW466" s="38" t="s">
        <v>841</v>
      </c>
      <c r="AX466" s="38" t="s">
        <v>782</v>
      </c>
      <c r="AY466" s="23" t="s">
        <v>97</v>
      </c>
      <c r="BA466" s="37">
        <f>AU466+AV466</f>
        <v>0</v>
      </c>
      <c r="BB466" s="37">
        <f>G466/(100-BC466)*100</f>
        <v>0</v>
      </c>
      <c r="BC466" s="37">
        <v>0</v>
      </c>
      <c r="BD466" s="37">
        <f>J466</f>
        <v>0.07665536</v>
      </c>
      <c r="BF466" s="37">
        <f>F466*AM466</f>
        <v>0</v>
      </c>
      <c r="BG466" s="37">
        <f>F466*AN466</f>
        <v>0</v>
      </c>
      <c r="BH466" s="37">
        <f>F466*G466</f>
        <v>0</v>
      </c>
    </row>
    <row r="467" spans="1:11" ht="12.75">
      <c r="A467" s="39"/>
      <c r="B467" s="40"/>
      <c r="C467" s="40"/>
      <c r="D467" s="41" t="s">
        <v>842</v>
      </c>
      <c r="E467" s="40"/>
      <c r="F467" s="42">
        <v>171.953</v>
      </c>
      <c r="G467" s="40"/>
      <c r="H467" s="40"/>
      <c r="I467" s="43"/>
      <c r="J467" s="43"/>
      <c r="K467" s="40"/>
    </row>
    <row r="468" spans="1:11" ht="12.75">
      <c r="A468" s="39"/>
      <c r="B468" s="40"/>
      <c r="C468" s="40"/>
      <c r="D468" s="41" t="s">
        <v>831</v>
      </c>
      <c r="E468" s="40"/>
      <c r="F468" s="42">
        <v>67.595</v>
      </c>
      <c r="G468" s="40"/>
      <c r="H468" s="40"/>
      <c r="I468" s="43"/>
      <c r="J468" s="43"/>
      <c r="K468" s="40"/>
    </row>
    <row r="469" spans="1:60" ht="25.5">
      <c r="A469" s="16" t="s">
        <v>849</v>
      </c>
      <c r="B469" s="16"/>
      <c r="C469" s="16" t="s">
        <v>850</v>
      </c>
      <c r="D469" s="32" t="s">
        <v>851</v>
      </c>
      <c r="E469" s="16" t="s">
        <v>192</v>
      </c>
      <c r="F469" s="33">
        <v>239.548</v>
      </c>
      <c r="G469" s="422"/>
      <c r="H469" s="34">
        <f>F469*G469</f>
        <v>0</v>
      </c>
      <c r="I469" s="35">
        <v>0.00034</v>
      </c>
      <c r="J469" s="35">
        <f>F469*I469</f>
        <v>0.08144632</v>
      </c>
      <c r="K469" s="36" t="s">
        <v>94</v>
      </c>
      <c r="X469" s="37">
        <f>IF(AO469="5",BH469,0)</f>
        <v>0</v>
      </c>
      <c r="Z469" s="37">
        <f>IF(AO469="1",BF469,0)</f>
        <v>0</v>
      </c>
      <c r="AA469" s="37">
        <f>IF(AO469="1",BG469,0)</f>
        <v>0</v>
      </c>
      <c r="AB469" s="37">
        <f>IF(AO469="7",BF469,0)</f>
        <v>0</v>
      </c>
      <c r="AC469" s="37">
        <f>IF(AO469="7",BG469,0)</f>
        <v>0</v>
      </c>
      <c r="AD469" s="37">
        <f>IF(AO469="2",BF469,0)</f>
        <v>0</v>
      </c>
      <c r="AE469" s="37">
        <f>IF(AO469="2",BG469,0)</f>
        <v>0</v>
      </c>
      <c r="AF469" s="37">
        <f>IF(AO469="0",BH469,0)</f>
        <v>0</v>
      </c>
      <c r="AG469" s="23"/>
      <c r="AH469" s="37">
        <f>IF(AL469=0,H469,0)</f>
        <v>0</v>
      </c>
      <c r="AI469" s="37">
        <f>IF(AL469=15,H469,0)</f>
        <v>0</v>
      </c>
      <c r="AJ469" s="37">
        <f>IF(AL469=21,H469,0)</f>
        <v>0</v>
      </c>
      <c r="AL469" s="37">
        <v>21</v>
      </c>
      <c r="AM469" s="37">
        <f>G469*0.36083993407941</f>
        <v>0</v>
      </c>
      <c r="AN469" s="37">
        <f>G469*(1-0.36083993407941)</f>
        <v>0</v>
      </c>
      <c r="AO469" s="38" t="s">
        <v>136</v>
      </c>
      <c r="AT469" s="37">
        <f>AU469+AV469</f>
        <v>0</v>
      </c>
      <c r="AU469" s="37">
        <f>F469*AM469</f>
        <v>0</v>
      </c>
      <c r="AV469" s="37">
        <f>F469*AN469</f>
        <v>0</v>
      </c>
      <c r="AW469" s="38" t="s">
        <v>841</v>
      </c>
      <c r="AX469" s="38" t="s">
        <v>782</v>
      </c>
      <c r="AY469" s="23" t="s">
        <v>97</v>
      </c>
      <c r="BA469" s="37">
        <f>AU469+AV469</f>
        <v>0</v>
      </c>
      <c r="BB469" s="37">
        <f>G469/(100-BC469)*100</f>
        <v>0</v>
      </c>
      <c r="BC469" s="37">
        <v>0</v>
      </c>
      <c r="BD469" s="37">
        <f>J469</f>
        <v>0.08144632</v>
      </c>
      <c r="BF469" s="37">
        <f>F469*AM469</f>
        <v>0</v>
      </c>
      <c r="BG469" s="37">
        <f>F469*AN469</f>
        <v>0</v>
      </c>
      <c r="BH469" s="37">
        <f>F469*G469</f>
        <v>0</v>
      </c>
    </row>
    <row r="470" spans="1:11" ht="12.75">
      <c r="A470" s="39"/>
      <c r="B470" s="40"/>
      <c r="C470" s="40"/>
      <c r="D470" s="41" t="s">
        <v>842</v>
      </c>
      <c r="E470" s="40"/>
      <c r="F470" s="42">
        <v>171.953</v>
      </c>
      <c r="G470" s="40"/>
      <c r="H470" s="40"/>
      <c r="I470" s="43"/>
      <c r="J470" s="43"/>
      <c r="K470" s="40"/>
    </row>
    <row r="471" spans="1:11" ht="12.75">
      <c r="A471" s="39"/>
      <c r="B471" s="40"/>
      <c r="C471" s="40"/>
      <c r="D471" s="41" t="s">
        <v>831</v>
      </c>
      <c r="E471" s="40"/>
      <c r="F471" s="42">
        <v>67.595</v>
      </c>
      <c r="G471" s="40"/>
      <c r="H471" s="40"/>
      <c r="I471" s="43"/>
      <c r="J471" s="43"/>
      <c r="K471" s="40"/>
    </row>
    <row r="472" spans="1:60" ht="25.5">
      <c r="A472" s="16" t="s">
        <v>852</v>
      </c>
      <c r="B472" s="16"/>
      <c r="C472" s="16" t="s">
        <v>853</v>
      </c>
      <c r="D472" s="32" t="s">
        <v>854</v>
      </c>
      <c r="E472" s="16" t="s">
        <v>192</v>
      </c>
      <c r="F472" s="33">
        <v>67.595</v>
      </c>
      <c r="G472" s="422"/>
      <c r="H472" s="34">
        <f>F472*G472</f>
        <v>0</v>
      </c>
      <c r="I472" s="35">
        <v>0.0022</v>
      </c>
      <c r="J472" s="35">
        <f>F472*I472</f>
        <v>0.148709</v>
      </c>
      <c r="K472" s="36" t="s">
        <v>94</v>
      </c>
      <c r="X472" s="37">
        <f>IF(AO472="5",BH472,0)</f>
        <v>0</v>
      </c>
      <c r="Z472" s="37">
        <f>IF(AO472="1",BF472,0)</f>
        <v>0</v>
      </c>
      <c r="AA472" s="37">
        <f>IF(AO472="1",BG472,0)</f>
        <v>0</v>
      </c>
      <c r="AB472" s="37">
        <f>IF(AO472="7",BF472,0)</f>
        <v>0</v>
      </c>
      <c r="AC472" s="37">
        <f>IF(AO472="7",BG472,0)</f>
        <v>0</v>
      </c>
      <c r="AD472" s="37">
        <f>IF(AO472="2",BF472,0)</f>
        <v>0</v>
      </c>
      <c r="AE472" s="37">
        <f>IF(AO472="2",BG472,0)</f>
        <v>0</v>
      </c>
      <c r="AF472" s="37">
        <f>IF(AO472="0",BH472,0)</f>
        <v>0</v>
      </c>
      <c r="AG472" s="23"/>
      <c r="AH472" s="37">
        <f>IF(AL472=0,H472,0)</f>
        <v>0</v>
      </c>
      <c r="AI472" s="37">
        <f>IF(AL472=15,H472,0)</f>
        <v>0</v>
      </c>
      <c r="AJ472" s="37">
        <f>IF(AL472=21,H472,0)</f>
        <v>0</v>
      </c>
      <c r="AL472" s="37">
        <v>21</v>
      </c>
      <c r="AM472" s="37">
        <f>G472*0.515279383929608</f>
        <v>0</v>
      </c>
      <c r="AN472" s="37">
        <f>G472*(1-0.515279383929608)</f>
        <v>0</v>
      </c>
      <c r="AO472" s="38" t="s">
        <v>136</v>
      </c>
      <c r="AT472" s="37">
        <f>AU472+AV472</f>
        <v>0</v>
      </c>
      <c r="AU472" s="37">
        <f>F472*AM472</f>
        <v>0</v>
      </c>
      <c r="AV472" s="37">
        <f>F472*AN472</f>
        <v>0</v>
      </c>
      <c r="AW472" s="38" t="s">
        <v>841</v>
      </c>
      <c r="AX472" s="38" t="s">
        <v>782</v>
      </c>
      <c r="AY472" s="23" t="s">
        <v>97</v>
      </c>
      <c r="BA472" s="37">
        <f>AU472+AV472</f>
        <v>0</v>
      </c>
      <c r="BB472" s="37">
        <f>G472/(100-BC472)*100</f>
        <v>0</v>
      </c>
      <c r="BC472" s="37">
        <v>0</v>
      </c>
      <c r="BD472" s="37">
        <f>J472</f>
        <v>0.148709</v>
      </c>
      <c r="BF472" s="37">
        <f>F472*AM472</f>
        <v>0</v>
      </c>
      <c r="BG472" s="37">
        <f>F472*AN472</f>
        <v>0</v>
      </c>
      <c r="BH472" s="37">
        <f>F472*G472</f>
        <v>0</v>
      </c>
    </row>
    <row r="473" spans="1:11" ht="12.75">
      <c r="A473" s="39"/>
      <c r="B473" s="40"/>
      <c r="C473" s="40"/>
      <c r="D473" s="41" t="s">
        <v>855</v>
      </c>
      <c r="E473" s="40"/>
      <c r="F473" s="42">
        <v>67.595</v>
      </c>
      <c r="G473" s="40"/>
      <c r="H473" s="40"/>
      <c r="I473" s="43"/>
      <c r="J473" s="43"/>
      <c r="K473" s="40"/>
    </row>
    <row r="474" spans="1:60" ht="25.5">
      <c r="A474" s="16" t="s">
        <v>856</v>
      </c>
      <c r="B474" s="16"/>
      <c r="C474" s="16" t="s">
        <v>857</v>
      </c>
      <c r="D474" s="32" t="s">
        <v>858</v>
      </c>
      <c r="E474" s="16" t="s">
        <v>192</v>
      </c>
      <c r="F474" s="33">
        <v>114</v>
      </c>
      <c r="G474" s="422"/>
      <c r="H474" s="34">
        <f>F474*G474</f>
        <v>0</v>
      </c>
      <c r="I474" s="35">
        <v>0.04783</v>
      </c>
      <c r="J474" s="35">
        <f>F474*I474</f>
        <v>5.45262</v>
      </c>
      <c r="K474" s="36" t="s">
        <v>94</v>
      </c>
      <c r="X474" s="37">
        <f>IF(AO474="5",BH474,0)</f>
        <v>0</v>
      </c>
      <c r="Z474" s="37">
        <f>IF(AO474="1",BF474,0)</f>
        <v>0</v>
      </c>
      <c r="AA474" s="37">
        <f>IF(AO474="1",BG474,0)</f>
        <v>0</v>
      </c>
      <c r="AB474" s="37">
        <f>IF(AO474="7",BF474,0)</f>
        <v>0</v>
      </c>
      <c r="AC474" s="37">
        <f>IF(AO474="7",BG474,0)</f>
        <v>0</v>
      </c>
      <c r="AD474" s="37">
        <f>IF(AO474="2",BF474,0)</f>
        <v>0</v>
      </c>
      <c r="AE474" s="37">
        <f>IF(AO474="2",BG474,0)</f>
        <v>0</v>
      </c>
      <c r="AF474" s="37">
        <f>IF(AO474="0",BH474,0)</f>
        <v>0</v>
      </c>
      <c r="AG474" s="23"/>
      <c r="AH474" s="37">
        <f>IF(AL474=0,H474,0)</f>
        <v>0</v>
      </c>
      <c r="AI474" s="37">
        <f>IF(AL474=15,H474,0)</f>
        <v>0</v>
      </c>
      <c r="AJ474" s="37">
        <f>IF(AL474=21,H474,0)</f>
        <v>0</v>
      </c>
      <c r="AL474" s="37">
        <v>21</v>
      </c>
      <c r="AM474" s="37">
        <f>G474*0.796327474186414</f>
        <v>0</v>
      </c>
      <c r="AN474" s="37">
        <f>G474*(1-0.796327474186414)</f>
        <v>0</v>
      </c>
      <c r="AO474" s="38" t="s">
        <v>136</v>
      </c>
      <c r="AT474" s="37">
        <f>AU474+AV474</f>
        <v>0</v>
      </c>
      <c r="AU474" s="37">
        <f>F474*AM474</f>
        <v>0</v>
      </c>
      <c r="AV474" s="37">
        <f>F474*AN474</f>
        <v>0</v>
      </c>
      <c r="AW474" s="38" t="s">
        <v>841</v>
      </c>
      <c r="AX474" s="38" t="s">
        <v>782</v>
      </c>
      <c r="AY474" s="23" t="s">
        <v>97</v>
      </c>
      <c r="BA474" s="37">
        <f>AU474+AV474</f>
        <v>0</v>
      </c>
      <c r="BB474" s="37">
        <f>G474/(100-BC474)*100</f>
        <v>0</v>
      </c>
      <c r="BC474" s="37">
        <v>0</v>
      </c>
      <c r="BD474" s="37">
        <f>J474</f>
        <v>5.45262</v>
      </c>
      <c r="BF474" s="37">
        <f>F474*AM474</f>
        <v>0</v>
      </c>
      <c r="BG474" s="37">
        <f>F474*AN474</f>
        <v>0</v>
      </c>
      <c r="BH474" s="37">
        <f>F474*G474</f>
        <v>0</v>
      </c>
    </row>
    <row r="475" spans="1:11" ht="12.75">
      <c r="A475" s="39"/>
      <c r="B475" s="40"/>
      <c r="C475" s="40"/>
      <c r="D475" s="41" t="s">
        <v>859</v>
      </c>
      <c r="E475" s="40"/>
      <c r="F475" s="42">
        <v>114</v>
      </c>
      <c r="G475" s="40"/>
      <c r="H475" s="40"/>
      <c r="I475" s="43"/>
      <c r="J475" s="43"/>
      <c r="K475" s="40"/>
    </row>
    <row r="476" spans="1:60" ht="12.75">
      <c r="A476" s="16" t="s">
        <v>860</v>
      </c>
      <c r="B476" s="16"/>
      <c r="C476" s="16" t="s">
        <v>861</v>
      </c>
      <c r="D476" s="32" t="s">
        <v>862</v>
      </c>
      <c r="E476" s="16" t="s">
        <v>395</v>
      </c>
      <c r="F476" s="33">
        <v>61.45</v>
      </c>
      <c r="G476" s="422"/>
      <c r="H476" s="34">
        <f>F476*G476</f>
        <v>0</v>
      </c>
      <c r="I476" s="35">
        <v>0.00184</v>
      </c>
      <c r="J476" s="35">
        <f>F476*I476</f>
        <v>0.113068</v>
      </c>
      <c r="K476" s="36" t="s">
        <v>94</v>
      </c>
      <c r="X476" s="37">
        <f>IF(AO476="5",BH476,0)</f>
        <v>0</v>
      </c>
      <c r="Z476" s="37">
        <f>IF(AO476="1",BF476,0)</f>
        <v>0</v>
      </c>
      <c r="AA476" s="37">
        <f>IF(AO476="1",BG476,0)</f>
        <v>0</v>
      </c>
      <c r="AB476" s="37">
        <f>IF(AO476="7",BF476,0)</f>
        <v>0</v>
      </c>
      <c r="AC476" s="37">
        <f>IF(AO476="7",BG476,0)</f>
        <v>0</v>
      </c>
      <c r="AD476" s="37">
        <f>IF(AO476="2",BF476,0)</f>
        <v>0</v>
      </c>
      <c r="AE476" s="37">
        <f>IF(AO476="2",BG476,0)</f>
        <v>0</v>
      </c>
      <c r="AF476" s="37">
        <f>IF(AO476="0",BH476,0)</f>
        <v>0</v>
      </c>
      <c r="AG476" s="23"/>
      <c r="AH476" s="37">
        <f>IF(AL476=0,H476,0)</f>
        <v>0</v>
      </c>
      <c r="AI476" s="37">
        <f>IF(AL476=15,H476,0)</f>
        <v>0</v>
      </c>
      <c r="AJ476" s="37">
        <f>IF(AL476=21,H476,0)</f>
        <v>0</v>
      </c>
      <c r="AL476" s="37">
        <v>21</v>
      </c>
      <c r="AM476" s="37">
        <f>G476*0.502597769505752</f>
        <v>0</v>
      </c>
      <c r="AN476" s="37">
        <f>G476*(1-0.502597769505752)</f>
        <v>0</v>
      </c>
      <c r="AO476" s="38" t="s">
        <v>136</v>
      </c>
      <c r="AT476" s="37">
        <f>AU476+AV476</f>
        <v>0</v>
      </c>
      <c r="AU476" s="37">
        <f>F476*AM476</f>
        <v>0</v>
      </c>
      <c r="AV476" s="37">
        <f>F476*AN476</f>
        <v>0</v>
      </c>
      <c r="AW476" s="38" t="s">
        <v>841</v>
      </c>
      <c r="AX476" s="38" t="s">
        <v>782</v>
      </c>
      <c r="AY476" s="23" t="s">
        <v>97</v>
      </c>
      <c r="BA476" s="37">
        <f>AU476+AV476</f>
        <v>0</v>
      </c>
      <c r="BB476" s="37">
        <f>G476/(100-BC476)*100</f>
        <v>0</v>
      </c>
      <c r="BC476" s="37">
        <v>0</v>
      </c>
      <c r="BD476" s="37">
        <f>J476</f>
        <v>0.113068</v>
      </c>
      <c r="BF476" s="37">
        <f>F476*AM476</f>
        <v>0</v>
      </c>
      <c r="BG476" s="37">
        <f>F476*AN476</f>
        <v>0</v>
      </c>
      <c r="BH476" s="37">
        <f>F476*G476</f>
        <v>0</v>
      </c>
    </row>
    <row r="477" spans="1:11" ht="12.75">
      <c r="A477" s="39"/>
      <c r="B477" s="40"/>
      <c r="C477" s="40"/>
      <c r="D477" s="41" t="s">
        <v>863</v>
      </c>
      <c r="E477" s="40"/>
      <c r="F477" s="42">
        <v>61.45</v>
      </c>
      <c r="G477" s="40"/>
      <c r="H477" s="40"/>
      <c r="I477" s="43"/>
      <c r="J477" s="43"/>
      <c r="K477" s="40"/>
    </row>
    <row r="478" spans="1:60" ht="12.75">
      <c r="A478" s="44" t="s">
        <v>864</v>
      </c>
      <c r="B478" s="44"/>
      <c r="C478" s="44" t="s">
        <v>865</v>
      </c>
      <c r="D478" s="45" t="s">
        <v>866</v>
      </c>
      <c r="E478" s="44" t="s">
        <v>239</v>
      </c>
      <c r="F478" s="46">
        <v>7.11</v>
      </c>
      <c r="G478" s="423"/>
      <c r="H478" s="47">
        <f>F478*G478</f>
        <v>0</v>
      </c>
      <c r="I478" s="48">
        <v>0</v>
      </c>
      <c r="J478" s="48">
        <f>F478*I478</f>
        <v>0</v>
      </c>
      <c r="K478" s="49" t="s">
        <v>94</v>
      </c>
      <c r="X478" s="37">
        <f>IF(AO478="5",BH478,0)</f>
        <v>0</v>
      </c>
      <c r="Z478" s="37">
        <f>IF(AO478="1",BF478,0)</f>
        <v>0</v>
      </c>
      <c r="AA478" s="37">
        <f>IF(AO478="1",BG478,0)</f>
        <v>0</v>
      </c>
      <c r="AB478" s="37">
        <f>IF(AO478="7",BF478,0)</f>
        <v>0</v>
      </c>
      <c r="AC478" s="37">
        <f>IF(AO478="7",BG478,0)</f>
        <v>0</v>
      </c>
      <c r="AD478" s="37">
        <f>IF(AO478="2",BF478,0)</f>
        <v>0</v>
      </c>
      <c r="AE478" s="37">
        <f>IF(AO478="2",BG478,0)</f>
        <v>0</v>
      </c>
      <c r="AF478" s="37">
        <f>IF(AO478="0",BH478,0)</f>
        <v>0</v>
      </c>
      <c r="AG478" s="23"/>
      <c r="AH478" s="37">
        <f>IF(AL478=0,H478,0)</f>
        <v>0</v>
      </c>
      <c r="AI478" s="37">
        <f>IF(AL478=15,H478,0)</f>
        <v>0</v>
      </c>
      <c r="AJ478" s="37">
        <f>IF(AL478=21,H478,0)</f>
        <v>0</v>
      </c>
      <c r="AL478" s="37">
        <v>21</v>
      </c>
      <c r="AM478" s="37">
        <f>G478*0</f>
        <v>0</v>
      </c>
      <c r="AN478" s="37">
        <f>G478*(1-0)</f>
        <v>0</v>
      </c>
      <c r="AO478" s="38" t="s">
        <v>118</v>
      </c>
      <c r="AT478" s="37">
        <f>AU478+AV478</f>
        <v>0</v>
      </c>
      <c r="AU478" s="37">
        <f>F478*AM478</f>
        <v>0</v>
      </c>
      <c r="AV478" s="37">
        <f>F478*AN478</f>
        <v>0</v>
      </c>
      <c r="AW478" s="38" t="s">
        <v>841</v>
      </c>
      <c r="AX478" s="38" t="s">
        <v>782</v>
      </c>
      <c r="AY478" s="23" t="s">
        <v>97</v>
      </c>
      <c r="BA478" s="37">
        <f>AU478+AV478</f>
        <v>0</v>
      </c>
      <c r="BB478" s="37">
        <f>G478/(100-BC478)*100</f>
        <v>0</v>
      </c>
      <c r="BC478" s="37">
        <v>0</v>
      </c>
      <c r="BD478" s="37">
        <f>J478</f>
        <v>0</v>
      </c>
      <c r="BF478" s="37">
        <f>F478*AM478</f>
        <v>0</v>
      </c>
      <c r="BG478" s="37">
        <f>F478*AN478</f>
        <v>0</v>
      </c>
      <c r="BH478" s="37">
        <f>F478*G478</f>
        <v>0</v>
      </c>
    </row>
    <row r="479" spans="1:11" ht="12.75">
      <c r="A479" s="50"/>
      <c r="B479" s="51"/>
      <c r="C479" s="51"/>
      <c r="D479" s="52" t="s">
        <v>867</v>
      </c>
      <c r="E479" s="51"/>
      <c r="F479" s="53">
        <v>7.11</v>
      </c>
      <c r="G479" s="51"/>
      <c r="H479" s="51"/>
      <c r="I479" s="54"/>
      <c r="J479" s="54"/>
      <c r="K479" s="51"/>
    </row>
    <row r="480" spans="1:45" ht="12.75">
      <c r="A480" s="24"/>
      <c r="B480" s="25"/>
      <c r="C480" s="25" t="s">
        <v>868</v>
      </c>
      <c r="D480" s="26" t="s">
        <v>869</v>
      </c>
      <c r="E480" s="24" t="s">
        <v>54</v>
      </c>
      <c r="F480" s="24" t="s">
        <v>54</v>
      </c>
      <c r="G480" s="24" t="s">
        <v>54</v>
      </c>
      <c r="H480" s="27">
        <f>SUM(H481:H541)</f>
        <v>0</v>
      </c>
      <c r="I480" s="28"/>
      <c r="J480" s="28">
        <f>SUM(J481:J541)</f>
        <v>26.548752755000002</v>
      </c>
      <c r="K480" s="29"/>
      <c r="AG480" s="23"/>
      <c r="AQ480" s="31">
        <f>SUM(AH481:AH541)</f>
        <v>0</v>
      </c>
      <c r="AR480" s="31">
        <f>SUM(AI481:AI541)</f>
        <v>0</v>
      </c>
      <c r="AS480" s="31">
        <f>SUM(AJ481:AJ541)</f>
        <v>0</v>
      </c>
    </row>
    <row r="481" spans="1:60" ht="25.5">
      <c r="A481" s="16" t="s">
        <v>870</v>
      </c>
      <c r="B481" s="16"/>
      <c r="C481" s="16" t="s">
        <v>871</v>
      </c>
      <c r="D481" s="32" t="s">
        <v>872</v>
      </c>
      <c r="E481" s="16" t="s">
        <v>192</v>
      </c>
      <c r="F481" s="33">
        <v>669.72</v>
      </c>
      <c r="G481" s="422"/>
      <c r="H481" s="34">
        <f>F481*G481</f>
        <v>0</v>
      </c>
      <c r="I481" s="35">
        <v>0.00204</v>
      </c>
      <c r="J481" s="35">
        <f>F481*I481</f>
        <v>1.3662288000000002</v>
      </c>
      <c r="K481" s="36" t="s">
        <v>94</v>
      </c>
      <c r="X481" s="37">
        <f>IF(AO481="5",BH481,0)</f>
        <v>0</v>
      </c>
      <c r="Z481" s="37">
        <f>IF(AO481="1",BF481,0)</f>
        <v>0</v>
      </c>
      <c r="AA481" s="37">
        <f>IF(AO481="1",BG481,0)</f>
        <v>0</v>
      </c>
      <c r="AB481" s="37">
        <f>IF(AO481="7",BF481,0)</f>
        <v>0</v>
      </c>
      <c r="AC481" s="37">
        <f>IF(AO481="7",BG481,0)</f>
        <v>0</v>
      </c>
      <c r="AD481" s="37">
        <f>IF(AO481="2",BF481,0)</f>
        <v>0</v>
      </c>
      <c r="AE481" s="37">
        <f>IF(AO481="2",BG481,0)</f>
        <v>0</v>
      </c>
      <c r="AF481" s="37">
        <f>IF(AO481="0",BH481,0)</f>
        <v>0</v>
      </c>
      <c r="AG481" s="23"/>
      <c r="AH481" s="37">
        <f>IF(AL481=0,H481,0)</f>
        <v>0</v>
      </c>
      <c r="AI481" s="37">
        <f>IF(AL481=15,H481,0)</f>
        <v>0</v>
      </c>
      <c r="AJ481" s="37">
        <f>IF(AL481=21,H481,0)</f>
        <v>0</v>
      </c>
      <c r="AL481" s="37">
        <v>21</v>
      </c>
      <c r="AM481" s="37">
        <f>G481*0.86493828419062</f>
        <v>0</v>
      </c>
      <c r="AN481" s="37">
        <f>G481*(1-0.86493828419062)</f>
        <v>0</v>
      </c>
      <c r="AO481" s="38" t="s">
        <v>136</v>
      </c>
      <c r="AT481" s="37">
        <f>AU481+AV481</f>
        <v>0</v>
      </c>
      <c r="AU481" s="37">
        <f>F481*AM481</f>
        <v>0</v>
      </c>
      <c r="AV481" s="37">
        <f>F481*AN481</f>
        <v>0</v>
      </c>
      <c r="AW481" s="38" t="s">
        <v>873</v>
      </c>
      <c r="AX481" s="38" t="s">
        <v>782</v>
      </c>
      <c r="AY481" s="23" t="s">
        <v>97</v>
      </c>
      <c r="BA481" s="37">
        <f>AU481+AV481</f>
        <v>0</v>
      </c>
      <c r="BB481" s="37">
        <f>G481/(100-BC481)*100</f>
        <v>0</v>
      </c>
      <c r="BC481" s="37">
        <v>0</v>
      </c>
      <c r="BD481" s="37">
        <f>J481</f>
        <v>1.3662288000000002</v>
      </c>
      <c r="BF481" s="37">
        <f>F481*AM481</f>
        <v>0</v>
      </c>
      <c r="BG481" s="37">
        <f>F481*AN481</f>
        <v>0</v>
      </c>
      <c r="BH481" s="37">
        <f>F481*G481</f>
        <v>0</v>
      </c>
    </row>
    <row r="482" spans="1:11" ht="12.75">
      <c r="A482" s="39"/>
      <c r="B482" s="40"/>
      <c r="C482" s="40"/>
      <c r="D482" s="41" t="s">
        <v>874</v>
      </c>
      <c r="E482" s="40"/>
      <c r="F482" s="42">
        <v>669.72</v>
      </c>
      <c r="G482" s="40"/>
      <c r="H482" s="40"/>
      <c r="I482" s="43"/>
      <c r="J482" s="43"/>
      <c r="K482" s="40"/>
    </row>
    <row r="483" spans="1:60" ht="25.5">
      <c r="A483" s="16" t="s">
        <v>875</v>
      </c>
      <c r="B483" s="16"/>
      <c r="C483" s="16" t="s">
        <v>876</v>
      </c>
      <c r="D483" s="32" t="s">
        <v>877</v>
      </c>
      <c r="E483" s="16" t="s">
        <v>192</v>
      </c>
      <c r="F483" s="33">
        <v>5.464</v>
      </c>
      <c r="G483" s="422"/>
      <c r="H483" s="34">
        <f>F483*G483</f>
        <v>0</v>
      </c>
      <c r="I483" s="35">
        <v>0.00357</v>
      </c>
      <c r="J483" s="35">
        <f>F483*I483</f>
        <v>0.01950648</v>
      </c>
      <c r="K483" s="36" t="s">
        <v>94</v>
      </c>
      <c r="X483" s="37">
        <f>IF(AO483="5",BH483,0)</f>
        <v>0</v>
      </c>
      <c r="Z483" s="37">
        <f>IF(AO483="1",BF483,0)</f>
        <v>0</v>
      </c>
      <c r="AA483" s="37">
        <f>IF(AO483="1",BG483,0)</f>
        <v>0</v>
      </c>
      <c r="AB483" s="37">
        <f>IF(AO483="7",BF483,0)</f>
        <v>0</v>
      </c>
      <c r="AC483" s="37">
        <f>IF(AO483="7",BG483,0)</f>
        <v>0</v>
      </c>
      <c r="AD483" s="37">
        <f>IF(AO483="2",BF483,0)</f>
        <v>0</v>
      </c>
      <c r="AE483" s="37">
        <f>IF(AO483="2",BG483,0)</f>
        <v>0</v>
      </c>
      <c r="AF483" s="37">
        <f>IF(AO483="0",BH483,0)</f>
        <v>0</v>
      </c>
      <c r="AG483" s="23"/>
      <c r="AH483" s="37">
        <f>IF(AL483=0,H483,0)</f>
        <v>0</v>
      </c>
      <c r="AI483" s="37">
        <f>IF(AL483=15,H483,0)</f>
        <v>0</v>
      </c>
      <c r="AJ483" s="37">
        <f>IF(AL483=21,H483,0)</f>
        <v>0</v>
      </c>
      <c r="AL483" s="37">
        <v>21</v>
      </c>
      <c r="AM483" s="37">
        <f>G483*0.77931164556962</f>
        <v>0</v>
      </c>
      <c r="AN483" s="37">
        <f>G483*(1-0.77931164556962)</f>
        <v>0</v>
      </c>
      <c r="AO483" s="38" t="s">
        <v>136</v>
      </c>
      <c r="AT483" s="37">
        <f>AU483+AV483</f>
        <v>0</v>
      </c>
      <c r="AU483" s="37">
        <f>F483*AM483</f>
        <v>0</v>
      </c>
      <c r="AV483" s="37">
        <f>F483*AN483</f>
        <v>0</v>
      </c>
      <c r="AW483" s="38" t="s">
        <v>873</v>
      </c>
      <c r="AX483" s="38" t="s">
        <v>782</v>
      </c>
      <c r="AY483" s="23" t="s">
        <v>97</v>
      </c>
      <c r="BA483" s="37">
        <f>AU483+AV483</f>
        <v>0</v>
      </c>
      <c r="BB483" s="37">
        <f>G483/(100-BC483)*100</f>
        <v>0</v>
      </c>
      <c r="BC483" s="37">
        <v>0</v>
      </c>
      <c r="BD483" s="37">
        <f>J483</f>
        <v>0.01950648</v>
      </c>
      <c r="BF483" s="37">
        <f>F483*AM483</f>
        <v>0</v>
      </c>
      <c r="BG483" s="37">
        <f>F483*AN483</f>
        <v>0</v>
      </c>
      <c r="BH483" s="37">
        <f>F483*G483</f>
        <v>0</v>
      </c>
    </row>
    <row r="484" spans="1:11" ht="12.75">
      <c r="A484" s="39"/>
      <c r="B484" s="40"/>
      <c r="C484" s="40"/>
      <c r="D484" s="41" t="s">
        <v>878</v>
      </c>
      <c r="E484" s="40"/>
      <c r="F484" s="42">
        <v>5.464</v>
      </c>
      <c r="G484" s="40"/>
      <c r="H484" s="40"/>
      <c r="I484" s="43"/>
      <c r="J484" s="43"/>
      <c r="K484" s="40"/>
    </row>
    <row r="485" spans="1:60" ht="12.75">
      <c r="A485" s="16" t="s">
        <v>879</v>
      </c>
      <c r="B485" s="16"/>
      <c r="C485" s="16" t="s">
        <v>880</v>
      </c>
      <c r="D485" s="32" t="s">
        <v>881</v>
      </c>
      <c r="E485" s="16" t="s">
        <v>192</v>
      </c>
      <c r="F485" s="33">
        <v>1265.9</v>
      </c>
      <c r="G485" s="422"/>
      <c r="H485" s="34">
        <f>F485*G485</f>
        <v>0</v>
      </c>
      <c r="I485" s="35">
        <v>1E-05</v>
      </c>
      <c r="J485" s="35">
        <f>F485*I485</f>
        <v>0.012659000000000002</v>
      </c>
      <c r="K485" s="36" t="s">
        <v>94</v>
      </c>
      <c r="X485" s="37">
        <f>IF(AO485="5",BH485,0)</f>
        <v>0</v>
      </c>
      <c r="Z485" s="37">
        <f>IF(AO485="1",BF485,0)</f>
        <v>0</v>
      </c>
      <c r="AA485" s="37">
        <f>IF(AO485="1",BG485,0)</f>
        <v>0</v>
      </c>
      <c r="AB485" s="37">
        <f>IF(AO485="7",BF485,0)</f>
        <v>0</v>
      </c>
      <c r="AC485" s="37">
        <f>IF(AO485="7",BG485,0)</f>
        <v>0</v>
      </c>
      <c r="AD485" s="37">
        <f>IF(AO485="2",BF485,0)</f>
        <v>0</v>
      </c>
      <c r="AE485" s="37">
        <f>IF(AO485="2",BG485,0)</f>
        <v>0</v>
      </c>
      <c r="AF485" s="37">
        <f>IF(AO485="0",BH485,0)</f>
        <v>0</v>
      </c>
      <c r="AG485" s="23"/>
      <c r="AH485" s="37">
        <f>IF(AL485=0,H485,0)</f>
        <v>0</v>
      </c>
      <c r="AI485" s="37">
        <f>IF(AL485=15,H485,0)</f>
        <v>0</v>
      </c>
      <c r="AJ485" s="37">
        <f>IF(AL485=21,H485,0)</f>
        <v>0</v>
      </c>
      <c r="AL485" s="37">
        <v>21</v>
      </c>
      <c r="AM485" s="37">
        <f>G485*0.160110255272815</f>
        <v>0</v>
      </c>
      <c r="AN485" s="37">
        <f>G485*(1-0.160110255272815)</f>
        <v>0</v>
      </c>
      <c r="AO485" s="38" t="s">
        <v>136</v>
      </c>
      <c r="AT485" s="37">
        <f>AU485+AV485</f>
        <v>0</v>
      </c>
      <c r="AU485" s="37">
        <f>F485*AM485</f>
        <v>0</v>
      </c>
      <c r="AV485" s="37">
        <f>F485*AN485</f>
        <v>0</v>
      </c>
      <c r="AW485" s="38" t="s">
        <v>873</v>
      </c>
      <c r="AX485" s="38" t="s">
        <v>782</v>
      </c>
      <c r="AY485" s="23" t="s">
        <v>97</v>
      </c>
      <c r="BA485" s="37">
        <f>AU485+AV485</f>
        <v>0</v>
      </c>
      <c r="BB485" s="37">
        <f>G485/(100-BC485)*100</f>
        <v>0</v>
      </c>
      <c r="BC485" s="37">
        <v>0</v>
      </c>
      <c r="BD485" s="37">
        <f>J485</f>
        <v>0.012659000000000002</v>
      </c>
      <c r="BF485" s="37">
        <f>F485*AM485</f>
        <v>0</v>
      </c>
      <c r="BG485" s="37">
        <f>F485*AN485</f>
        <v>0</v>
      </c>
      <c r="BH485" s="37">
        <f>F485*G485</f>
        <v>0</v>
      </c>
    </row>
    <row r="486" spans="1:11" ht="12.75">
      <c r="A486" s="39"/>
      <c r="B486" s="40"/>
      <c r="C486" s="40"/>
      <c r="D486" s="41" t="s">
        <v>874</v>
      </c>
      <c r="E486" s="40"/>
      <c r="F486" s="42">
        <v>669.72</v>
      </c>
      <c r="G486" s="40"/>
      <c r="H486" s="40"/>
      <c r="I486" s="43"/>
      <c r="J486" s="43"/>
      <c r="K486" s="40"/>
    </row>
    <row r="487" spans="1:11" ht="12.75">
      <c r="A487" s="39"/>
      <c r="B487" s="40"/>
      <c r="C487" s="40"/>
      <c r="D487" s="41" t="s">
        <v>882</v>
      </c>
      <c r="E487" s="40"/>
      <c r="F487" s="42">
        <v>391.27</v>
      </c>
      <c r="G487" s="40"/>
      <c r="H487" s="40"/>
      <c r="I487" s="43"/>
      <c r="J487" s="43"/>
      <c r="K487" s="40"/>
    </row>
    <row r="488" spans="1:11" ht="12.75">
      <c r="A488" s="39"/>
      <c r="B488" s="40"/>
      <c r="C488" s="40"/>
      <c r="D488" s="41" t="s">
        <v>883</v>
      </c>
      <c r="E488" s="40"/>
      <c r="F488" s="42">
        <v>204.91</v>
      </c>
      <c r="G488" s="40"/>
      <c r="H488" s="40"/>
      <c r="I488" s="43"/>
      <c r="J488" s="43"/>
      <c r="K488" s="40"/>
    </row>
    <row r="489" spans="1:60" ht="12.75">
      <c r="A489" s="16" t="s">
        <v>884</v>
      </c>
      <c r="B489" s="16"/>
      <c r="C489" s="16" t="s">
        <v>885</v>
      </c>
      <c r="D489" s="32" t="s">
        <v>886</v>
      </c>
      <c r="E489" s="16" t="s">
        <v>192</v>
      </c>
      <c r="F489" s="33">
        <v>813.345</v>
      </c>
      <c r="G489" s="422"/>
      <c r="H489" s="34">
        <f>F489*G489</f>
        <v>0</v>
      </c>
      <c r="I489" s="35">
        <v>0.003</v>
      </c>
      <c r="J489" s="35">
        <f>F489*I489</f>
        <v>2.440035</v>
      </c>
      <c r="K489" s="36" t="s">
        <v>94</v>
      </c>
      <c r="X489" s="37">
        <f>IF(AO489="5",BH489,0)</f>
        <v>0</v>
      </c>
      <c r="Z489" s="37">
        <f>IF(AO489="1",BF489,0)</f>
        <v>0</v>
      </c>
      <c r="AA489" s="37">
        <f>IF(AO489="1",BG489,0)</f>
        <v>0</v>
      </c>
      <c r="AB489" s="37">
        <f>IF(AO489="7",BF489,0)</f>
        <v>0</v>
      </c>
      <c r="AC489" s="37">
        <f>IF(AO489="7",BG489,0)</f>
        <v>0</v>
      </c>
      <c r="AD489" s="37">
        <f>IF(AO489="2",BF489,0)</f>
        <v>0</v>
      </c>
      <c r="AE489" s="37">
        <f>IF(AO489="2",BG489,0)</f>
        <v>0</v>
      </c>
      <c r="AF489" s="37">
        <f>IF(AO489="0",BH489,0)</f>
        <v>0</v>
      </c>
      <c r="AG489" s="23"/>
      <c r="AH489" s="37">
        <f>IF(AL489=0,H489,0)</f>
        <v>0</v>
      </c>
      <c r="AI489" s="37">
        <f>IF(AL489=15,H489,0)</f>
        <v>0</v>
      </c>
      <c r="AJ489" s="37">
        <f>IF(AL489=21,H489,0)</f>
        <v>0</v>
      </c>
      <c r="AL489" s="37">
        <v>21</v>
      </c>
      <c r="AM489" s="37">
        <f>G489*0.200967227898404</f>
        <v>0</v>
      </c>
      <c r="AN489" s="37">
        <f>G489*(1-0.200967227898404)</f>
        <v>0</v>
      </c>
      <c r="AO489" s="38" t="s">
        <v>136</v>
      </c>
      <c r="AT489" s="37">
        <f>AU489+AV489</f>
        <v>0</v>
      </c>
      <c r="AU489" s="37">
        <f>F489*AM489</f>
        <v>0</v>
      </c>
      <c r="AV489" s="37">
        <f>F489*AN489</f>
        <v>0</v>
      </c>
      <c r="AW489" s="38" t="s">
        <v>873</v>
      </c>
      <c r="AX489" s="38" t="s">
        <v>782</v>
      </c>
      <c r="AY489" s="23" t="s">
        <v>97</v>
      </c>
      <c r="BA489" s="37">
        <f>AU489+AV489</f>
        <v>0</v>
      </c>
      <c r="BB489" s="37">
        <f>G489/(100-BC489)*100</f>
        <v>0</v>
      </c>
      <c r="BC489" s="37">
        <v>0</v>
      </c>
      <c r="BD489" s="37">
        <f>J489</f>
        <v>2.440035</v>
      </c>
      <c r="BF489" s="37">
        <f>F489*AM489</f>
        <v>0</v>
      </c>
      <c r="BG489" s="37">
        <f>F489*AN489</f>
        <v>0</v>
      </c>
      <c r="BH489" s="37">
        <f>F489*G489</f>
        <v>0</v>
      </c>
    </row>
    <row r="490" spans="1:11" ht="12.75">
      <c r="A490" s="39"/>
      <c r="B490" s="40"/>
      <c r="C490" s="40"/>
      <c r="D490" s="41" t="s">
        <v>887</v>
      </c>
      <c r="E490" s="40"/>
      <c r="F490" s="42">
        <v>813.345</v>
      </c>
      <c r="G490" s="40"/>
      <c r="H490" s="40"/>
      <c r="I490" s="43"/>
      <c r="J490" s="43"/>
      <c r="K490" s="40"/>
    </row>
    <row r="491" spans="1:60" ht="12.75">
      <c r="A491" s="16" t="s">
        <v>888</v>
      </c>
      <c r="B491" s="16"/>
      <c r="C491" s="16" t="s">
        <v>889</v>
      </c>
      <c r="D491" s="32" t="s">
        <v>890</v>
      </c>
      <c r="E491" s="16" t="s">
        <v>192</v>
      </c>
      <c r="F491" s="33">
        <v>935.346</v>
      </c>
      <c r="G491" s="422"/>
      <c r="H491" s="34">
        <f>F491*G491</f>
        <v>0</v>
      </c>
      <c r="I491" s="35">
        <v>0.007</v>
      </c>
      <c r="J491" s="35">
        <f>F491*I491</f>
        <v>6.547422</v>
      </c>
      <c r="K491" s="36" t="s">
        <v>94</v>
      </c>
      <c r="X491" s="37">
        <f>IF(AO491="5",BH491,0)</f>
        <v>0</v>
      </c>
      <c r="Z491" s="37">
        <f>IF(AO491="1",BF491,0)</f>
        <v>0</v>
      </c>
      <c r="AA491" s="37">
        <f>IF(AO491="1",BG491,0)</f>
        <v>0</v>
      </c>
      <c r="AB491" s="37">
        <f>IF(AO491="7",BF491,0)</f>
        <v>0</v>
      </c>
      <c r="AC491" s="37">
        <f>IF(AO491="7",BG491,0)</f>
        <v>0</v>
      </c>
      <c r="AD491" s="37">
        <f>IF(AO491="2",BF491,0)</f>
        <v>0</v>
      </c>
      <c r="AE491" s="37">
        <f>IF(AO491="2",BG491,0)</f>
        <v>0</v>
      </c>
      <c r="AF491" s="37">
        <f>IF(AO491="0",BH491,0)</f>
        <v>0</v>
      </c>
      <c r="AG491" s="23"/>
      <c r="AH491" s="37">
        <f>IF(AL491=0,H491,0)</f>
        <v>0</v>
      </c>
      <c r="AI491" s="37">
        <f>IF(AL491=15,H491,0)</f>
        <v>0</v>
      </c>
      <c r="AJ491" s="37">
        <f>IF(AL491=21,H491,0)</f>
        <v>0</v>
      </c>
      <c r="AL491" s="37">
        <v>21</v>
      </c>
      <c r="AM491" s="37">
        <f>G491*1</f>
        <v>0</v>
      </c>
      <c r="AN491" s="37">
        <f>G491*(1-1)</f>
        <v>0</v>
      </c>
      <c r="AO491" s="38" t="s">
        <v>136</v>
      </c>
      <c r="AT491" s="37">
        <f>AU491+AV491</f>
        <v>0</v>
      </c>
      <c r="AU491" s="37">
        <f>F491*AM491</f>
        <v>0</v>
      </c>
      <c r="AV491" s="37">
        <f>F491*AN491</f>
        <v>0</v>
      </c>
      <c r="AW491" s="38" t="s">
        <v>873</v>
      </c>
      <c r="AX491" s="38" t="s">
        <v>782</v>
      </c>
      <c r="AY491" s="23" t="s">
        <v>97</v>
      </c>
      <c r="BA491" s="37">
        <f>AU491+AV491</f>
        <v>0</v>
      </c>
      <c r="BB491" s="37">
        <f>G491/(100-BC491)*100</f>
        <v>0</v>
      </c>
      <c r="BC491" s="37">
        <v>0</v>
      </c>
      <c r="BD491" s="37">
        <f>J491</f>
        <v>6.547422</v>
      </c>
      <c r="BF491" s="37">
        <f>F491*AM491</f>
        <v>0</v>
      </c>
      <c r="BG491" s="37">
        <f>F491*AN491</f>
        <v>0</v>
      </c>
      <c r="BH491" s="37">
        <f>F491*G491</f>
        <v>0</v>
      </c>
    </row>
    <row r="492" spans="1:11" ht="12.75">
      <c r="A492" s="39"/>
      <c r="B492" s="40"/>
      <c r="C492" s="40"/>
      <c r="D492" s="41" t="s">
        <v>891</v>
      </c>
      <c r="E492" s="40"/>
      <c r="F492" s="42">
        <v>935.346</v>
      </c>
      <c r="G492" s="40"/>
      <c r="H492" s="40"/>
      <c r="I492" s="43"/>
      <c r="J492" s="43"/>
      <c r="K492" s="40"/>
    </row>
    <row r="493" spans="1:60" ht="12.75">
      <c r="A493" s="16" t="s">
        <v>892</v>
      </c>
      <c r="B493" s="16"/>
      <c r="C493" s="16" t="s">
        <v>893</v>
      </c>
      <c r="D493" s="32" t="s">
        <v>894</v>
      </c>
      <c r="E493" s="16" t="s">
        <v>192</v>
      </c>
      <c r="F493" s="33">
        <v>159.663</v>
      </c>
      <c r="G493" s="422"/>
      <c r="H493" s="34">
        <f>F493*G493</f>
        <v>0</v>
      </c>
      <c r="I493" s="35">
        <v>0</v>
      </c>
      <c r="J493" s="35">
        <f>F493*I493</f>
        <v>0</v>
      </c>
      <c r="K493" s="36" t="s">
        <v>94</v>
      </c>
      <c r="X493" s="37">
        <f>IF(AO493="5",BH493,0)</f>
        <v>0</v>
      </c>
      <c r="Z493" s="37">
        <f>IF(AO493="1",BF493,0)</f>
        <v>0</v>
      </c>
      <c r="AA493" s="37">
        <f>IF(AO493="1",BG493,0)</f>
        <v>0</v>
      </c>
      <c r="AB493" s="37">
        <f>IF(AO493="7",BF493,0)</f>
        <v>0</v>
      </c>
      <c r="AC493" s="37">
        <f>IF(AO493="7",BG493,0)</f>
        <v>0</v>
      </c>
      <c r="AD493" s="37">
        <f>IF(AO493="2",BF493,0)</f>
        <v>0</v>
      </c>
      <c r="AE493" s="37">
        <f>IF(AO493="2",BG493,0)</f>
        <v>0</v>
      </c>
      <c r="AF493" s="37">
        <f>IF(AO493="0",BH493,0)</f>
        <v>0</v>
      </c>
      <c r="AG493" s="23"/>
      <c r="AH493" s="37">
        <f>IF(AL493=0,H493,0)</f>
        <v>0</v>
      </c>
      <c r="AI493" s="37">
        <f>IF(AL493=15,H493,0)</f>
        <v>0</v>
      </c>
      <c r="AJ493" s="37">
        <f>IF(AL493=21,H493,0)</f>
        <v>0</v>
      </c>
      <c r="AL493" s="37">
        <v>21</v>
      </c>
      <c r="AM493" s="37">
        <f>G493*0.306309493357538</f>
        <v>0</v>
      </c>
      <c r="AN493" s="37">
        <f>G493*(1-0.306309493357538)</f>
        <v>0</v>
      </c>
      <c r="AO493" s="38" t="s">
        <v>136</v>
      </c>
      <c r="AT493" s="37">
        <f>AU493+AV493</f>
        <v>0</v>
      </c>
      <c r="AU493" s="37">
        <f>F493*AM493</f>
        <v>0</v>
      </c>
      <c r="AV493" s="37">
        <f>F493*AN493</f>
        <v>0</v>
      </c>
      <c r="AW493" s="38" t="s">
        <v>873</v>
      </c>
      <c r="AX493" s="38" t="s">
        <v>782</v>
      </c>
      <c r="AY493" s="23" t="s">
        <v>97</v>
      </c>
      <c r="BA493" s="37">
        <f>AU493+AV493</f>
        <v>0</v>
      </c>
      <c r="BB493" s="37">
        <f>G493/(100-BC493)*100</f>
        <v>0</v>
      </c>
      <c r="BC493" s="37">
        <v>0</v>
      </c>
      <c r="BD493" s="37">
        <f>J493</f>
        <v>0</v>
      </c>
      <c r="BF493" s="37">
        <f>F493*AM493</f>
        <v>0</v>
      </c>
      <c r="BG493" s="37">
        <f>F493*AN493</f>
        <v>0</v>
      </c>
      <c r="BH493" s="37">
        <f>F493*G493</f>
        <v>0</v>
      </c>
    </row>
    <row r="494" spans="1:11" ht="12.75">
      <c r="A494" s="39"/>
      <c r="B494" s="40"/>
      <c r="C494" s="40"/>
      <c r="D494" s="41" t="s">
        <v>895</v>
      </c>
      <c r="E494" s="40"/>
      <c r="F494" s="42">
        <v>159.663</v>
      </c>
      <c r="G494" s="40"/>
      <c r="H494" s="40"/>
      <c r="I494" s="43"/>
      <c r="J494" s="43"/>
      <c r="K494" s="40"/>
    </row>
    <row r="495" spans="1:60" ht="12.75">
      <c r="A495" s="16" t="s">
        <v>896</v>
      </c>
      <c r="B495" s="16"/>
      <c r="C495" s="16" t="s">
        <v>897</v>
      </c>
      <c r="D495" s="32" t="s">
        <v>898</v>
      </c>
      <c r="E495" s="16" t="s">
        <v>102</v>
      </c>
      <c r="F495" s="33">
        <v>34.886</v>
      </c>
      <c r="G495" s="422"/>
      <c r="H495" s="34">
        <f>F495*G495</f>
        <v>0</v>
      </c>
      <c r="I495" s="35">
        <v>0.02</v>
      </c>
      <c r="J495" s="35">
        <f>F495*I495</f>
        <v>0.6977200000000001</v>
      </c>
      <c r="K495" s="36" t="s">
        <v>94</v>
      </c>
      <c r="X495" s="37">
        <f>IF(AO495="5",BH495,0)</f>
        <v>0</v>
      </c>
      <c r="Z495" s="37">
        <f>IF(AO495="1",BF495,0)</f>
        <v>0</v>
      </c>
      <c r="AA495" s="37">
        <f>IF(AO495="1",BG495,0)</f>
        <v>0</v>
      </c>
      <c r="AB495" s="37">
        <f>IF(AO495="7",BF495,0)</f>
        <v>0</v>
      </c>
      <c r="AC495" s="37">
        <f>IF(AO495="7",BG495,0)</f>
        <v>0</v>
      </c>
      <c r="AD495" s="37">
        <f>IF(AO495="2",BF495,0)</f>
        <v>0</v>
      </c>
      <c r="AE495" s="37">
        <f>IF(AO495="2",BG495,0)</f>
        <v>0</v>
      </c>
      <c r="AF495" s="37">
        <f>IF(AO495="0",BH495,0)</f>
        <v>0</v>
      </c>
      <c r="AG495" s="23"/>
      <c r="AH495" s="37">
        <f>IF(AL495=0,H495,0)</f>
        <v>0</v>
      </c>
      <c r="AI495" s="37">
        <f>IF(AL495=15,H495,0)</f>
        <v>0</v>
      </c>
      <c r="AJ495" s="37">
        <f>IF(AL495=21,H495,0)</f>
        <v>0</v>
      </c>
      <c r="AL495" s="37">
        <v>21</v>
      </c>
      <c r="AM495" s="37">
        <f>G495*1</f>
        <v>0</v>
      </c>
      <c r="AN495" s="37">
        <f>G495*(1-1)</f>
        <v>0</v>
      </c>
      <c r="AO495" s="38" t="s">
        <v>136</v>
      </c>
      <c r="AT495" s="37">
        <f>AU495+AV495</f>
        <v>0</v>
      </c>
      <c r="AU495" s="37">
        <f>F495*AM495</f>
        <v>0</v>
      </c>
      <c r="AV495" s="37">
        <f>F495*AN495</f>
        <v>0</v>
      </c>
      <c r="AW495" s="38" t="s">
        <v>873</v>
      </c>
      <c r="AX495" s="38" t="s">
        <v>782</v>
      </c>
      <c r="AY495" s="23" t="s">
        <v>97</v>
      </c>
      <c r="BA495" s="37">
        <f>AU495+AV495</f>
        <v>0</v>
      </c>
      <c r="BB495" s="37">
        <f>G495/(100-BC495)*100</f>
        <v>0</v>
      </c>
      <c r="BC495" s="37">
        <v>0</v>
      </c>
      <c r="BD495" s="37">
        <f>J495</f>
        <v>0.6977200000000001</v>
      </c>
      <c r="BF495" s="37">
        <f>F495*AM495</f>
        <v>0</v>
      </c>
      <c r="BG495" s="37">
        <f>F495*AN495</f>
        <v>0</v>
      </c>
      <c r="BH495" s="37">
        <f>F495*G495</f>
        <v>0</v>
      </c>
    </row>
    <row r="496" spans="1:11" ht="12.75">
      <c r="A496" s="39"/>
      <c r="B496" s="40"/>
      <c r="C496" s="40"/>
      <c r="D496" s="41" t="s">
        <v>899</v>
      </c>
      <c r="E496" s="40"/>
      <c r="F496" s="42">
        <v>34.886</v>
      </c>
      <c r="G496" s="40"/>
      <c r="H496" s="40"/>
      <c r="I496" s="43"/>
      <c r="J496" s="43"/>
      <c r="K496" s="40"/>
    </row>
    <row r="497" spans="1:60" ht="12.75">
      <c r="A497" s="16" t="s">
        <v>900</v>
      </c>
      <c r="B497" s="16"/>
      <c r="C497" s="16" t="s">
        <v>901</v>
      </c>
      <c r="D497" s="32" t="s">
        <v>902</v>
      </c>
      <c r="E497" s="16" t="s">
        <v>102</v>
      </c>
      <c r="F497" s="33">
        <v>14.689</v>
      </c>
      <c r="G497" s="422"/>
      <c r="H497" s="34">
        <f>F497*G497</f>
        <v>0</v>
      </c>
      <c r="I497" s="35">
        <v>0.02</v>
      </c>
      <c r="J497" s="35">
        <f>F497*I497</f>
        <v>0.29378</v>
      </c>
      <c r="K497" s="36" t="s">
        <v>94</v>
      </c>
      <c r="X497" s="37">
        <f>IF(AO497="5",BH497,0)</f>
        <v>0</v>
      </c>
      <c r="Z497" s="37">
        <f>IF(AO497="1",BF497,0)</f>
        <v>0</v>
      </c>
      <c r="AA497" s="37">
        <f>IF(AO497="1",BG497,0)</f>
        <v>0</v>
      </c>
      <c r="AB497" s="37">
        <f>IF(AO497="7",BF497,0)</f>
        <v>0</v>
      </c>
      <c r="AC497" s="37">
        <f>IF(AO497="7",BG497,0)</f>
        <v>0</v>
      </c>
      <c r="AD497" s="37">
        <f>IF(AO497="2",BF497,0)</f>
        <v>0</v>
      </c>
      <c r="AE497" s="37">
        <f>IF(AO497="2",BG497,0)</f>
        <v>0</v>
      </c>
      <c r="AF497" s="37">
        <f>IF(AO497="0",BH497,0)</f>
        <v>0</v>
      </c>
      <c r="AG497" s="23"/>
      <c r="AH497" s="37">
        <f>IF(AL497=0,H497,0)</f>
        <v>0</v>
      </c>
      <c r="AI497" s="37">
        <f>IF(AL497=15,H497,0)</f>
        <v>0</v>
      </c>
      <c r="AJ497" s="37">
        <f>IF(AL497=21,H497,0)</f>
        <v>0</v>
      </c>
      <c r="AL497" s="37">
        <v>21</v>
      </c>
      <c r="AM497" s="37">
        <f>G497*1</f>
        <v>0</v>
      </c>
      <c r="AN497" s="37">
        <f>G497*(1-1)</f>
        <v>0</v>
      </c>
      <c r="AO497" s="38" t="s">
        <v>136</v>
      </c>
      <c r="AT497" s="37">
        <f>AU497+AV497</f>
        <v>0</v>
      </c>
      <c r="AU497" s="37">
        <f>F497*AM497</f>
        <v>0</v>
      </c>
      <c r="AV497" s="37">
        <f>F497*AN497</f>
        <v>0</v>
      </c>
      <c r="AW497" s="38" t="s">
        <v>873</v>
      </c>
      <c r="AX497" s="38" t="s">
        <v>782</v>
      </c>
      <c r="AY497" s="23" t="s">
        <v>97</v>
      </c>
      <c r="BA497" s="37">
        <f>AU497+AV497</f>
        <v>0</v>
      </c>
      <c r="BB497" s="37">
        <f>G497/(100-BC497)*100</f>
        <v>0</v>
      </c>
      <c r="BC497" s="37">
        <v>0</v>
      </c>
      <c r="BD497" s="37">
        <f>J497</f>
        <v>0.29378</v>
      </c>
      <c r="BF497" s="37">
        <f>F497*AM497</f>
        <v>0</v>
      </c>
      <c r="BG497" s="37">
        <f>F497*AN497</f>
        <v>0</v>
      </c>
      <c r="BH497" s="37">
        <f>F497*G497</f>
        <v>0</v>
      </c>
    </row>
    <row r="498" spans="1:11" ht="12.75">
      <c r="A498" s="39"/>
      <c r="B498" s="40"/>
      <c r="C498" s="40"/>
      <c r="D498" s="41" t="s">
        <v>903</v>
      </c>
      <c r="E498" s="40"/>
      <c r="F498" s="42">
        <v>14.689</v>
      </c>
      <c r="G498" s="40"/>
      <c r="H498" s="40"/>
      <c r="I498" s="43"/>
      <c r="J498" s="43"/>
      <c r="K498" s="40"/>
    </row>
    <row r="499" spans="1:60" ht="12.75">
      <c r="A499" s="16" t="s">
        <v>904</v>
      </c>
      <c r="B499" s="16"/>
      <c r="C499" s="16" t="s">
        <v>905</v>
      </c>
      <c r="D499" s="32" t="s">
        <v>906</v>
      </c>
      <c r="E499" s="16" t="s">
        <v>192</v>
      </c>
      <c r="F499" s="33">
        <v>159.663</v>
      </c>
      <c r="G499" s="422"/>
      <c r="H499" s="34">
        <f>F499*G499</f>
        <v>0</v>
      </c>
      <c r="I499" s="35">
        <v>0</v>
      </c>
      <c r="J499" s="35">
        <f>F499*I499</f>
        <v>0</v>
      </c>
      <c r="K499" s="36" t="s">
        <v>94</v>
      </c>
      <c r="X499" s="37">
        <f>IF(AO499="5",BH499,0)</f>
        <v>0</v>
      </c>
      <c r="Z499" s="37">
        <f>IF(AO499="1",BF499,0)</f>
        <v>0</v>
      </c>
      <c r="AA499" s="37">
        <f>IF(AO499="1",BG499,0)</f>
        <v>0</v>
      </c>
      <c r="AB499" s="37">
        <f>IF(AO499="7",BF499,0)</f>
        <v>0</v>
      </c>
      <c r="AC499" s="37">
        <f>IF(AO499="7",BG499,0)</f>
        <v>0</v>
      </c>
      <c r="AD499" s="37">
        <f>IF(AO499="2",BF499,0)</f>
        <v>0</v>
      </c>
      <c r="AE499" s="37">
        <f>IF(AO499="2",BG499,0)</f>
        <v>0</v>
      </c>
      <c r="AF499" s="37">
        <f>IF(AO499="0",BH499,0)</f>
        <v>0</v>
      </c>
      <c r="AG499" s="23"/>
      <c r="AH499" s="37">
        <f>IF(AL499=0,H499,0)</f>
        <v>0</v>
      </c>
      <c r="AI499" s="37">
        <f>IF(AL499=15,H499,0)</f>
        <v>0</v>
      </c>
      <c r="AJ499" s="37">
        <f>IF(AL499=21,H499,0)</f>
        <v>0</v>
      </c>
      <c r="AL499" s="37">
        <v>21</v>
      </c>
      <c r="AM499" s="37">
        <f>G499*0.269121317754496</f>
        <v>0</v>
      </c>
      <c r="AN499" s="37">
        <f>G499*(1-0.269121317754496)</f>
        <v>0</v>
      </c>
      <c r="AO499" s="38" t="s">
        <v>136</v>
      </c>
      <c r="AT499" s="37">
        <f>AU499+AV499</f>
        <v>0</v>
      </c>
      <c r="AU499" s="37">
        <f>F499*AM499</f>
        <v>0</v>
      </c>
      <c r="AV499" s="37">
        <f>F499*AN499</f>
        <v>0</v>
      </c>
      <c r="AW499" s="38" t="s">
        <v>873</v>
      </c>
      <c r="AX499" s="38" t="s">
        <v>782</v>
      </c>
      <c r="AY499" s="23" t="s">
        <v>97</v>
      </c>
      <c r="BA499" s="37">
        <f>AU499+AV499</f>
        <v>0</v>
      </c>
      <c r="BB499" s="37">
        <f>G499/(100-BC499)*100</f>
        <v>0</v>
      </c>
      <c r="BC499" s="37">
        <v>0</v>
      </c>
      <c r="BD499" s="37">
        <f>J499</f>
        <v>0</v>
      </c>
      <c r="BF499" s="37">
        <f>F499*AM499</f>
        <v>0</v>
      </c>
      <c r="BG499" s="37">
        <f>F499*AN499</f>
        <v>0</v>
      </c>
      <c r="BH499" s="37">
        <f>F499*G499</f>
        <v>0</v>
      </c>
    </row>
    <row r="500" spans="1:11" ht="12.75">
      <c r="A500" s="39"/>
      <c r="B500" s="40"/>
      <c r="C500" s="40"/>
      <c r="D500" s="41" t="s">
        <v>895</v>
      </c>
      <c r="E500" s="40"/>
      <c r="F500" s="42">
        <v>159.663</v>
      </c>
      <c r="G500" s="40"/>
      <c r="H500" s="40"/>
      <c r="I500" s="43"/>
      <c r="J500" s="43"/>
      <c r="K500" s="40"/>
    </row>
    <row r="501" spans="1:60" ht="12.75">
      <c r="A501" s="16" t="s">
        <v>907</v>
      </c>
      <c r="B501" s="16"/>
      <c r="C501" s="16" t="s">
        <v>908</v>
      </c>
      <c r="D501" s="32" t="s">
        <v>909</v>
      </c>
      <c r="E501" s="16" t="s">
        <v>192</v>
      </c>
      <c r="F501" s="33">
        <v>1747</v>
      </c>
      <c r="G501" s="422"/>
      <c r="H501" s="34">
        <f>F501*G501</f>
        <v>0</v>
      </c>
      <c r="I501" s="35">
        <v>0.00053</v>
      </c>
      <c r="J501" s="35">
        <f>F501*I501</f>
        <v>0.92591</v>
      </c>
      <c r="K501" s="36" t="s">
        <v>94</v>
      </c>
      <c r="X501" s="37">
        <f>IF(AO501="5",BH501,0)</f>
        <v>0</v>
      </c>
      <c r="Z501" s="37">
        <f>IF(AO501="1",BF501,0)</f>
        <v>0</v>
      </c>
      <c r="AA501" s="37">
        <f>IF(AO501="1",BG501,0)</f>
        <v>0</v>
      </c>
      <c r="AB501" s="37">
        <f>IF(AO501="7",BF501,0)</f>
        <v>0</v>
      </c>
      <c r="AC501" s="37">
        <f>IF(AO501="7",BG501,0)</f>
        <v>0</v>
      </c>
      <c r="AD501" s="37">
        <f>IF(AO501="2",BF501,0)</f>
        <v>0</v>
      </c>
      <c r="AE501" s="37">
        <f>IF(AO501="2",BG501,0)</f>
        <v>0</v>
      </c>
      <c r="AF501" s="37">
        <f>IF(AO501="0",BH501,0)</f>
        <v>0</v>
      </c>
      <c r="AG501" s="23"/>
      <c r="AH501" s="37">
        <f>IF(AL501=0,H501,0)</f>
        <v>0</v>
      </c>
      <c r="AI501" s="37">
        <f>IF(AL501=15,H501,0)</f>
        <v>0</v>
      </c>
      <c r="AJ501" s="37">
        <f>IF(AL501=21,H501,0)</f>
        <v>0</v>
      </c>
      <c r="AL501" s="37">
        <v>21</v>
      </c>
      <c r="AM501" s="37">
        <f>G501*0.131155374575683</f>
        <v>0</v>
      </c>
      <c r="AN501" s="37">
        <f>G501*(1-0.131155374575683)</f>
        <v>0</v>
      </c>
      <c r="AO501" s="38" t="s">
        <v>136</v>
      </c>
      <c r="AT501" s="37">
        <f>AU501+AV501</f>
        <v>0</v>
      </c>
      <c r="AU501" s="37">
        <f>F501*AM501</f>
        <v>0</v>
      </c>
      <c r="AV501" s="37">
        <f>F501*AN501</f>
        <v>0</v>
      </c>
      <c r="AW501" s="38" t="s">
        <v>873</v>
      </c>
      <c r="AX501" s="38" t="s">
        <v>782</v>
      </c>
      <c r="AY501" s="23" t="s">
        <v>97</v>
      </c>
      <c r="BA501" s="37">
        <f>AU501+AV501</f>
        <v>0</v>
      </c>
      <c r="BB501" s="37">
        <f>G501/(100-BC501)*100</f>
        <v>0</v>
      </c>
      <c r="BC501" s="37">
        <v>0</v>
      </c>
      <c r="BD501" s="37">
        <f>J501</f>
        <v>0.92591</v>
      </c>
      <c r="BF501" s="37">
        <f>F501*AM501</f>
        <v>0</v>
      </c>
      <c r="BG501" s="37">
        <f>F501*AN501</f>
        <v>0</v>
      </c>
      <c r="BH501" s="37">
        <f>F501*G501</f>
        <v>0</v>
      </c>
    </row>
    <row r="502" spans="1:11" ht="12.75">
      <c r="A502" s="39"/>
      <c r="B502" s="40"/>
      <c r="C502" s="40"/>
      <c r="D502" s="41" t="s">
        <v>910</v>
      </c>
      <c r="E502" s="40"/>
      <c r="F502" s="42">
        <v>802</v>
      </c>
      <c r="G502" s="40"/>
      <c r="H502" s="40"/>
      <c r="I502" s="43"/>
      <c r="J502" s="43"/>
      <c r="K502" s="40"/>
    </row>
    <row r="503" spans="1:11" ht="12.75">
      <c r="A503" s="39"/>
      <c r="B503" s="40"/>
      <c r="C503" s="40"/>
      <c r="D503" s="41" t="s">
        <v>911</v>
      </c>
      <c r="E503" s="40"/>
      <c r="F503" s="42">
        <v>945</v>
      </c>
      <c r="G503" s="40"/>
      <c r="H503" s="40"/>
      <c r="I503" s="43"/>
      <c r="J503" s="43"/>
      <c r="K503" s="40"/>
    </row>
    <row r="504" spans="1:60" ht="12.75">
      <c r="A504" s="16" t="s">
        <v>912</v>
      </c>
      <c r="B504" s="16"/>
      <c r="C504" s="16" t="s">
        <v>913</v>
      </c>
      <c r="D504" s="32" t="s">
        <v>914</v>
      </c>
      <c r="E504" s="16" t="s">
        <v>192</v>
      </c>
      <c r="F504" s="33">
        <v>1597.35</v>
      </c>
      <c r="G504" s="422"/>
      <c r="H504" s="34">
        <f>F504*G504</f>
        <v>0</v>
      </c>
      <c r="I504" s="35">
        <v>0.0036</v>
      </c>
      <c r="J504" s="35">
        <f>F504*I504</f>
        <v>5.7504599999999995</v>
      </c>
      <c r="K504" s="36" t="s">
        <v>94</v>
      </c>
      <c r="N504" t="s">
        <v>2524</v>
      </c>
      <c r="X504" s="37">
        <f>IF(AO504="5",BH504,0)</f>
        <v>0</v>
      </c>
      <c r="Z504" s="37">
        <f>IF(AO504="1",BF504,0)</f>
        <v>0</v>
      </c>
      <c r="AA504" s="37">
        <f>IF(AO504="1",BG504,0)</f>
        <v>0</v>
      </c>
      <c r="AB504" s="37">
        <f>IF(AO504="7",BF504,0)</f>
        <v>0</v>
      </c>
      <c r="AC504" s="37">
        <f>IF(AO504="7",BG504,0)</f>
        <v>0</v>
      </c>
      <c r="AD504" s="37">
        <f>IF(AO504="2",BF504,0)</f>
        <v>0</v>
      </c>
      <c r="AE504" s="37">
        <f>IF(AO504="2",BG504,0)</f>
        <v>0</v>
      </c>
      <c r="AF504" s="37">
        <f>IF(AO504="0",BH504,0)</f>
        <v>0</v>
      </c>
      <c r="AG504" s="23"/>
      <c r="AH504" s="37">
        <f>IF(AL504=0,H504,0)</f>
        <v>0</v>
      </c>
      <c r="AI504" s="37">
        <f>IF(AL504=15,H504,0)</f>
        <v>0</v>
      </c>
      <c r="AJ504" s="37">
        <f>IF(AL504=21,H504,0)</f>
        <v>0</v>
      </c>
      <c r="AL504" s="37">
        <v>21</v>
      </c>
      <c r="AM504" s="37">
        <f>G504*1</f>
        <v>0</v>
      </c>
      <c r="AN504" s="37">
        <f>G504*(1-1)</f>
        <v>0</v>
      </c>
      <c r="AO504" s="38" t="s">
        <v>136</v>
      </c>
      <c r="AT504" s="37">
        <f>AU504+AV504</f>
        <v>0</v>
      </c>
      <c r="AU504" s="37">
        <f>F504*AM504</f>
        <v>0</v>
      </c>
      <c r="AV504" s="37">
        <f>F504*AN504</f>
        <v>0</v>
      </c>
      <c r="AW504" s="38" t="s">
        <v>873</v>
      </c>
      <c r="AX504" s="38" t="s">
        <v>782</v>
      </c>
      <c r="AY504" s="23" t="s">
        <v>97</v>
      </c>
      <c r="BA504" s="37">
        <f>AU504+AV504</f>
        <v>0</v>
      </c>
      <c r="BB504" s="37">
        <f>G504/(100-BC504)*100</f>
        <v>0</v>
      </c>
      <c r="BC504" s="37">
        <v>0</v>
      </c>
      <c r="BD504" s="37">
        <f>J504</f>
        <v>5.7504599999999995</v>
      </c>
      <c r="BF504" s="37">
        <f>F504*AM504</f>
        <v>0</v>
      </c>
      <c r="BG504" s="37">
        <f>F504*AN504</f>
        <v>0</v>
      </c>
      <c r="BH504" s="37">
        <f>F504*G504</f>
        <v>0</v>
      </c>
    </row>
    <row r="505" spans="1:11" ht="12.75">
      <c r="A505" s="39"/>
      <c r="B505" s="40"/>
      <c r="C505" s="40"/>
      <c r="D505" s="41" t="s">
        <v>915</v>
      </c>
      <c r="E505" s="40"/>
      <c r="F505" s="42">
        <v>510.6</v>
      </c>
      <c r="G505" s="40"/>
      <c r="H505" s="40"/>
      <c r="I505" s="43"/>
      <c r="J505" s="43"/>
      <c r="K505" s="40"/>
    </row>
    <row r="506" spans="1:11" ht="12.75">
      <c r="A506" s="39"/>
      <c r="B506" s="40"/>
      <c r="C506" s="40"/>
      <c r="D506" s="41" t="s">
        <v>916</v>
      </c>
      <c r="E506" s="40"/>
      <c r="F506" s="42">
        <v>1086.75</v>
      </c>
      <c r="G506" s="40"/>
      <c r="H506" s="40"/>
      <c r="I506" s="43"/>
      <c r="J506" s="43"/>
      <c r="K506" s="40"/>
    </row>
    <row r="507" spans="1:60" ht="25.5">
      <c r="A507" s="16" t="s">
        <v>917</v>
      </c>
      <c r="B507" s="16"/>
      <c r="C507" s="16" t="s">
        <v>918</v>
      </c>
      <c r="D507" s="32" t="s">
        <v>919</v>
      </c>
      <c r="E507" s="16" t="s">
        <v>192</v>
      </c>
      <c r="F507" s="33">
        <v>916.5</v>
      </c>
      <c r="G507" s="422"/>
      <c r="H507" s="34">
        <f>F507*G507</f>
        <v>0</v>
      </c>
      <c r="I507" s="35">
        <v>0.00019</v>
      </c>
      <c r="J507" s="35">
        <f>F507*I507</f>
        <v>0.174135</v>
      </c>
      <c r="K507" s="36" t="s">
        <v>94</v>
      </c>
      <c r="X507" s="37">
        <f>IF(AO507="5",BH507,0)</f>
        <v>0</v>
      </c>
      <c r="Z507" s="37">
        <f>IF(AO507="1",BF507,0)</f>
        <v>0</v>
      </c>
      <c r="AA507" s="37">
        <f>IF(AO507="1",BG507,0)</f>
        <v>0</v>
      </c>
      <c r="AB507" s="37">
        <f>IF(AO507="7",BF507,0)</f>
        <v>0</v>
      </c>
      <c r="AC507" s="37">
        <f>IF(AO507="7",BG507,0)</f>
        <v>0</v>
      </c>
      <c r="AD507" s="37">
        <f>IF(AO507="2",BF507,0)</f>
        <v>0</v>
      </c>
      <c r="AE507" s="37">
        <f>IF(AO507="2",BG507,0)</f>
        <v>0</v>
      </c>
      <c r="AF507" s="37">
        <f>IF(AO507="0",BH507,0)</f>
        <v>0</v>
      </c>
      <c r="AG507" s="23"/>
      <c r="AH507" s="37">
        <f>IF(AL507=0,H507,0)</f>
        <v>0</v>
      </c>
      <c r="AI507" s="37">
        <f>IF(AL507=15,H507,0)</f>
        <v>0</v>
      </c>
      <c r="AJ507" s="37">
        <f>IF(AL507=21,H507,0)</f>
        <v>0</v>
      </c>
      <c r="AL507" s="37">
        <v>21</v>
      </c>
      <c r="AM507" s="37">
        <f>G507*0.42636702271117</f>
        <v>0</v>
      </c>
      <c r="AN507" s="37">
        <f>G507*(1-0.42636702271117)</f>
        <v>0</v>
      </c>
      <c r="AO507" s="38" t="s">
        <v>136</v>
      </c>
      <c r="AT507" s="37">
        <f>AU507+AV507</f>
        <v>0</v>
      </c>
      <c r="AU507" s="37">
        <f>F507*AM507</f>
        <v>0</v>
      </c>
      <c r="AV507" s="37">
        <f>F507*AN507</f>
        <v>0</v>
      </c>
      <c r="AW507" s="38" t="s">
        <v>873</v>
      </c>
      <c r="AX507" s="38" t="s">
        <v>782</v>
      </c>
      <c r="AY507" s="23" t="s">
        <v>97</v>
      </c>
      <c r="BA507" s="37">
        <f>AU507+AV507</f>
        <v>0</v>
      </c>
      <c r="BB507" s="37">
        <f>G507/(100-BC507)*100</f>
        <v>0</v>
      </c>
      <c r="BC507" s="37">
        <v>0</v>
      </c>
      <c r="BD507" s="37">
        <f>J507</f>
        <v>0.174135</v>
      </c>
      <c r="BF507" s="37">
        <f>F507*AM507</f>
        <v>0</v>
      </c>
      <c r="BG507" s="37">
        <f>F507*AN507</f>
        <v>0</v>
      </c>
      <c r="BH507" s="37">
        <f>F507*G507</f>
        <v>0</v>
      </c>
    </row>
    <row r="508" spans="1:11" ht="12.75">
      <c r="A508" s="39"/>
      <c r="B508" s="40"/>
      <c r="C508" s="40"/>
      <c r="D508" s="41" t="s">
        <v>920</v>
      </c>
      <c r="E508" s="40"/>
      <c r="F508" s="42">
        <v>444</v>
      </c>
      <c r="G508" s="40"/>
      <c r="H508" s="40"/>
      <c r="I508" s="43"/>
      <c r="J508" s="43"/>
      <c r="K508" s="40"/>
    </row>
    <row r="509" spans="1:11" ht="12.75">
      <c r="A509" s="39"/>
      <c r="B509" s="40"/>
      <c r="C509" s="40"/>
      <c r="D509" s="41" t="s">
        <v>921</v>
      </c>
      <c r="E509" s="40"/>
      <c r="F509" s="42">
        <v>472.5</v>
      </c>
      <c r="G509" s="40"/>
      <c r="H509" s="40"/>
      <c r="I509" s="43"/>
      <c r="J509" s="43"/>
      <c r="K509" s="40"/>
    </row>
    <row r="510" spans="1:60" ht="12.75">
      <c r="A510" s="16" t="s">
        <v>922</v>
      </c>
      <c r="B510" s="16"/>
      <c r="C510" s="16" t="s">
        <v>923</v>
      </c>
      <c r="D510" s="32" t="s">
        <v>924</v>
      </c>
      <c r="E510" s="16" t="s">
        <v>192</v>
      </c>
      <c r="F510" s="33">
        <v>429</v>
      </c>
      <c r="G510" s="422"/>
      <c r="H510" s="34">
        <f>F510*G510</f>
        <v>0</v>
      </c>
      <c r="I510" s="35">
        <v>0.00053</v>
      </c>
      <c r="J510" s="35">
        <f>F510*I510</f>
        <v>0.22737</v>
      </c>
      <c r="K510" s="36" t="s">
        <v>94</v>
      </c>
      <c r="X510" s="37">
        <f>IF(AO510="5",BH510,0)</f>
        <v>0</v>
      </c>
      <c r="Z510" s="37">
        <f>IF(AO510="1",BF510,0)</f>
        <v>0</v>
      </c>
      <c r="AA510" s="37">
        <f>IF(AO510="1",BG510,0)</f>
        <v>0</v>
      </c>
      <c r="AB510" s="37">
        <f>IF(AO510="7",BF510,0)</f>
        <v>0</v>
      </c>
      <c r="AC510" s="37">
        <f>IF(AO510="7",BG510,0)</f>
        <v>0</v>
      </c>
      <c r="AD510" s="37">
        <f>IF(AO510="2",BF510,0)</f>
        <v>0</v>
      </c>
      <c r="AE510" s="37">
        <f>IF(AO510="2",BG510,0)</f>
        <v>0</v>
      </c>
      <c r="AF510" s="37">
        <f>IF(AO510="0",BH510,0)</f>
        <v>0</v>
      </c>
      <c r="AG510" s="23"/>
      <c r="AH510" s="37">
        <f>IF(AL510=0,H510,0)</f>
        <v>0</v>
      </c>
      <c r="AI510" s="37">
        <f>IF(AL510=15,H510,0)</f>
        <v>0</v>
      </c>
      <c r="AJ510" s="37">
        <f>IF(AL510=21,H510,0)</f>
        <v>0</v>
      </c>
      <c r="AL510" s="37">
        <v>21</v>
      </c>
      <c r="AM510" s="37">
        <f>G510*0.169865858701623</f>
        <v>0</v>
      </c>
      <c r="AN510" s="37">
        <f>G510*(1-0.169865858701623)</f>
        <v>0</v>
      </c>
      <c r="AO510" s="38" t="s">
        <v>136</v>
      </c>
      <c r="AT510" s="37">
        <f>AU510+AV510</f>
        <v>0</v>
      </c>
      <c r="AU510" s="37">
        <f>F510*AM510</f>
        <v>0</v>
      </c>
      <c r="AV510" s="37">
        <f>F510*AN510</f>
        <v>0</v>
      </c>
      <c r="AW510" s="38" t="s">
        <v>873</v>
      </c>
      <c r="AX510" s="38" t="s">
        <v>782</v>
      </c>
      <c r="AY510" s="23" t="s">
        <v>97</v>
      </c>
      <c r="BA510" s="37">
        <f>AU510+AV510</f>
        <v>0</v>
      </c>
      <c r="BB510" s="37">
        <f>G510/(100-BC510)*100</f>
        <v>0</v>
      </c>
      <c r="BC510" s="37">
        <v>0</v>
      </c>
      <c r="BD510" s="37">
        <f>J510</f>
        <v>0.22737</v>
      </c>
      <c r="BF510" s="37">
        <f>F510*AM510</f>
        <v>0</v>
      </c>
      <c r="BG510" s="37">
        <f>F510*AN510</f>
        <v>0</v>
      </c>
      <c r="BH510" s="37">
        <f>F510*G510</f>
        <v>0</v>
      </c>
    </row>
    <row r="511" spans="1:11" ht="12.75">
      <c r="A511" s="39"/>
      <c r="B511" s="40"/>
      <c r="C511" s="40"/>
      <c r="D511" s="41" t="s">
        <v>925</v>
      </c>
      <c r="E511" s="40"/>
      <c r="F511" s="42">
        <v>429</v>
      </c>
      <c r="G511" s="40"/>
      <c r="H511" s="40"/>
      <c r="I511" s="43"/>
      <c r="J511" s="43"/>
      <c r="K511" s="40"/>
    </row>
    <row r="512" spans="1:11" ht="12.75">
      <c r="A512" s="39"/>
      <c r="B512" s="40"/>
      <c r="C512" s="40"/>
      <c r="D512" s="41" t="s">
        <v>926</v>
      </c>
      <c r="E512" s="40"/>
      <c r="F512" s="42">
        <v>431</v>
      </c>
      <c r="G512" s="40"/>
      <c r="H512" s="40"/>
      <c r="I512" s="43"/>
      <c r="J512" s="43"/>
      <c r="K512" s="40"/>
    </row>
    <row r="513" spans="1:60" ht="12.75">
      <c r="A513" s="16" t="s">
        <v>927</v>
      </c>
      <c r="B513" s="16"/>
      <c r="C513" s="16" t="s">
        <v>928</v>
      </c>
      <c r="D513" s="32" t="s">
        <v>929</v>
      </c>
      <c r="E513" s="16" t="s">
        <v>192</v>
      </c>
      <c r="F513" s="33">
        <v>493.35</v>
      </c>
      <c r="G513" s="422"/>
      <c r="H513" s="34">
        <f>F513*G513</f>
        <v>0</v>
      </c>
      <c r="I513" s="35">
        <v>0.003</v>
      </c>
      <c r="J513" s="35">
        <f>F513*I513</f>
        <v>1.48005</v>
      </c>
      <c r="K513" s="36" t="s">
        <v>94</v>
      </c>
      <c r="X513" s="37">
        <f>IF(AO513="5",BH513,0)</f>
        <v>0</v>
      </c>
      <c r="Z513" s="37">
        <f>IF(AO513="1",BF513,0)</f>
        <v>0</v>
      </c>
      <c r="AA513" s="37">
        <f>IF(AO513="1",BG513,0)</f>
        <v>0</v>
      </c>
      <c r="AB513" s="37">
        <f>IF(AO513="7",BF513,0)</f>
        <v>0</v>
      </c>
      <c r="AC513" s="37">
        <f>IF(AO513="7",BG513,0)</f>
        <v>0</v>
      </c>
      <c r="AD513" s="37">
        <f>IF(AO513="2",BF513,0)</f>
        <v>0</v>
      </c>
      <c r="AE513" s="37">
        <f>IF(AO513="2",BG513,0)</f>
        <v>0</v>
      </c>
      <c r="AF513" s="37">
        <f>IF(AO513="0",BH513,0)</f>
        <v>0</v>
      </c>
      <c r="AG513" s="23"/>
      <c r="AH513" s="37">
        <f>IF(AL513=0,H513,0)</f>
        <v>0</v>
      </c>
      <c r="AI513" s="37">
        <f>IF(AL513=15,H513,0)</f>
        <v>0</v>
      </c>
      <c r="AJ513" s="37">
        <f>IF(AL513=21,H513,0)</f>
        <v>0</v>
      </c>
      <c r="AL513" s="37">
        <v>21</v>
      </c>
      <c r="AM513" s="37">
        <f>G513*1</f>
        <v>0</v>
      </c>
      <c r="AN513" s="37">
        <f>G513*(1-1)</f>
        <v>0</v>
      </c>
      <c r="AO513" s="38" t="s">
        <v>136</v>
      </c>
      <c r="AT513" s="37">
        <f>AU513+AV513</f>
        <v>0</v>
      </c>
      <c r="AU513" s="37">
        <f>F513*AM513</f>
        <v>0</v>
      </c>
      <c r="AV513" s="37">
        <f>F513*AN513</f>
        <v>0</v>
      </c>
      <c r="AW513" s="38" t="s">
        <v>873</v>
      </c>
      <c r="AX513" s="38" t="s">
        <v>782</v>
      </c>
      <c r="AY513" s="23" t="s">
        <v>97</v>
      </c>
      <c r="BA513" s="37">
        <f>AU513+AV513</f>
        <v>0</v>
      </c>
      <c r="BB513" s="37">
        <f>G513/(100-BC513)*100</f>
        <v>0</v>
      </c>
      <c r="BC513" s="37">
        <v>0</v>
      </c>
      <c r="BD513" s="37">
        <f>J513</f>
        <v>1.48005</v>
      </c>
      <c r="BF513" s="37">
        <f>F513*AM513</f>
        <v>0</v>
      </c>
      <c r="BG513" s="37">
        <f>F513*AN513</f>
        <v>0</v>
      </c>
      <c r="BH513" s="37">
        <f>F513*G513</f>
        <v>0</v>
      </c>
    </row>
    <row r="514" spans="1:11" ht="12.75">
      <c r="A514" s="39"/>
      <c r="B514" s="40"/>
      <c r="C514" s="40"/>
      <c r="D514" s="41" t="s">
        <v>930</v>
      </c>
      <c r="E514" s="40"/>
      <c r="F514" s="42">
        <v>493.35</v>
      </c>
      <c r="G514" s="40"/>
      <c r="H514" s="40"/>
      <c r="I514" s="43"/>
      <c r="J514" s="43"/>
      <c r="K514" s="40"/>
    </row>
    <row r="515" spans="1:11" ht="12.75">
      <c r="A515" s="39" t="s">
        <v>931</v>
      </c>
      <c r="B515" s="40"/>
      <c r="C515" s="16" t="s">
        <v>913</v>
      </c>
      <c r="D515" s="32" t="s">
        <v>914</v>
      </c>
      <c r="E515" s="16" t="s">
        <v>192</v>
      </c>
      <c r="F515" s="33">
        <v>495.65</v>
      </c>
      <c r="G515" s="422"/>
      <c r="H515" s="34">
        <f>F515*G515</f>
        <v>0</v>
      </c>
      <c r="I515" s="35">
        <v>0.003</v>
      </c>
      <c r="J515" s="35">
        <f>F515*I515</f>
        <v>1.48695</v>
      </c>
      <c r="K515" s="36" t="s">
        <v>94</v>
      </c>
    </row>
    <row r="516" spans="1:11" ht="12.75">
      <c r="A516" s="39"/>
      <c r="B516" s="40"/>
      <c r="C516" s="40"/>
      <c r="D516" s="41" t="s">
        <v>932</v>
      </c>
      <c r="E516" s="40"/>
      <c r="F516" s="42">
        <v>495.65</v>
      </c>
      <c r="G516" s="40"/>
      <c r="H516" s="40"/>
      <c r="I516" s="43"/>
      <c r="J516" s="43"/>
      <c r="K516" s="40"/>
    </row>
    <row r="517" spans="1:60" ht="12.75">
      <c r="A517" s="16" t="s">
        <v>933</v>
      </c>
      <c r="B517" s="16"/>
      <c r="C517" s="16" t="s">
        <v>934</v>
      </c>
      <c r="D517" s="32" t="s">
        <v>935</v>
      </c>
      <c r="E517" s="16" t="s">
        <v>192</v>
      </c>
      <c r="F517" s="33">
        <v>429</v>
      </c>
      <c r="G517" s="422"/>
      <c r="H517" s="34">
        <f>F517*G517</f>
        <v>0</v>
      </c>
      <c r="I517" s="35">
        <v>0.00022</v>
      </c>
      <c r="J517" s="35">
        <f>F517*I517</f>
        <v>0.09438</v>
      </c>
      <c r="K517" s="36" t="s">
        <v>94</v>
      </c>
      <c r="X517" s="37">
        <f>IF(AO517="5",BH517,0)</f>
        <v>0</v>
      </c>
      <c r="Z517" s="37">
        <f>IF(AO517="1",BF517,0)</f>
        <v>0</v>
      </c>
      <c r="AA517" s="37">
        <f>IF(AO517="1",BG517,0)</f>
        <v>0</v>
      </c>
      <c r="AB517" s="37">
        <f>IF(AO517="7",BF517,0)</f>
        <v>0</v>
      </c>
      <c r="AC517" s="37">
        <f>IF(AO517="7",BG517,0)</f>
        <v>0</v>
      </c>
      <c r="AD517" s="37">
        <f>IF(AO517="2",BF517,0)</f>
        <v>0</v>
      </c>
      <c r="AE517" s="37">
        <f>IF(AO517="2",BG517,0)</f>
        <v>0</v>
      </c>
      <c r="AF517" s="37">
        <f>IF(AO517="0",BH517,0)</f>
        <v>0</v>
      </c>
      <c r="AG517" s="23"/>
      <c r="AH517" s="37">
        <f>IF(AL517=0,H517,0)</f>
        <v>0</v>
      </c>
      <c r="AI517" s="37">
        <f>IF(AL517=15,H517,0)</f>
        <v>0</v>
      </c>
      <c r="AJ517" s="37">
        <f>IF(AL517=21,H517,0)</f>
        <v>0</v>
      </c>
      <c r="AL517" s="37">
        <v>21</v>
      </c>
      <c r="AM517" s="37">
        <f>G517*0.534652798049607</f>
        <v>0</v>
      </c>
      <c r="AN517" s="37">
        <f>G517*(1-0.534652798049607)</f>
        <v>0</v>
      </c>
      <c r="AO517" s="38" t="s">
        <v>136</v>
      </c>
      <c r="AT517" s="37">
        <f>AU517+AV517</f>
        <v>0</v>
      </c>
      <c r="AU517" s="37">
        <f>F517*AM517</f>
        <v>0</v>
      </c>
      <c r="AV517" s="37">
        <f>F517*AN517</f>
        <v>0</v>
      </c>
      <c r="AW517" s="38" t="s">
        <v>873</v>
      </c>
      <c r="AX517" s="38" t="s">
        <v>782</v>
      </c>
      <c r="AY517" s="23" t="s">
        <v>97</v>
      </c>
      <c r="BA517" s="37">
        <f>AU517+AV517</f>
        <v>0</v>
      </c>
      <c r="BB517" s="37">
        <f>G517/(100-BC517)*100</f>
        <v>0</v>
      </c>
      <c r="BC517" s="37">
        <v>0</v>
      </c>
      <c r="BD517" s="37">
        <f>J517</f>
        <v>0.09438</v>
      </c>
      <c r="BF517" s="37">
        <f>F517*AM517</f>
        <v>0</v>
      </c>
      <c r="BG517" s="37">
        <f>F517*AN517</f>
        <v>0</v>
      </c>
      <c r="BH517" s="37">
        <f>F517*G517</f>
        <v>0</v>
      </c>
    </row>
    <row r="518" spans="1:11" ht="12.75">
      <c r="A518" s="39"/>
      <c r="B518" s="40"/>
      <c r="C518" s="40"/>
      <c r="D518" s="41" t="s">
        <v>936</v>
      </c>
      <c r="E518" s="40"/>
      <c r="F518" s="42">
        <v>429</v>
      </c>
      <c r="G518" s="40"/>
      <c r="H518" s="40"/>
      <c r="I518" s="43"/>
      <c r="J518" s="43"/>
      <c r="K518" s="40"/>
    </row>
    <row r="519" spans="1:60" ht="12.75">
      <c r="A519" s="16" t="s">
        <v>937</v>
      </c>
      <c r="B519" s="16"/>
      <c r="C519" s="16" t="s">
        <v>938</v>
      </c>
      <c r="D519" s="32" t="s">
        <v>939</v>
      </c>
      <c r="E519" s="16" t="s">
        <v>192</v>
      </c>
      <c r="F519" s="33">
        <v>265</v>
      </c>
      <c r="G519" s="422"/>
      <c r="H519" s="34">
        <f>F519*G519</f>
        <v>0</v>
      </c>
      <c r="I519" s="35">
        <v>0.00033</v>
      </c>
      <c r="J519" s="35">
        <f>F519*I519</f>
        <v>0.08745</v>
      </c>
      <c r="K519" s="36" t="s">
        <v>94</v>
      </c>
      <c r="X519" s="37">
        <f>IF(AO519="5",BH519,0)</f>
        <v>0</v>
      </c>
      <c r="Z519" s="37">
        <f>IF(AO519="1",BF519,0)</f>
        <v>0</v>
      </c>
      <c r="AA519" s="37">
        <f>IF(AO519="1",BG519,0)</f>
        <v>0</v>
      </c>
      <c r="AB519" s="37">
        <f>IF(AO519="7",BF519,0)</f>
        <v>0</v>
      </c>
      <c r="AC519" s="37">
        <f>IF(AO519="7",BG519,0)</f>
        <v>0</v>
      </c>
      <c r="AD519" s="37">
        <f>IF(AO519="2",BF519,0)</f>
        <v>0</v>
      </c>
      <c r="AE519" s="37">
        <f>IF(AO519="2",BG519,0)</f>
        <v>0</v>
      </c>
      <c r="AF519" s="37">
        <f>IF(AO519="0",BH519,0)</f>
        <v>0</v>
      </c>
      <c r="AG519" s="23"/>
      <c r="AH519" s="37">
        <f>IF(AL519=0,H519,0)</f>
        <v>0</v>
      </c>
      <c r="AI519" s="37">
        <f>IF(AL519=15,H519,0)</f>
        <v>0</v>
      </c>
      <c r="AJ519" s="37">
        <f>IF(AL519=21,H519,0)</f>
        <v>0</v>
      </c>
      <c r="AL519" s="37">
        <v>21</v>
      </c>
      <c r="AM519" s="37">
        <f>G519*0.744506591285138</f>
        <v>0</v>
      </c>
      <c r="AN519" s="37">
        <f>G519*(1-0.744506591285138)</f>
        <v>0</v>
      </c>
      <c r="AO519" s="38" t="s">
        <v>136</v>
      </c>
      <c r="AT519" s="37">
        <f>AU519+AV519</f>
        <v>0</v>
      </c>
      <c r="AU519" s="37">
        <f>F519*AM519</f>
        <v>0</v>
      </c>
      <c r="AV519" s="37">
        <f>F519*AN519</f>
        <v>0</v>
      </c>
      <c r="AW519" s="38" t="s">
        <v>873</v>
      </c>
      <c r="AX519" s="38" t="s">
        <v>782</v>
      </c>
      <c r="AY519" s="23" t="s">
        <v>97</v>
      </c>
      <c r="BA519" s="37">
        <f>AU519+AV519</f>
        <v>0</v>
      </c>
      <c r="BB519" s="37">
        <f>G519/(100-BC519)*100</f>
        <v>0</v>
      </c>
      <c r="BC519" s="37">
        <v>0</v>
      </c>
      <c r="BD519" s="37">
        <f>J519</f>
        <v>0.08745</v>
      </c>
      <c r="BF519" s="37">
        <f>F519*AM519</f>
        <v>0</v>
      </c>
      <c r="BG519" s="37">
        <f>F519*AN519</f>
        <v>0</v>
      </c>
      <c r="BH519" s="37">
        <f>F519*G519</f>
        <v>0</v>
      </c>
    </row>
    <row r="520" spans="1:11" ht="12.75">
      <c r="A520" s="39"/>
      <c r="B520" s="40"/>
      <c r="C520" s="40"/>
      <c r="D520" s="41" t="s">
        <v>940</v>
      </c>
      <c r="E520" s="40"/>
      <c r="F520" s="42">
        <v>265</v>
      </c>
      <c r="G520" s="40"/>
      <c r="H520" s="40"/>
      <c r="I520" s="43"/>
      <c r="J520" s="43"/>
      <c r="K520" s="40"/>
    </row>
    <row r="521" spans="1:60" ht="12.75">
      <c r="A521" s="16" t="s">
        <v>941</v>
      </c>
      <c r="B521" s="16"/>
      <c r="C521" s="16" t="s">
        <v>942</v>
      </c>
      <c r="D521" s="32" t="s">
        <v>943</v>
      </c>
      <c r="E521" s="16" t="s">
        <v>192</v>
      </c>
      <c r="F521" s="33">
        <v>1768.54</v>
      </c>
      <c r="G521" s="422"/>
      <c r="H521" s="34">
        <f>F521*G521</f>
        <v>0</v>
      </c>
      <c r="I521" s="35">
        <v>0</v>
      </c>
      <c r="J521" s="35">
        <f>F521*I521</f>
        <v>0</v>
      </c>
      <c r="K521" s="36" t="s">
        <v>94</v>
      </c>
      <c r="X521" s="37">
        <f>IF(AO521="5",BH521,0)</f>
        <v>0</v>
      </c>
      <c r="Z521" s="37">
        <f>IF(AO521="1",BF521,0)</f>
        <v>0</v>
      </c>
      <c r="AA521" s="37">
        <f>IF(AO521="1",BG521,0)</f>
        <v>0</v>
      </c>
      <c r="AB521" s="37">
        <f>IF(AO521="7",BF521,0)</f>
        <v>0</v>
      </c>
      <c r="AC521" s="37">
        <f>IF(AO521="7",BG521,0)</f>
        <v>0</v>
      </c>
      <c r="AD521" s="37">
        <f>IF(AO521="2",BF521,0)</f>
        <v>0</v>
      </c>
      <c r="AE521" s="37">
        <f>IF(AO521="2",BG521,0)</f>
        <v>0</v>
      </c>
      <c r="AF521" s="37">
        <f>IF(AO521="0",BH521,0)</f>
        <v>0</v>
      </c>
      <c r="AG521" s="23"/>
      <c r="AH521" s="37">
        <f>IF(AL521=0,H521,0)</f>
        <v>0</v>
      </c>
      <c r="AI521" s="37">
        <f>IF(AL521=15,H521,0)</f>
        <v>0</v>
      </c>
      <c r="AJ521" s="37">
        <f>IF(AL521=21,H521,0)</f>
        <v>0</v>
      </c>
      <c r="AL521" s="37">
        <v>21</v>
      </c>
      <c r="AM521" s="37">
        <f>G521*0</f>
        <v>0</v>
      </c>
      <c r="AN521" s="37">
        <f>G521*(1-0)</f>
        <v>0</v>
      </c>
      <c r="AO521" s="38" t="s">
        <v>136</v>
      </c>
      <c r="AT521" s="37">
        <f>AU521+AV521</f>
        <v>0</v>
      </c>
      <c r="AU521" s="37">
        <f>F521*AM521</f>
        <v>0</v>
      </c>
      <c r="AV521" s="37">
        <f>F521*AN521</f>
        <v>0</v>
      </c>
      <c r="AW521" s="38" t="s">
        <v>873</v>
      </c>
      <c r="AX521" s="38" t="s">
        <v>782</v>
      </c>
      <c r="AY521" s="23" t="s">
        <v>97</v>
      </c>
      <c r="BA521" s="37">
        <f>AU521+AV521</f>
        <v>0</v>
      </c>
      <c r="BB521" s="37">
        <f>G521/(100-BC521)*100</f>
        <v>0</v>
      </c>
      <c r="BC521" s="37">
        <v>0</v>
      </c>
      <c r="BD521" s="37">
        <f>J521</f>
        <v>0</v>
      </c>
      <c r="BF521" s="37">
        <f>F521*AM521</f>
        <v>0</v>
      </c>
      <c r="BG521" s="37">
        <f>F521*AN521</f>
        <v>0</v>
      </c>
      <c r="BH521" s="37">
        <f>F521*G521</f>
        <v>0</v>
      </c>
    </row>
    <row r="522" spans="1:11" ht="12.75">
      <c r="A522" s="39"/>
      <c r="B522" s="40"/>
      <c r="C522" s="40"/>
      <c r="D522" s="41" t="s">
        <v>944</v>
      </c>
      <c r="E522" s="40"/>
      <c r="F522" s="42">
        <v>782.54</v>
      </c>
      <c r="G522" s="40"/>
      <c r="H522" s="40"/>
      <c r="I522" s="43"/>
      <c r="J522" s="43"/>
      <c r="K522" s="40"/>
    </row>
    <row r="523" spans="1:11" ht="12.75">
      <c r="A523" s="39"/>
      <c r="B523" s="40"/>
      <c r="C523" s="40"/>
      <c r="D523" s="41" t="s">
        <v>825</v>
      </c>
      <c r="E523" s="40"/>
      <c r="F523" s="42">
        <v>244</v>
      </c>
      <c r="G523" s="40"/>
      <c r="H523" s="40"/>
      <c r="I523" s="43"/>
      <c r="J523" s="43"/>
      <c r="K523" s="40"/>
    </row>
    <row r="524" spans="1:11" ht="12.75">
      <c r="A524" s="39"/>
      <c r="B524" s="40"/>
      <c r="C524" s="40"/>
      <c r="D524" s="41" t="s">
        <v>945</v>
      </c>
      <c r="E524" s="40"/>
      <c r="F524" s="42">
        <v>90</v>
      </c>
      <c r="G524" s="40"/>
      <c r="H524" s="40"/>
      <c r="I524" s="43"/>
      <c r="J524" s="43"/>
      <c r="K524" s="40"/>
    </row>
    <row r="525" spans="1:11" ht="12.75">
      <c r="A525" s="39"/>
      <c r="B525" s="40"/>
      <c r="C525" s="40"/>
      <c r="D525" s="41" t="s">
        <v>946</v>
      </c>
      <c r="E525" s="40"/>
      <c r="F525" s="42">
        <v>310</v>
      </c>
      <c r="G525" s="40"/>
      <c r="H525" s="40"/>
      <c r="I525" s="43"/>
      <c r="J525" s="43"/>
      <c r="K525" s="40"/>
    </row>
    <row r="526" spans="1:11" ht="12.75">
      <c r="A526" s="39"/>
      <c r="B526" s="40"/>
      <c r="C526" s="40"/>
      <c r="D526" s="41" t="s">
        <v>947</v>
      </c>
      <c r="E526" s="40"/>
      <c r="F526" s="42">
        <v>342</v>
      </c>
      <c r="G526" s="40"/>
      <c r="H526" s="40"/>
      <c r="I526" s="43"/>
      <c r="J526" s="43"/>
      <c r="K526" s="40"/>
    </row>
    <row r="527" spans="1:60" ht="12.75">
      <c r="A527" s="16" t="s">
        <v>948</v>
      </c>
      <c r="B527" s="16"/>
      <c r="C527" s="16" t="s">
        <v>949</v>
      </c>
      <c r="D527" s="32" t="s">
        <v>950</v>
      </c>
      <c r="E527" s="16" t="s">
        <v>192</v>
      </c>
      <c r="F527" s="33">
        <v>449.961</v>
      </c>
      <c r="G527" s="422"/>
      <c r="H527" s="34">
        <f>F527*G527</f>
        <v>0</v>
      </c>
      <c r="I527" s="35">
        <v>0.0036</v>
      </c>
      <c r="J527" s="35">
        <f>F527*I527</f>
        <v>1.6198596</v>
      </c>
      <c r="K527" s="36" t="s">
        <v>94</v>
      </c>
      <c r="X527" s="37">
        <f>IF(AO527="5",BH527,0)</f>
        <v>0</v>
      </c>
      <c r="Z527" s="37">
        <f>IF(AO527="1",BF527,0)</f>
        <v>0</v>
      </c>
      <c r="AA527" s="37">
        <f>IF(AO527="1",BG527,0)</f>
        <v>0</v>
      </c>
      <c r="AB527" s="37">
        <f>IF(AO527="7",BF527,0)</f>
        <v>0</v>
      </c>
      <c r="AC527" s="37">
        <f>IF(AO527="7",BG527,0)</f>
        <v>0</v>
      </c>
      <c r="AD527" s="37">
        <f>IF(AO527="2",BF527,0)</f>
        <v>0</v>
      </c>
      <c r="AE527" s="37">
        <f>IF(AO527="2",BG527,0)</f>
        <v>0</v>
      </c>
      <c r="AF527" s="37">
        <f>IF(AO527="0",BH527,0)</f>
        <v>0</v>
      </c>
      <c r="AG527" s="23"/>
      <c r="AH527" s="37">
        <f>IF(AL527=0,H527,0)</f>
        <v>0</v>
      </c>
      <c r="AI527" s="37">
        <f>IF(AL527=15,H527,0)</f>
        <v>0</v>
      </c>
      <c r="AJ527" s="37">
        <f>IF(AL527=21,H527,0)</f>
        <v>0</v>
      </c>
      <c r="AL527" s="37">
        <v>21</v>
      </c>
      <c r="AM527" s="37">
        <f>G527*1</f>
        <v>0</v>
      </c>
      <c r="AN527" s="37">
        <f>G527*(1-1)</f>
        <v>0</v>
      </c>
      <c r="AO527" s="38" t="s">
        <v>136</v>
      </c>
      <c r="AT527" s="37">
        <f>AU527+AV527</f>
        <v>0</v>
      </c>
      <c r="AU527" s="37">
        <f>F527*AM527</f>
        <v>0</v>
      </c>
      <c r="AV527" s="37">
        <f>F527*AN527</f>
        <v>0</v>
      </c>
      <c r="AW527" s="38" t="s">
        <v>873</v>
      </c>
      <c r="AX527" s="38" t="s">
        <v>782</v>
      </c>
      <c r="AY527" s="23" t="s">
        <v>97</v>
      </c>
      <c r="BA527" s="37">
        <f>AU527+AV527</f>
        <v>0</v>
      </c>
      <c r="BB527" s="37">
        <f>G527/(100-BC527)*100</f>
        <v>0</v>
      </c>
      <c r="BC527" s="37">
        <v>0</v>
      </c>
      <c r="BD527" s="37">
        <f>J527</f>
        <v>1.6198596</v>
      </c>
      <c r="BF527" s="37">
        <f>F527*AM527</f>
        <v>0</v>
      </c>
      <c r="BG527" s="37">
        <f>F527*AN527</f>
        <v>0</v>
      </c>
      <c r="BH527" s="37">
        <f>F527*G527</f>
        <v>0</v>
      </c>
    </row>
    <row r="528" spans="1:11" ht="12.75">
      <c r="A528" s="39"/>
      <c r="B528" s="40"/>
      <c r="C528" s="40"/>
      <c r="D528" s="41" t="s">
        <v>951</v>
      </c>
      <c r="E528" s="40"/>
      <c r="F528" s="42">
        <v>449.961</v>
      </c>
      <c r="G528" s="40"/>
      <c r="H528" s="40"/>
      <c r="I528" s="43"/>
      <c r="J528" s="43"/>
      <c r="K528" s="40"/>
    </row>
    <row r="529" spans="1:60" ht="12.75">
      <c r="A529" s="16" t="s">
        <v>952</v>
      </c>
      <c r="B529" s="16"/>
      <c r="C529" s="16" t="s">
        <v>953</v>
      </c>
      <c r="D529" s="32" t="s">
        <v>954</v>
      </c>
      <c r="E529" s="16" t="s">
        <v>102</v>
      </c>
      <c r="F529" s="33">
        <v>97.069315</v>
      </c>
      <c r="G529" s="422"/>
      <c r="H529" s="34">
        <f>F529*G529</f>
        <v>0</v>
      </c>
      <c r="I529" s="35">
        <v>0.025</v>
      </c>
      <c r="J529" s="35">
        <f>F529*I529</f>
        <v>2.4267328750000003</v>
      </c>
      <c r="K529" s="36" t="s">
        <v>94</v>
      </c>
      <c r="N529" t="s">
        <v>2524</v>
      </c>
      <c r="X529" s="37">
        <f>IF(AO529="5",BH529,0)</f>
        <v>0</v>
      </c>
      <c r="Z529" s="37">
        <f>IF(AO529="1",BF529,0)</f>
        <v>0</v>
      </c>
      <c r="AA529" s="37">
        <f>IF(AO529="1",BG529,0)</f>
        <v>0</v>
      </c>
      <c r="AB529" s="37">
        <f>IF(AO529="7",BF529,0)</f>
        <v>0</v>
      </c>
      <c r="AC529" s="37">
        <f>IF(AO529="7",BG529,0)</f>
        <v>0</v>
      </c>
      <c r="AD529" s="37">
        <f>IF(AO529="2",BF529,0)</f>
        <v>0</v>
      </c>
      <c r="AE529" s="37">
        <f>IF(AO529="2",BG529,0)</f>
        <v>0</v>
      </c>
      <c r="AF529" s="37">
        <f>IF(AO529="0",BH529,0)</f>
        <v>0</v>
      </c>
      <c r="AG529" s="23"/>
      <c r="AH529" s="37">
        <f>IF(AL529=0,H529,0)</f>
        <v>0</v>
      </c>
      <c r="AI529" s="37">
        <f>IF(AL529=15,H529,0)</f>
        <v>0</v>
      </c>
      <c r="AJ529" s="37">
        <f>IF(AL529=21,H529,0)</f>
        <v>0</v>
      </c>
      <c r="AL529" s="37">
        <v>21</v>
      </c>
      <c r="AM529" s="37">
        <f>G529*1</f>
        <v>0</v>
      </c>
      <c r="AN529" s="37">
        <f>G529*(1-1)</f>
        <v>0</v>
      </c>
      <c r="AO529" s="38" t="s">
        <v>136</v>
      </c>
      <c r="AT529" s="37">
        <f>AU529+AV529</f>
        <v>0</v>
      </c>
      <c r="AU529" s="37">
        <f>F529*AM529</f>
        <v>0</v>
      </c>
      <c r="AV529" s="37">
        <f>F529*AN529</f>
        <v>0</v>
      </c>
      <c r="AW529" s="38" t="s">
        <v>873</v>
      </c>
      <c r="AX529" s="38" t="s">
        <v>782</v>
      </c>
      <c r="AY529" s="23" t="s">
        <v>97</v>
      </c>
      <c r="BA529" s="37">
        <f>AU529+AV529</f>
        <v>0</v>
      </c>
      <c r="BB529" s="37">
        <f>G529/(100-BC529)*100</f>
        <v>0</v>
      </c>
      <c r="BC529" s="37">
        <v>0</v>
      </c>
      <c r="BD529" s="37">
        <f>J529</f>
        <v>2.4267328750000003</v>
      </c>
      <c r="BF529" s="37">
        <f>F529*AM529</f>
        <v>0</v>
      </c>
      <c r="BG529" s="37">
        <f>F529*AN529</f>
        <v>0</v>
      </c>
      <c r="BH529" s="37">
        <f>F529*G529</f>
        <v>0</v>
      </c>
    </row>
    <row r="530" spans="1:11" ht="12.75">
      <c r="A530" s="39"/>
      <c r="B530" s="40"/>
      <c r="C530" s="40"/>
      <c r="D530" s="41" t="s">
        <v>955</v>
      </c>
      <c r="E530" s="40"/>
      <c r="F530" s="42">
        <v>33.672</v>
      </c>
      <c r="G530" s="40"/>
      <c r="H530" s="40"/>
      <c r="I530" s="43"/>
      <c r="J530" s="43"/>
      <c r="K530" s="40"/>
    </row>
    <row r="531" spans="1:11" ht="12.75">
      <c r="A531" s="39"/>
      <c r="B531" s="40"/>
      <c r="C531" s="40"/>
      <c r="D531" s="41" t="s">
        <v>956</v>
      </c>
      <c r="E531" s="40"/>
      <c r="F531" s="42">
        <v>13.498815</v>
      </c>
      <c r="G531" s="40"/>
      <c r="H531" s="40"/>
      <c r="I531" s="43"/>
      <c r="J531" s="43"/>
      <c r="K531" s="40"/>
    </row>
    <row r="532" spans="1:11" ht="12.75">
      <c r="A532" s="39"/>
      <c r="B532" s="40"/>
      <c r="C532" s="40"/>
      <c r="D532" s="41" t="s">
        <v>957</v>
      </c>
      <c r="E532" s="40"/>
      <c r="F532" s="42">
        <v>1.5525</v>
      </c>
      <c r="G532" s="40"/>
      <c r="H532" s="40"/>
      <c r="I532" s="43"/>
      <c r="J532" s="43"/>
      <c r="K532" s="40"/>
    </row>
    <row r="533" spans="1:11" ht="12.75">
      <c r="A533" s="39"/>
      <c r="B533" s="40"/>
      <c r="C533" s="40"/>
      <c r="D533" s="41" t="s">
        <v>958</v>
      </c>
      <c r="E533" s="40"/>
      <c r="F533" s="42">
        <v>14.26</v>
      </c>
      <c r="G533" s="40"/>
      <c r="H533" s="40"/>
      <c r="I533" s="43"/>
      <c r="J533" s="43"/>
      <c r="K533" s="40"/>
    </row>
    <row r="534" spans="1:11" ht="12.75">
      <c r="A534" s="39"/>
      <c r="B534" s="40"/>
      <c r="C534" s="40"/>
      <c r="D534" s="41" t="s">
        <v>959</v>
      </c>
      <c r="E534" s="40"/>
      <c r="F534" s="42">
        <v>18.354</v>
      </c>
      <c r="G534" s="40"/>
      <c r="H534" s="40"/>
      <c r="I534" s="43"/>
      <c r="J534" s="43"/>
      <c r="K534" s="40"/>
    </row>
    <row r="535" spans="1:11" ht="12.75">
      <c r="A535" s="39"/>
      <c r="B535" s="40"/>
      <c r="C535" s="40"/>
      <c r="D535" s="41" t="s">
        <v>960</v>
      </c>
      <c r="E535" s="40"/>
      <c r="F535" s="42">
        <v>15.732</v>
      </c>
      <c r="G535" s="40"/>
      <c r="H535" s="40"/>
      <c r="I535" s="43"/>
      <c r="J535" s="43"/>
      <c r="K535" s="40"/>
    </row>
    <row r="536" spans="1:11" ht="12.75">
      <c r="A536" s="39" t="s">
        <v>961</v>
      </c>
      <c r="B536" s="40"/>
      <c r="C536" s="17">
        <v>28376549</v>
      </c>
      <c r="D536" s="32" t="s">
        <v>962</v>
      </c>
      <c r="E536" s="40" t="s">
        <v>192</v>
      </c>
      <c r="F536" s="42">
        <v>230</v>
      </c>
      <c r="G536" s="425"/>
      <c r="H536" s="34">
        <f>F536*G536</f>
        <v>0</v>
      </c>
      <c r="I536" s="35">
        <v>0.0024</v>
      </c>
      <c r="J536" s="35">
        <f>F536*I536</f>
        <v>0.5519999999999999</v>
      </c>
      <c r="K536" s="36" t="s">
        <v>94</v>
      </c>
    </row>
    <row r="537" spans="1:11" ht="12.75">
      <c r="A537" s="39"/>
      <c r="B537" s="40"/>
      <c r="C537" s="40"/>
      <c r="D537" s="41" t="s">
        <v>963</v>
      </c>
      <c r="E537" s="40"/>
      <c r="F537" s="42">
        <v>51.75</v>
      </c>
      <c r="G537" s="40"/>
      <c r="H537" s="40"/>
      <c r="I537" s="43"/>
      <c r="J537" s="43"/>
      <c r="K537" s="40"/>
    </row>
    <row r="538" spans="1:11" ht="12.75">
      <c r="A538" s="39"/>
      <c r="B538" s="40"/>
      <c r="C538" s="40"/>
      <c r="D538" s="41" t="s">
        <v>964</v>
      </c>
      <c r="E538" s="40"/>
      <c r="F538" s="42">
        <v>178.25</v>
      </c>
      <c r="G538" s="40"/>
      <c r="H538" s="40"/>
      <c r="I538" s="43"/>
      <c r="J538" s="43"/>
      <c r="K538" s="40"/>
    </row>
    <row r="539" spans="1:11" ht="12.75">
      <c r="A539" s="39" t="s">
        <v>965</v>
      </c>
      <c r="B539" s="40"/>
      <c r="C539" s="17">
        <v>28376380</v>
      </c>
      <c r="D539" s="32" t="s">
        <v>966</v>
      </c>
      <c r="E539" s="40" t="s">
        <v>192</v>
      </c>
      <c r="F539" s="42">
        <v>131.1</v>
      </c>
      <c r="G539" s="425"/>
      <c r="H539" s="34">
        <f>F539*G539</f>
        <v>0</v>
      </c>
      <c r="I539" s="35">
        <v>0.00264</v>
      </c>
      <c r="J539" s="35">
        <f>F539*I539</f>
        <v>0.34610399999999997</v>
      </c>
      <c r="K539" s="36" t="s">
        <v>94</v>
      </c>
    </row>
    <row r="540" spans="1:11" ht="12.75">
      <c r="A540" s="39"/>
      <c r="B540" s="40"/>
      <c r="C540" s="40"/>
      <c r="D540" s="41" t="s">
        <v>967</v>
      </c>
      <c r="E540" s="40"/>
      <c r="F540" s="42">
        <v>131.1</v>
      </c>
      <c r="G540" s="40"/>
      <c r="H540" s="40"/>
      <c r="I540" s="43"/>
      <c r="J540" s="43"/>
      <c r="K540" s="40"/>
    </row>
    <row r="541" spans="1:60" ht="12.75">
      <c r="A541" s="44" t="s">
        <v>968</v>
      </c>
      <c r="B541" s="44"/>
      <c r="C541" s="44" t="s">
        <v>969</v>
      </c>
      <c r="D541" s="32" t="s">
        <v>970</v>
      </c>
      <c r="E541" s="16" t="s">
        <v>239</v>
      </c>
      <c r="F541" s="33">
        <v>26.55</v>
      </c>
      <c r="G541" s="423"/>
      <c r="H541" s="47">
        <f>F541*G541</f>
        <v>0</v>
      </c>
      <c r="I541" s="48">
        <v>0</v>
      </c>
      <c r="J541" s="48">
        <f>F541*I541</f>
        <v>0</v>
      </c>
      <c r="K541" s="49" t="s">
        <v>94</v>
      </c>
      <c r="X541" s="37">
        <f>IF(AO541="5",BH541,0)</f>
        <v>0</v>
      </c>
      <c r="Z541" s="37">
        <f>IF(AO541="1",BF541,0)</f>
        <v>0</v>
      </c>
      <c r="AA541" s="37">
        <f>IF(AO541="1",BG541,0)</f>
        <v>0</v>
      </c>
      <c r="AB541" s="37">
        <f>IF(AO541="7",BF541,0)</f>
        <v>0</v>
      </c>
      <c r="AC541" s="37">
        <f>IF(AO541="7",BG541,0)</f>
        <v>0</v>
      </c>
      <c r="AD541" s="37">
        <f>IF(AO541="2",BF541,0)</f>
        <v>0</v>
      </c>
      <c r="AE541" s="37">
        <f>IF(AO541="2",BG541,0)</f>
        <v>0</v>
      </c>
      <c r="AF541" s="37">
        <f>IF(AO541="0",BH541,0)</f>
        <v>0</v>
      </c>
      <c r="AG541" s="23"/>
      <c r="AH541" s="37">
        <f>IF(AL541=0,H541,0)</f>
        <v>0</v>
      </c>
      <c r="AI541" s="37">
        <f>IF(AL541=15,H541,0)</f>
        <v>0</v>
      </c>
      <c r="AJ541" s="37">
        <f>IF(AL541=21,H541,0)</f>
        <v>0</v>
      </c>
      <c r="AL541" s="37">
        <v>21</v>
      </c>
      <c r="AM541" s="37">
        <f>G541*0</f>
        <v>0</v>
      </c>
      <c r="AN541" s="37">
        <f>G541*(1-0)</f>
        <v>0</v>
      </c>
      <c r="AO541" s="38" t="s">
        <v>118</v>
      </c>
      <c r="AT541" s="37">
        <f>AU541+AV541</f>
        <v>0</v>
      </c>
      <c r="AU541" s="37">
        <f>F541*AM541</f>
        <v>0</v>
      </c>
      <c r="AV541" s="37">
        <f>F541*AN541</f>
        <v>0</v>
      </c>
      <c r="AW541" s="38" t="s">
        <v>873</v>
      </c>
      <c r="AX541" s="38" t="s">
        <v>782</v>
      </c>
      <c r="AY541" s="23" t="s">
        <v>97</v>
      </c>
      <c r="BA541" s="37">
        <f>AU541+AV541</f>
        <v>0</v>
      </c>
      <c r="BB541" s="37">
        <f>G541/(100-BC541)*100</f>
        <v>0</v>
      </c>
      <c r="BC541" s="37">
        <v>0</v>
      </c>
      <c r="BD541" s="37">
        <f>J541</f>
        <v>0</v>
      </c>
      <c r="BF541" s="37">
        <f>F541*AM541</f>
        <v>0</v>
      </c>
      <c r="BG541" s="37">
        <f>F541*AN541</f>
        <v>0</v>
      </c>
      <c r="BH541" s="37">
        <f>F541*G541</f>
        <v>0</v>
      </c>
    </row>
    <row r="542" spans="1:11" ht="12.75">
      <c r="A542" s="50"/>
      <c r="B542" s="51"/>
      <c r="C542" s="51"/>
      <c r="D542" s="52" t="s">
        <v>971</v>
      </c>
      <c r="E542" s="51"/>
      <c r="F542" s="53">
        <v>26.55</v>
      </c>
      <c r="G542" s="51"/>
      <c r="H542" s="51"/>
      <c r="I542" s="54"/>
      <c r="J542" s="54"/>
      <c r="K542" s="51"/>
    </row>
    <row r="543" spans="1:45" ht="12.75">
      <c r="A543" s="24"/>
      <c r="B543" s="25"/>
      <c r="C543" s="25" t="s">
        <v>972</v>
      </c>
      <c r="D543" s="26" t="s">
        <v>973</v>
      </c>
      <c r="E543" s="24" t="s">
        <v>54</v>
      </c>
      <c r="F543" s="24" t="s">
        <v>54</v>
      </c>
      <c r="G543" s="24" t="s">
        <v>54</v>
      </c>
      <c r="H543" s="27">
        <f>SUM(H544:H584)</f>
        <v>0</v>
      </c>
      <c r="I543" s="28"/>
      <c r="J543" s="28">
        <f>SUM(J544:J584)</f>
        <v>1.0686200000000001</v>
      </c>
      <c r="K543" s="29"/>
      <c r="AG543" s="23"/>
      <c r="AQ543" s="31">
        <f>SUM(AH544:AH584)</f>
        <v>0</v>
      </c>
      <c r="AR543" s="31">
        <f>SUM(AI544:AI584)</f>
        <v>0</v>
      </c>
      <c r="AS543" s="31">
        <f>SUM(AJ544:AJ584)</f>
        <v>0</v>
      </c>
    </row>
    <row r="544" spans="1:60" ht="12.75">
      <c r="A544" s="16" t="s">
        <v>974</v>
      </c>
      <c r="B544" s="16"/>
      <c r="C544" s="16" t="s">
        <v>975</v>
      </c>
      <c r="D544" s="32" t="s">
        <v>976</v>
      </c>
      <c r="E544" s="16" t="s">
        <v>225</v>
      </c>
      <c r="F544" s="33">
        <v>2</v>
      </c>
      <c r="G544" s="422"/>
      <c r="H544" s="34">
        <f>F544*G544</f>
        <v>0</v>
      </c>
      <c r="I544" s="35">
        <v>0.00108</v>
      </c>
      <c r="J544" s="35">
        <f>F544*I544</f>
        <v>0.00216</v>
      </c>
      <c r="K544" s="36" t="s">
        <v>226</v>
      </c>
      <c r="X544" s="37">
        <f>IF(AO544="5",BH544,0)</f>
        <v>0</v>
      </c>
      <c r="Z544" s="37">
        <f>IF(AO544="1",BF544,0)</f>
        <v>0</v>
      </c>
      <c r="AA544" s="37">
        <f>IF(AO544="1",BG544,0)</f>
        <v>0</v>
      </c>
      <c r="AB544" s="37">
        <f>IF(AO544="7",BF544,0)</f>
        <v>0</v>
      </c>
      <c r="AC544" s="37">
        <f>IF(AO544="7",BG544,0)</f>
        <v>0</v>
      </c>
      <c r="AD544" s="37">
        <f>IF(AO544="2",BF544,0)</f>
        <v>0</v>
      </c>
      <c r="AE544" s="37">
        <f>IF(AO544="2",BG544,0)</f>
        <v>0</v>
      </c>
      <c r="AF544" s="37">
        <f>IF(AO544="0",BH544,0)</f>
        <v>0</v>
      </c>
      <c r="AG544" s="23"/>
      <c r="AH544" s="37">
        <f>IF(AL544=0,H544,0)</f>
        <v>0</v>
      </c>
      <c r="AI544" s="37">
        <f>IF(AL544=15,H544,0)</f>
        <v>0</v>
      </c>
      <c r="AJ544" s="37">
        <f>IF(AL544=21,H544,0)</f>
        <v>0</v>
      </c>
      <c r="AL544" s="37">
        <v>21</v>
      </c>
      <c r="AM544" s="37">
        <f>G544*0.826602294323482</f>
        <v>0</v>
      </c>
      <c r="AN544" s="37">
        <f>G544*(1-0.826602294323482)</f>
        <v>0</v>
      </c>
      <c r="AO544" s="38" t="s">
        <v>136</v>
      </c>
      <c r="AT544" s="37">
        <f>AU544+AV544</f>
        <v>0</v>
      </c>
      <c r="AU544" s="37">
        <f>F544*AM544</f>
        <v>0</v>
      </c>
      <c r="AV544" s="37">
        <f>F544*AN544</f>
        <v>0</v>
      </c>
      <c r="AW544" s="38" t="s">
        <v>977</v>
      </c>
      <c r="AX544" s="38" t="s">
        <v>978</v>
      </c>
      <c r="AY544" s="23" t="s">
        <v>97</v>
      </c>
      <c r="BA544" s="37">
        <f>AU544+AV544</f>
        <v>0</v>
      </c>
      <c r="BB544" s="37">
        <f>G544/(100-BC544)*100</f>
        <v>0</v>
      </c>
      <c r="BC544" s="37">
        <v>0</v>
      </c>
      <c r="BD544" s="37">
        <f>J544</f>
        <v>0.00216</v>
      </c>
      <c r="BF544" s="37">
        <f>F544*AM544</f>
        <v>0</v>
      </c>
      <c r="BG544" s="37">
        <f>F544*AN544</f>
        <v>0</v>
      </c>
      <c r="BH544" s="37">
        <f>F544*G544</f>
        <v>0</v>
      </c>
    </row>
    <row r="545" spans="1:11" ht="13.5" thickBot="1">
      <c r="A545" s="39"/>
      <c r="B545" s="40"/>
      <c r="C545" s="40"/>
      <c r="D545" s="41" t="s">
        <v>979</v>
      </c>
      <c r="E545" s="40"/>
      <c r="F545" s="42">
        <v>2</v>
      </c>
      <c r="G545" s="362"/>
      <c r="H545" s="40"/>
      <c r="I545" s="43"/>
      <c r="J545" s="43"/>
      <c r="K545" s="40"/>
    </row>
    <row r="546" spans="1:60" ht="13.5" thickBot="1">
      <c r="A546" s="343" t="s">
        <v>980</v>
      </c>
      <c r="B546" s="16"/>
      <c r="C546" s="16" t="s">
        <v>981</v>
      </c>
      <c r="D546" s="32" t="s">
        <v>982</v>
      </c>
      <c r="E546" s="16" t="s">
        <v>469</v>
      </c>
      <c r="F546" s="356">
        <v>1</v>
      </c>
      <c r="G546" s="360">
        <f>SUM('186 - ZTI'!G131)</f>
        <v>0</v>
      </c>
      <c r="H546" s="357">
        <f>F546*G546</f>
        <v>0</v>
      </c>
      <c r="I546" s="35">
        <v>0.25</v>
      </c>
      <c r="J546" s="35">
        <f>F546*I546</f>
        <v>0.25</v>
      </c>
      <c r="K546" s="36" t="s">
        <v>226</v>
      </c>
      <c r="X546" s="37">
        <f>IF(AO546="5",BH546,0)</f>
        <v>0</v>
      </c>
      <c r="Z546" s="37">
        <f>IF(AO546="1",BF546,0)</f>
        <v>0</v>
      </c>
      <c r="AA546" s="37">
        <f>IF(AO546="1",BG546,0)</f>
        <v>0</v>
      </c>
      <c r="AB546" s="37">
        <f>IF(AO546="7",BF546,0)</f>
        <v>0</v>
      </c>
      <c r="AC546" s="37">
        <f>IF(AO546="7",BG546,0)</f>
        <v>0</v>
      </c>
      <c r="AD546" s="37">
        <f>IF(AO546="2",BF546,0)</f>
        <v>0</v>
      </c>
      <c r="AE546" s="37">
        <f>IF(AO546="2",BG546,0)</f>
        <v>0</v>
      </c>
      <c r="AF546" s="37">
        <f>IF(AO546="0",BH546,0)</f>
        <v>0</v>
      </c>
      <c r="AG546" s="23"/>
      <c r="AH546" s="37">
        <f>IF(AL546=0,H546,0)</f>
        <v>0</v>
      </c>
      <c r="AI546" s="37">
        <f>IF(AL546=15,H546,0)</f>
        <v>0</v>
      </c>
      <c r="AJ546" s="37">
        <f>IF(AL546=21,H546,0)</f>
        <v>0</v>
      </c>
      <c r="AL546" s="37">
        <v>21</v>
      </c>
      <c r="AM546" s="37">
        <f>G546*0</f>
        <v>0</v>
      </c>
      <c r="AN546" s="37">
        <f>G546*(1-0)</f>
        <v>0</v>
      </c>
      <c r="AO546" s="38" t="s">
        <v>136</v>
      </c>
      <c r="AT546" s="37">
        <f>AU546+AV546</f>
        <v>0</v>
      </c>
      <c r="AU546" s="37">
        <f>F546*AM546</f>
        <v>0</v>
      </c>
      <c r="AV546" s="37">
        <f>F546*AN546</f>
        <v>0</v>
      </c>
      <c r="AW546" s="38" t="s">
        <v>977</v>
      </c>
      <c r="AX546" s="38" t="s">
        <v>978</v>
      </c>
      <c r="AY546" s="23" t="s">
        <v>97</v>
      </c>
      <c r="BA546" s="37">
        <f>AU546+AV546</f>
        <v>0</v>
      </c>
      <c r="BB546" s="37">
        <f>G546/(100-BC546)*100</f>
        <v>0</v>
      </c>
      <c r="BC546" s="37">
        <v>0</v>
      </c>
      <c r="BD546" s="37">
        <f>J546</f>
        <v>0.25</v>
      </c>
      <c r="BF546" s="37">
        <f>F546*AM546</f>
        <v>0</v>
      </c>
      <c r="BG546" s="37">
        <f>F546*AN546</f>
        <v>0</v>
      </c>
      <c r="BH546" s="37">
        <f>F546*G546</f>
        <v>0</v>
      </c>
    </row>
    <row r="547" spans="1:11" ht="13.5" thickBot="1">
      <c r="A547" s="39"/>
      <c r="B547" s="40"/>
      <c r="C547" s="40"/>
      <c r="D547" s="41" t="s">
        <v>983</v>
      </c>
      <c r="E547" s="40"/>
      <c r="F547" s="42">
        <v>1</v>
      </c>
      <c r="G547" s="361"/>
      <c r="H547" s="40"/>
      <c r="I547" s="43"/>
      <c r="J547" s="43"/>
      <c r="K547" s="40"/>
    </row>
    <row r="548" spans="1:11" ht="13.5" thickBot="1">
      <c r="A548" s="354" t="s">
        <v>984</v>
      </c>
      <c r="B548" s="40"/>
      <c r="C548" s="16" t="s">
        <v>985</v>
      </c>
      <c r="D548" s="32" t="s">
        <v>986</v>
      </c>
      <c r="E548" s="16" t="s">
        <v>469</v>
      </c>
      <c r="F548" s="356">
        <v>1</v>
      </c>
      <c r="G548" s="360">
        <f>SUM('187 - ZTI rozvody'!G105)</f>
        <v>0</v>
      </c>
      <c r="H548" s="357">
        <f>F548*G548</f>
        <v>0</v>
      </c>
      <c r="I548" s="35">
        <v>0.25</v>
      </c>
      <c r="J548" s="35">
        <f>F548*I548</f>
        <v>0.25</v>
      </c>
      <c r="K548" s="36" t="s">
        <v>226</v>
      </c>
    </row>
    <row r="549" spans="1:11" ht="12.75">
      <c r="A549" s="39"/>
      <c r="B549" s="40"/>
      <c r="C549" s="40"/>
      <c r="D549" s="41" t="s">
        <v>983</v>
      </c>
      <c r="E549" s="40"/>
      <c r="F549" s="42">
        <v>1</v>
      </c>
      <c r="G549" s="359"/>
      <c r="H549" s="40"/>
      <c r="I549" s="43"/>
      <c r="J549" s="43"/>
      <c r="K549" s="40"/>
    </row>
    <row r="550" spans="1:60" ht="12.75">
      <c r="A550" s="16" t="s">
        <v>987</v>
      </c>
      <c r="B550" s="16"/>
      <c r="C550" s="16" t="s">
        <v>988</v>
      </c>
      <c r="D550" s="32" t="s">
        <v>989</v>
      </c>
      <c r="E550" s="16" t="s">
        <v>469</v>
      </c>
      <c r="F550" s="33">
        <v>1</v>
      </c>
      <c r="G550" s="422"/>
      <c r="H550" s="34">
        <f>F550*G550</f>
        <v>0</v>
      </c>
      <c r="I550" s="35">
        <v>0.00146</v>
      </c>
      <c r="J550" s="35">
        <f>F550*I550</f>
        <v>0.00146</v>
      </c>
      <c r="K550" s="36" t="s">
        <v>226</v>
      </c>
      <c r="X550" s="37">
        <f>IF(AO550="5",BH550,0)</f>
        <v>0</v>
      </c>
      <c r="Z550" s="37">
        <f>IF(AO550="1",BF550,0)</f>
        <v>0</v>
      </c>
      <c r="AA550" s="37">
        <f>IF(AO550="1",BG550,0)</f>
        <v>0</v>
      </c>
      <c r="AB550" s="37">
        <f>IF(AO550="7",BF550,0)</f>
        <v>0</v>
      </c>
      <c r="AC550" s="37">
        <f>IF(AO550="7",BG550,0)</f>
        <v>0</v>
      </c>
      <c r="AD550" s="37">
        <f>IF(AO550="2",BF550,0)</f>
        <v>0</v>
      </c>
      <c r="AE550" s="37">
        <f>IF(AO550="2",BG550,0)</f>
        <v>0</v>
      </c>
      <c r="AF550" s="37">
        <f>IF(AO550="0",BH550,0)</f>
        <v>0</v>
      </c>
      <c r="AG550" s="23"/>
      <c r="AH550" s="37">
        <f>IF(AL550=0,H550,0)</f>
        <v>0</v>
      </c>
      <c r="AI550" s="37">
        <f>IF(AL550=15,H550,0)</f>
        <v>0</v>
      </c>
      <c r="AJ550" s="37">
        <f>IF(AL550=21,H550,0)</f>
        <v>0</v>
      </c>
      <c r="AL550" s="37">
        <v>21</v>
      </c>
      <c r="AM550" s="37">
        <f>G550*0</f>
        <v>0</v>
      </c>
      <c r="AN550" s="37">
        <f>G550*(1-0)</f>
        <v>0</v>
      </c>
      <c r="AO550" s="38" t="s">
        <v>136</v>
      </c>
      <c r="AT550" s="37">
        <f>AU550+AV550</f>
        <v>0</v>
      </c>
      <c r="AU550" s="37">
        <f>F550*AM550</f>
        <v>0</v>
      </c>
      <c r="AV550" s="37">
        <f>F550*AN550</f>
        <v>0</v>
      </c>
      <c r="AW550" s="38" t="s">
        <v>977</v>
      </c>
      <c r="AX550" s="38" t="s">
        <v>978</v>
      </c>
      <c r="AY550" s="23" t="s">
        <v>97</v>
      </c>
      <c r="BA550" s="37">
        <f>AU550+AV550</f>
        <v>0</v>
      </c>
      <c r="BB550" s="37">
        <f>G550/(100-BC550)*100</f>
        <v>0</v>
      </c>
      <c r="BC550" s="37">
        <v>0</v>
      </c>
      <c r="BD550" s="37">
        <f>J550</f>
        <v>0.00146</v>
      </c>
      <c r="BF550" s="37">
        <f>F550*AM550</f>
        <v>0</v>
      </c>
      <c r="BG550" s="37">
        <f>F550*AN550</f>
        <v>0</v>
      </c>
      <c r="BH550" s="37">
        <f>F550*G550</f>
        <v>0</v>
      </c>
    </row>
    <row r="551" spans="1:11" ht="12.75">
      <c r="A551" s="39"/>
      <c r="B551" s="40"/>
      <c r="C551" s="40"/>
      <c r="D551" s="41" t="s">
        <v>990</v>
      </c>
      <c r="E551" s="40"/>
      <c r="F551" s="42">
        <v>1</v>
      </c>
      <c r="G551" s="40"/>
      <c r="H551" s="40"/>
      <c r="I551" s="43"/>
      <c r="J551" s="43"/>
      <c r="K551" s="40"/>
    </row>
    <row r="552" spans="1:11" ht="25.5">
      <c r="A552" s="39" t="s">
        <v>991</v>
      </c>
      <c r="B552" s="40"/>
      <c r="C552" s="16" t="s">
        <v>992</v>
      </c>
      <c r="D552" s="32" t="s">
        <v>993</v>
      </c>
      <c r="E552" s="16" t="s">
        <v>225</v>
      </c>
      <c r="F552" s="33">
        <v>2</v>
      </c>
      <c r="G552" s="422"/>
      <c r="H552" s="34">
        <f>F552*G552</f>
        <v>0</v>
      </c>
      <c r="I552" s="35">
        <v>0.02</v>
      </c>
      <c r="J552" s="35">
        <f>F552*I552</f>
        <v>0.04</v>
      </c>
      <c r="K552" s="36" t="s">
        <v>226</v>
      </c>
    </row>
    <row r="553" spans="1:11" ht="12.75">
      <c r="A553" s="39"/>
      <c r="B553" s="40"/>
      <c r="C553" s="40"/>
      <c r="D553" s="41" t="s">
        <v>994</v>
      </c>
      <c r="E553" s="40"/>
      <c r="F553" s="42">
        <v>2</v>
      </c>
      <c r="G553" s="40"/>
      <c r="H553" s="40"/>
      <c r="I553" s="43"/>
      <c r="J553" s="43"/>
      <c r="K553" s="40"/>
    </row>
    <row r="554" spans="1:11" ht="25.5">
      <c r="A554" s="39" t="s">
        <v>995</v>
      </c>
      <c r="B554" s="40"/>
      <c r="C554" s="16" t="s">
        <v>996</v>
      </c>
      <c r="D554" s="32" t="s">
        <v>997</v>
      </c>
      <c r="E554" s="16" t="s">
        <v>225</v>
      </c>
      <c r="F554" s="33">
        <v>4</v>
      </c>
      <c r="G554" s="422"/>
      <c r="H554" s="34">
        <f>F554*G554</f>
        <v>0</v>
      </c>
      <c r="I554" s="35">
        <v>0.025</v>
      </c>
      <c r="J554" s="35">
        <f>F554*I554</f>
        <v>0.1</v>
      </c>
      <c r="K554" s="36" t="s">
        <v>226</v>
      </c>
    </row>
    <row r="555" spans="1:11" ht="12.75">
      <c r="A555" s="39"/>
      <c r="B555" s="40"/>
      <c r="C555" s="40"/>
      <c r="D555" s="41" t="s">
        <v>112</v>
      </c>
      <c r="E555" s="40"/>
      <c r="F555" s="42">
        <v>4</v>
      </c>
      <c r="G555" s="40"/>
      <c r="H555" s="40"/>
      <c r="I555" s="43"/>
      <c r="J555" s="43"/>
      <c r="K555" s="40"/>
    </row>
    <row r="556" spans="1:60" ht="25.5">
      <c r="A556" s="44" t="s">
        <v>998</v>
      </c>
      <c r="B556" s="44"/>
      <c r="C556" s="16" t="s">
        <v>999</v>
      </c>
      <c r="D556" s="32" t="s">
        <v>1000</v>
      </c>
      <c r="E556" s="16" t="s">
        <v>225</v>
      </c>
      <c r="F556" s="33">
        <v>18</v>
      </c>
      <c r="G556" s="422"/>
      <c r="H556" s="34">
        <f>F556*G556</f>
        <v>0</v>
      </c>
      <c r="I556" s="48">
        <v>0.002</v>
      </c>
      <c r="J556" s="48">
        <f>F556*I556</f>
        <v>0.036000000000000004</v>
      </c>
      <c r="K556" s="49" t="s">
        <v>226</v>
      </c>
      <c r="X556" s="37">
        <f>IF(AO556="5",BH556,0)</f>
        <v>0</v>
      </c>
      <c r="Z556" s="37">
        <f>IF(AO556="1",BF556,0)</f>
        <v>0</v>
      </c>
      <c r="AA556" s="37">
        <f>IF(AO556="1",BG556,0)</f>
        <v>0</v>
      </c>
      <c r="AB556" s="37">
        <f>IF(AO556="7",BF556,0)</f>
        <v>0</v>
      </c>
      <c r="AC556" s="37">
        <f>IF(AO556="7",BG556,0)</f>
        <v>0</v>
      </c>
      <c r="AD556" s="37">
        <f>IF(AO556="2",BF556,0)</f>
        <v>0</v>
      </c>
      <c r="AE556" s="37">
        <f>IF(AO556="2",BG556,0)</f>
        <v>0</v>
      </c>
      <c r="AF556" s="37">
        <f>IF(AO556="0",BH556,0)</f>
        <v>0</v>
      </c>
      <c r="AG556" s="23"/>
      <c r="AH556" s="37">
        <f>IF(AL556=0,H556,0)</f>
        <v>0</v>
      </c>
      <c r="AI556" s="37">
        <f>IF(AL556=15,H556,0)</f>
        <v>0</v>
      </c>
      <c r="AJ556" s="37">
        <f>IF(AL556=21,H556,0)</f>
        <v>0</v>
      </c>
      <c r="AL556" s="37">
        <v>21</v>
      </c>
      <c r="AM556" s="37">
        <f>G556*0.813200498132005</f>
        <v>0</v>
      </c>
      <c r="AN556" s="37">
        <f>G556*(1-0.813200498132005)</f>
        <v>0</v>
      </c>
      <c r="AO556" s="38" t="s">
        <v>136</v>
      </c>
      <c r="AT556" s="37">
        <f>AU556+AV556</f>
        <v>0</v>
      </c>
      <c r="AU556" s="37">
        <f>F556*AM556</f>
        <v>0</v>
      </c>
      <c r="AV556" s="37">
        <f>F556*AN556</f>
        <v>0</v>
      </c>
      <c r="AW556" s="38" t="s">
        <v>977</v>
      </c>
      <c r="AX556" s="38" t="s">
        <v>978</v>
      </c>
      <c r="AY556" s="23" t="s">
        <v>97</v>
      </c>
      <c r="BA556" s="37">
        <f>AU556+AV556</f>
        <v>0</v>
      </c>
      <c r="BB556" s="37">
        <f>G556/(100-BC556)*100</f>
        <v>0</v>
      </c>
      <c r="BC556" s="37">
        <v>0</v>
      </c>
      <c r="BD556" s="37">
        <f>J556</f>
        <v>0.036000000000000004</v>
      </c>
      <c r="BF556" s="37">
        <f>F556*AM556</f>
        <v>0</v>
      </c>
      <c r="BG556" s="37">
        <f>F556*AN556</f>
        <v>0</v>
      </c>
      <c r="BH556" s="37">
        <f>F556*G556</f>
        <v>0</v>
      </c>
    </row>
    <row r="557" spans="1:11" ht="12.75">
      <c r="A557" s="50"/>
      <c r="B557" s="51"/>
      <c r="C557" s="55"/>
      <c r="D557" s="41" t="s">
        <v>1001</v>
      </c>
      <c r="E557" s="55"/>
      <c r="F557" s="42">
        <v>18</v>
      </c>
      <c r="G557" s="55"/>
      <c r="H557" s="55"/>
      <c r="I557" s="54"/>
      <c r="J557" s="54"/>
      <c r="K557" s="51"/>
    </row>
    <row r="558" spans="1:60" ht="25.5">
      <c r="A558" s="44" t="s">
        <v>1002</v>
      </c>
      <c r="B558" s="44"/>
      <c r="C558" s="16" t="s">
        <v>1003</v>
      </c>
      <c r="D558" s="32" t="s">
        <v>1004</v>
      </c>
      <c r="E558" s="16" t="s">
        <v>225</v>
      </c>
      <c r="F558" s="33">
        <v>3</v>
      </c>
      <c r="G558" s="422"/>
      <c r="H558" s="34">
        <f>F558*G558</f>
        <v>0</v>
      </c>
      <c r="I558" s="48">
        <v>0.002</v>
      </c>
      <c r="J558" s="48">
        <f>F558*I558</f>
        <v>0.006</v>
      </c>
      <c r="K558" s="49" t="s">
        <v>226</v>
      </c>
      <c r="X558" s="37">
        <f>IF(AO558="5",BH558,0)</f>
        <v>0</v>
      </c>
      <c r="Z558" s="37">
        <f>IF(AO558="1",BF558,0)</f>
        <v>0</v>
      </c>
      <c r="AA558" s="37">
        <f>IF(AO558="1",BG558,0)</f>
        <v>0</v>
      </c>
      <c r="AB558" s="37">
        <f>IF(AO558="7",BF558,0)</f>
        <v>0</v>
      </c>
      <c r="AC558" s="37">
        <f>IF(AO558="7",BG558,0)</f>
        <v>0</v>
      </c>
      <c r="AD558" s="37">
        <f>IF(AO558="2",BF558,0)</f>
        <v>0</v>
      </c>
      <c r="AE558" s="37">
        <f>IF(AO558="2",BG558,0)</f>
        <v>0</v>
      </c>
      <c r="AF558" s="37">
        <f>IF(AO558="0",BH558,0)</f>
        <v>0</v>
      </c>
      <c r="AG558" s="23"/>
      <c r="AH558" s="37">
        <f>IF(AL558=0,H558,0)</f>
        <v>0</v>
      </c>
      <c r="AI558" s="37">
        <f>IF(AL558=15,H558,0)</f>
        <v>0</v>
      </c>
      <c r="AJ558" s="37">
        <f>IF(AL558=21,H558,0)</f>
        <v>0</v>
      </c>
      <c r="AL558" s="37">
        <v>21</v>
      </c>
      <c r="AM558" s="37">
        <f>G558*0.834619625137817</f>
        <v>0</v>
      </c>
      <c r="AN558" s="37">
        <f>G558*(1-0.834619625137817)</f>
        <v>0</v>
      </c>
      <c r="AO558" s="38" t="s">
        <v>136</v>
      </c>
      <c r="AT558" s="37">
        <f>AU558+AV558</f>
        <v>0</v>
      </c>
      <c r="AU558" s="37">
        <f>F558*AM558</f>
        <v>0</v>
      </c>
      <c r="AV558" s="37">
        <f>F558*AN558</f>
        <v>0</v>
      </c>
      <c r="AW558" s="38" t="s">
        <v>977</v>
      </c>
      <c r="AX558" s="38" t="s">
        <v>978</v>
      </c>
      <c r="AY558" s="23" t="s">
        <v>97</v>
      </c>
      <c r="BA558" s="37">
        <f>AU558+AV558</f>
        <v>0</v>
      </c>
      <c r="BB558" s="37">
        <f>G558/(100-BC558)*100</f>
        <v>0</v>
      </c>
      <c r="BC558" s="37">
        <v>0</v>
      </c>
      <c r="BD558" s="37">
        <f>J558</f>
        <v>0.006</v>
      </c>
      <c r="BF558" s="37">
        <f>F558*AM558</f>
        <v>0</v>
      </c>
      <c r="BG558" s="37">
        <f>F558*AN558</f>
        <v>0</v>
      </c>
      <c r="BH558" s="37">
        <f>F558*G558</f>
        <v>0</v>
      </c>
    </row>
    <row r="559" spans="1:11" ht="12.75">
      <c r="A559" s="50"/>
      <c r="B559" s="51"/>
      <c r="C559" s="55"/>
      <c r="D559" s="41" t="s">
        <v>1005</v>
      </c>
      <c r="E559" s="55"/>
      <c r="F559" s="42">
        <v>3</v>
      </c>
      <c r="G559" s="55"/>
      <c r="H559" s="55"/>
      <c r="I559" s="54"/>
      <c r="J559" s="54"/>
      <c r="K559" s="51"/>
    </row>
    <row r="560" spans="1:60" ht="25.5">
      <c r="A560" s="44" t="s">
        <v>1006</v>
      </c>
      <c r="B560" s="44"/>
      <c r="C560" s="16" t="s">
        <v>1007</v>
      </c>
      <c r="D560" s="32" t="s">
        <v>1008</v>
      </c>
      <c r="E560" s="16" t="s">
        <v>225</v>
      </c>
      <c r="F560" s="33">
        <v>3</v>
      </c>
      <c r="G560" s="422"/>
      <c r="H560" s="34">
        <f>F560*G560</f>
        <v>0</v>
      </c>
      <c r="I560" s="48">
        <v>0.005</v>
      </c>
      <c r="J560" s="48">
        <f>F560*I560</f>
        <v>0.015</v>
      </c>
      <c r="K560" s="49" t="s">
        <v>226</v>
      </c>
      <c r="X560" s="37">
        <f>IF(AO560="5",BH560,0)</f>
        <v>0</v>
      </c>
      <c r="Z560" s="37">
        <f>IF(AO560="1",BF560,0)</f>
        <v>0</v>
      </c>
      <c r="AA560" s="37">
        <f>IF(AO560="1",BG560,0)</f>
        <v>0</v>
      </c>
      <c r="AB560" s="37">
        <f>IF(AO560="7",BF560,0)</f>
        <v>0</v>
      </c>
      <c r="AC560" s="37">
        <f>IF(AO560="7",BG560,0)</f>
        <v>0</v>
      </c>
      <c r="AD560" s="37">
        <f>IF(AO560="2",BF560,0)</f>
        <v>0</v>
      </c>
      <c r="AE560" s="37">
        <f>IF(AO560="2",BG560,0)</f>
        <v>0</v>
      </c>
      <c r="AF560" s="37">
        <f>IF(AO560="0",BH560,0)</f>
        <v>0</v>
      </c>
      <c r="AG560" s="23"/>
      <c r="AH560" s="37">
        <f>IF(AL560=0,H560,0)</f>
        <v>0</v>
      </c>
      <c r="AI560" s="37">
        <f>IF(AL560=15,H560,0)</f>
        <v>0</v>
      </c>
      <c r="AJ560" s="37">
        <f>IF(AL560=21,H560,0)</f>
        <v>0</v>
      </c>
      <c r="AL560" s="37">
        <v>21</v>
      </c>
      <c r="AM560" s="37">
        <f>G560*0.86784140969163</f>
        <v>0</v>
      </c>
      <c r="AN560" s="37">
        <f>G560*(1-0.86784140969163)</f>
        <v>0</v>
      </c>
      <c r="AO560" s="38" t="s">
        <v>136</v>
      </c>
      <c r="AT560" s="37">
        <f>AU560+AV560</f>
        <v>0</v>
      </c>
      <c r="AU560" s="37">
        <f>F560*AM560</f>
        <v>0</v>
      </c>
      <c r="AV560" s="37">
        <f>F560*AN560</f>
        <v>0</v>
      </c>
      <c r="AW560" s="38" t="s">
        <v>977</v>
      </c>
      <c r="AX560" s="38" t="s">
        <v>978</v>
      </c>
      <c r="AY560" s="23" t="s">
        <v>97</v>
      </c>
      <c r="BA560" s="37">
        <f>AU560+AV560</f>
        <v>0</v>
      </c>
      <c r="BB560" s="37">
        <f>G560/(100-BC560)*100</f>
        <v>0</v>
      </c>
      <c r="BC560" s="37">
        <v>0</v>
      </c>
      <c r="BD560" s="37">
        <f>J560</f>
        <v>0.015</v>
      </c>
      <c r="BF560" s="37">
        <f>F560*AM560</f>
        <v>0</v>
      </c>
      <c r="BG560" s="37">
        <f>F560*AN560</f>
        <v>0</v>
      </c>
      <c r="BH560" s="37">
        <f>F560*G560</f>
        <v>0</v>
      </c>
    </row>
    <row r="561" spans="1:11" ht="12.75">
      <c r="A561" s="50"/>
      <c r="B561" s="51"/>
      <c r="C561" s="55"/>
      <c r="D561" s="41" t="s">
        <v>1009</v>
      </c>
      <c r="E561" s="55"/>
      <c r="F561" s="42">
        <v>3</v>
      </c>
      <c r="G561" s="55"/>
      <c r="H561" s="55"/>
      <c r="I561" s="54"/>
      <c r="J561" s="54"/>
      <c r="K561" s="51"/>
    </row>
    <row r="562" spans="1:60" ht="25.5">
      <c r="A562" s="44" t="s">
        <v>1010</v>
      </c>
      <c r="B562" s="44"/>
      <c r="C562" s="16" t="s">
        <v>1011</v>
      </c>
      <c r="D562" s="32" t="s">
        <v>1012</v>
      </c>
      <c r="E562" s="16" t="s">
        <v>225</v>
      </c>
      <c r="F562" s="33">
        <v>3</v>
      </c>
      <c r="G562" s="422"/>
      <c r="H562" s="34">
        <f>F562*G562</f>
        <v>0</v>
      </c>
      <c r="I562" s="48">
        <v>0.005</v>
      </c>
      <c r="J562" s="48">
        <f>F562*I562</f>
        <v>0.015</v>
      </c>
      <c r="K562" s="49" t="s">
        <v>226</v>
      </c>
      <c r="X562" s="37">
        <f>IF(AO562="5",BH562,0)</f>
        <v>0</v>
      </c>
      <c r="Z562" s="37">
        <f>IF(AO562="1",BF562,0)</f>
        <v>0</v>
      </c>
      <c r="AA562" s="37">
        <f>IF(AO562="1",BG562,0)</f>
        <v>0</v>
      </c>
      <c r="AB562" s="37">
        <f>IF(AO562="7",BF562,0)</f>
        <v>0</v>
      </c>
      <c r="AC562" s="37">
        <f>IF(AO562="7",BG562,0)</f>
        <v>0</v>
      </c>
      <c r="AD562" s="37">
        <f>IF(AO562="2",BF562,0)</f>
        <v>0</v>
      </c>
      <c r="AE562" s="37">
        <f>IF(AO562="2",BG562,0)</f>
        <v>0</v>
      </c>
      <c r="AF562" s="37">
        <f>IF(AO562="0",BH562,0)</f>
        <v>0</v>
      </c>
      <c r="AG562" s="23"/>
      <c r="AH562" s="37">
        <f>IF(AL562=0,H562,0)</f>
        <v>0</v>
      </c>
      <c r="AI562" s="37">
        <f>IF(AL562=15,H562,0)</f>
        <v>0</v>
      </c>
      <c r="AJ562" s="37">
        <f>IF(AL562=21,H562,0)</f>
        <v>0</v>
      </c>
      <c r="AL562" s="37">
        <v>21</v>
      </c>
      <c r="AM562" s="37">
        <f>G562*0.935344827586207</f>
        <v>0</v>
      </c>
      <c r="AN562" s="37">
        <f>G562*(1-0.935344827586207)</f>
        <v>0</v>
      </c>
      <c r="AO562" s="38" t="s">
        <v>136</v>
      </c>
      <c r="AT562" s="37">
        <f>AU562+AV562</f>
        <v>0</v>
      </c>
      <c r="AU562" s="37">
        <f>F562*AM562</f>
        <v>0</v>
      </c>
      <c r="AV562" s="37">
        <f>F562*AN562</f>
        <v>0</v>
      </c>
      <c r="AW562" s="38" t="s">
        <v>977</v>
      </c>
      <c r="AX562" s="38" t="s">
        <v>978</v>
      </c>
      <c r="AY562" s="23" t="s">
        <v>97</v>
      </c>
      <c r="BA562" s="37">
        <f>AU562+AV562</f>
        <v>0</v>
      </c>
      <c r="BB562" s="37">
        <f>G562/(100-BC562)*100</f>
        <v>0</v>
      </c>
      <c r="BC562" s="37">
        <v>0</v>
      </c>
      <c r="BD562" s="37">
        <f>J562</f>
        <v>0.015</v>
      </c>
      <c r="BF562" s="37">
        <f>F562*AM562</f>
        <v>0</v>
      </c>
      <c r="BG562" s="37">
        <f>F562*AN562</f>
        <v>0</v>
      </c>
      <c r="BH562" s="37">
        <f>F562*G562</f>
        <v>0</v>
      </c>
    </row>
    <row r="563" spans="1:11" ht="12.75">
      <c r="A563" s="50"/>
      <c r="B563" s="51"/>
      <c r="C563" s="55"/>
      <c r="D563" s="41" t="s">
        <v>1013</v>
      </c>
      <c r="E563" s="55"/>
      <c r="F563" s="42">
        <v>3</v>
      </c>
      <c r="G563" s="55"/>
      <c r="H563" s="55"/>
      <c r="I563" s="54"/>
      <c r="J563" s="54"/>
      <c r="K563" s="51"/>
    </row>
    <row r="564" spans="1:60" ht="25.5">
      <c r="A564" s="44" t="s">
        <v>1014</v>
      </c>
      <c r="B564" s="44"/>
      <c r="C564" s="16" t="s">
        <v>1015</v>
      </c>
      <c r="D564" s="32" t="s">
        <v>1016</v>
      </c>
      <c r="E564" s="16" t="s">
        <v>225</v>
      </c>
      <c r="F564" s="33">
        <v>3</v>
      </c>
      <c r="G564" s="422"/>
      <c r="H564" s="34">
        <f>F564*G564</f>
        <v>0</v>
      </c>
      <c r="I564" s="48">
        <v>0.005</v>
      </c>
      <c r="J564" s="48">
        <f>F564*I564</f>
        <v>0.015</v>
      </c>
      <c r="K564" s="49" t="s">
        <v>226</v>
      </c>
      <c r="X564" s="37">
        <f>IF(AO564="5",BH564,0)</f>
        <v>0</v>
      </c>
      <c r="Z564" s="37">
        <f>IF(AO564="1",BF564,0)</f>
        <v>0</v>
      </c>
      <c r="AA564" s="37">
        <f>IF(AO564="1",BG564,0)</f>
        <v>0</v>
      </c>
      <c r="AB564" s="37">
        <f>IF(AO564="7",BF564,0)</f>
        <v>0</v>
      </c>
      <c r="AC564" s="37">
        <f>IF(AO564="7",BG564,0)</f>
        <v>0</v>
      </c>
      <c r="AD564" s="37">
        <f>IF(AO564="2",BF564,0)</f>
        <v>0</v>
      </c>
      <c r="AE564" s="37">
        <f>IF(AO564="2",BG564,0)</f>
        <v>0</v>
      </c>
      <c r="AF564" s="37">
        <f>IF(AO564="0",BH564,0)</f>
        <v>0</v>
      </c>
      <c r="AG564" s="23"/>
      <c r="AH564" s="37">
        <f>IF(AL564=0,H564,0)</f>
        <v>0</v>
      </c>
      <c r="AI564" s="37">
        <f>IF(AL564=15,H564,0)</f>
        <v>0</v>
      </c>
      <c r="AJ564" s="37">
        <f>IF(AL564=21,H564,0)</f>
        <v>0</v>
      </c>
      <c r="AL564" s="37">
        <v>21</v>
      </c>
      <c r="AM564" s="37">
        <f>G564*0.954351795496044</f>
        <v>0</v>
      </c>
      <c r="AN564" s="37">
        <f>G564*(1-0.954351795496044)</f>
        <v>0</v>
      </c>
      <c r="AO564" s="38" t="s">
        <v>136</v>
      </c>
      <c r="AT564" s="37">
        <f>AU564+AV564</f>
        <v>0</v>
      </c>
      <c r="AU564" s="37">
        <f>F564*AM564</f>
        <v>0</v>
      </c>
      <c r="AV564" s="37">
        <f>F564*AN564</f>
        <v>0</v>
      </c>
      <c r="AW564" s="38" t="s">
        <v>977</v>
      </c>
      <c r="AX564" s="38" t="s">
        <v>978</v>
      </c>
      <c r="AY564" s="23" t="s">
        <v>97</v>
      </c>
      <c r="BA564" s="37">
        <f>AU564+AV564</f>
        <v>0</v>
      </c>
      <c r="BB564" s="37">
        <f>G564/(100-BC564)*100</f>
        <v>0</v>
      </c>
      <c r="BC564" s="37">
        <v>0</v>
      </c>
      <c r="BD564" s="37">
        <f>J564</f>
        <v>0.015</v>
      </c>
      <c r="BF564" s="37">
        <f>F564*AM564</f>
        <v>0</v>
      </c>
      <c r="BG564" s="37">
        <f>F564*AN564</f>
        <v>0</v>
      </c>
      <c r="BH564" s="37">
        <f>F564*G564</f>
        <v>0</v>
      </c>
    </row>
    <row r="565" spans="1:11" ht="12.75">
      <c r="A565" s="50"/>
      <c r="B565" s="51"/>
      <c r="C565" s="55"/>
      <c r="D565" s="41" t="s">
        <v>1017</v>
      </c>
      <c r="E565" s="55"/>
      <c r="F565" s="42">
        <v>3</v>
      </c>
      <c r="G565" s="55"/>
      <c r="H565" s="55"/>
      <c r="I565" s="54"/>
      <c r="J565" s="54"/>
      <c r="K565" s="51"/>
    </row>
    <row r="566" spans="1:60" ht="25.5">
      <c r="A566" s="44" t="s">
        <v>1018</v>
      </c>
      <c r="B566" s="44"/>
      <c r="C566" s="44" t="s">
        <v>1019</v>
      </c>
      <c r="D566" s="45" t="s">
        <v>1020</v>
      </c>
      <c r="E566" s="44" t="s">
        <v>225</v>
      </c>
      <c r="F566" s="46">
        <v>17</v>
      </c>
      <c r="G566" s="423"/>
      <c r="H566" s="47">
        <f>F566*G566</f>
        <v>0</v>
      </c>
      <c r="I566" s="48">
        <v>0.005</v>
      </c>
      <c r="J566" s="48">
        <f>F566*I566</f>
        <v>0.085</v>
      </c>
      <c r="K566" s="49" t="s">
        <v>226</v>
      </c>
      <c r="X566" s="37">
        <f>IF(AO566="5",BH566,0)</f>
        <v>0</v>
      </c>
      <c r="Z566" s="37">
        <f>IF(AO566="1",BF566,0)</f>
        <v>0</v>
      </c>
      <c r="AA566" s="37">
        <f>IF(AO566="1",BG566,0)</f>
        <v>0</v>
      </c>
      <c r="AB566" s="37">
        <f>IF(AO566="7",BF566,0)</f>
        <v>0</v>
      </c>
      <c r="AC566" s="37">
        <f>IF(AO566="7",BG566,0)</f>
        <v>0</v>
      </c>
      <c r="AD566" s="37">
        <f>IF(AO566="2",BF566,0)</f>
        <v>0</v>
      </c>
      <c r="AE566" s="37">
        <f>IF(AO566="2",BG566,0)</f>
        <v>0</v>
      </c>
      <c r="AF566" s="37">
        <f>IF(AO566="0",BH566,0)</f>
        <v>0</v>
      </c>
      <c r="AG566" s="23"/>
      <c r="AH566" s="37">
        <f>IF(AL566=0,H566,0)</f>
        <v>0</v>
      </c>
      <c r="AI566" s="37">
        <f>IF(AL566=15,H566,0)</f>
        <v>0</v>
      </c>
      <c r="AJ566" s="37">
        <f>IF(AL566=21,H566,0)</f>
        <v>0</v>
      </c>
      <c r="AL566" s="37">
        <v>21</v>
      </c>
      <c r="AM566" s="37">
        <f>G566*0.879032258064516</f>
        <v>0</v>
      </c>
      <c r="AN566" s="37">
        <f>G566*(1-0.879032258064516)</f>
        <v>0</v>
      </c>
      <c r="AO566" s="38" t="s">
        <v>136</v>
      </c>
      <c r="AT566" s="37">
        <f>AU566+AV566</f>
        <v>0</v>
      </c>
      <c r="AU566" s="37">
        <f>F566*AM566</f>
        <v>0</v>
      </c>
      <c r="AV566" s="37">
        <f>F566*AN566</f>
        <v>0</v>
      </c>
      <c r="AW566" s="38" t="s">
        <v>977</v>
      </c>
      <c r="AX566" s="38" t="s">
        <v>978</v>
      </c>
      <c r="AY566" s="23" t="s">
        <v>97</v>
      </c>
      <c r="BA566" s="37">
        <f>AU566+AV566</f>
        <v>0</v>
      </c>
      <c r="BB566" s="37">
        <f>G566/(100-BC566)*100</f>
        <v>0</v>
      </c>
      <c r="BC566" s="37">
        <v>0</v>
      </c>
      <c r="BD566" s="37">
        <f>J566</f>
        <v>0.085</v>
      </c>
      <c r="BF566" s="37">
        <f>F566*AM566</f>
        <v>0</v>
      </c>
      <c r="BG566" s="37">
        <f>F566*AN566</f>
        <v>0</v>
      </c>
      <c r="BH566" s="37">
        <f>F566*G566</f>
        <v>0</v>
      </c>
    </row>
    <row r="567" spans="1:11" ht="12.75">
      <c r="A567" s="50"/>
      <c r="B567" s="51"/>
      <c r="C567" s="51"/>
      <c r="D567" s="52" t="s">
        <v>1021</v>
      </c>
      <c r="E567" s="51"/>
      <c r="F567" s="53">
        <v>17</v>
      </c>
      <c r="G567" s="51"/>
      <c r="H567" s="51"/>
      <c r="I567" s="54"/>
      <c r="J567" s="54"/>
      <c r="K567" s="51"/>
    </row>
    <row r="568" spans="1:60" ht="25.5">
      <c r="A568" s="44" t="s">
        <v>1022</v>
      </c>
      <c r="B568" s="44"/>
      <c r="C568" s="44" t="s">
        <v>1023</v>
      </c>
      <c r="D568" s="45" t="s">
        <v>1024</v>
      </c>
      <c r="E568" s="44" t="s">
        <v>225</v>
      </c>
      <c r="F568" s="46">
        <v>13</v>
      </c>
      <c r="G568" s="423"/>
      <c r="H568" s="47">
        <f>F568*G568</f>
        <v>0</v>
      </c>
      <c r="I568" s="48">
        <v>0.005</v>
      </c>
      <c r="J568" s="48">
        <f>F568*I568</f>
        <v>0.065</v>
      </c>
      <c r="K568" s="49" t="s">
        <v>226</v>
      </c>
      <c r="X568" s="37">
        <f>IF(AO568="5",BH568,0)</f>
        <v>0</v>
      </c>
      <c r="Z568" s="37">
        <f>IF(AO568="1",BF568,0)</f>
        <v>0</v>
      </c>
      <c r="AA568" s="37">
        <f>IF(AO568="1",BG568,0)</f>
        <v>0</v>
      </c>
      <c r="AB568" s="37">
        <f>IF(AO568="7",BF568,0)</f>
        <v>0</v>
      </c>
      <c r="AC568" s="37">
        <f>IF(AO568="7",BG568,0)</f>
        <v>0</v>
      </c>
      <c r="AD568" s="37">
        <f>IF(AO568="2",BF568,0)</f>
        <v>0</v>
      </c>
      <c r="AE568" s="37">
        <f>IF(AO568="2",BG568,0)</f>
        <v>0</v>
      </c>
      <c r="AF568" s="37">
        <f>IF(AO568="0",BH568,0)</f>
        <v>0</v>
      </c>
      <c r="AG568" s="23"/>
      <c r="AH568" s="37">
        <f>IF(AL568=0,H568,0)</f>
        <v>0</v>
      </c>
      <c r="AI568" s="37">
        <f>IF(AL568=15,H568,0)</f>
        <v>0</v>
      </c>
      <c r="AJ568" s="37">
        <f>IF(AL568=21,H568,0)</f>
        <v>0</v>
      </c>
      <c r="AL568" s="37">
        <v>21</v>
      </c>
      <c r="AM568" s="37">
        <f>G568*0.911971830985915</f>
        <v>0</v>
      </c>
      <c r="AN568" s="37">
        <f>G568*(1-0.911971830985915)</f>
        <v>0</v>
      </c>
      <c r="AO568" s="38" t="s">
        <v>136</v>
      </c>
      <c r="AT568" s="37">
        <f>AU568+AV568</f>
        <v>0</v>
      </c>
      <c r="AU568" s="37">
        <f>F568*AM568</f>
        <v>0</v>
      </c>
      <c r="AV568" s="37">
        <f>F568*AN568</f>
        <v>0</v>
      </c>
      <c r="AW568" s="38" t="s">
        <v>977</v>
      </c>
      <c r="AX568" s="38" t="s">
        <v>978</v>
      </c>
      <c r="AY568" s="23" t="s">
        <v>97</v>
      </c>
      <c r="BA568" s="37">
        <f>AU568+AV568</f>
        <v>0</v>
      </c>
      <c r="BB568" s="37">
        <f>G568/(100-BC568)*100</f>
        <v>0</v>
      </c>
      <c r="BC568" s="37">
        <v>0</v>
      </c>
      <c r="BD568" s="37">
        <f>J568</f>
        <v>0.065</v>
      </c>
      <c r="BF568" s="37">
        <f>F568*AM568</f>
        <v>0</v>
      </c>
      <c r="BG568" s="37">
        <f>F568*AN568</f>
        <v>0</v>
      </c>
      <c r="BH568" s="37">
        <f>F568*G568</f>
        <v>0</v>
      </c>
    </row>
    <row r="569" spans="1:11" ht="12.75">
      <c r="A569" s="50"/>
      <c r="B569" s="51"/>
      <c r="C569" s="51"/>
      <c r="D569" s="52" t="s">
        <v>1025</v>
      </c>
      <c r="E569" s="51"/>
      <c r="F569" s="53">
        <v>13</v>
      </c>
      <c r="G569" s="51"/>
      <c r="H569" s="51"/>
      <c r="I569" s="54"/>
      <c r="J569" s="54"/>
      <c r="K569" s="51"/>
    </row>
    <row r="570" spans="1:60" ht="25.5">
      <c r="A570" s="44" t="s">
        <v>1026</v>
      </c>
      <c r="B570" s="44"/>
      <c r="C570" s="44" t="s">
        <v>1027</v>
      </c>
      <c r="D570" s="45" t="s">
        <v>1028</v>
      </c>
      <c r="E570" s="44" t="s">
        <v>225</v>
      </c>
      <c r="F570" s="46">
        <v>4</v>
      </c>
      <c r="G570" s="423"/>
      <c r="H570" s="47">
        <f>F570*G570</f>
        <v>0</v>
      </c>
      <c r="I570" s="48">
        <v>0.003</v>
      </c>
      <c r="J570" s="48">
        <f>F570*I570</f>
        <v>0.012</v>
      </c>
      <c r="K570" s="49" t="s">
        <v>226</v>
      </c>
      <c r="X570" s="37">
        <f>IF(AO570="5",BH570,0)</f>
        <v>0</v>
      </c>
      <c r="Z570" s="37">
        <f>IF(AO570="1",BF570,0)</f>
        <v>0</v>
      </c>
      <c r="AA570" s="37">
        <f>IF(AO570="1",BG570,0)</f>
        <v>0</v>
      </c>
      <c r="AB570" s="37">
        <f>IF(AO570="7",BF570,0)</f>
        <v>0</v>
      </c>
      <c r="AC570" s="37">
        <f>IF(AO570="7",BG570,0)</f>
        <v>0</v>
      </c>
      <c r="AD570" s="37">
        <f>IF(AO570="2",BF570,0)</f>
        <v>0</v>
      </c>
      <c r="AE570" s="37">
        <f>IF(AO570="2",BG570,0)</f>
        <v>0</v>
      </c>
      <c r="AF570" s="37">
        <f>IF(AO570="0",BH570,0)</f>
        <v>0</v>
      </c>
      <c r="AG570" s="23"/>
      <c r="AH570" s="37">
        <f>IF(AL570=0,H570,0)</f>
        <v>0</v>
      </c>
      <c r="AI570" s="37">
        <f>IF(AL570=15,H570,0)</f>
        <v>0</v>
      </c>
      <c r="AJ570" s="37">
        <f>IF(AL570=21,H570,0)</f>
        <v>0</v>
      </c>
      <c r="AL570" s="37">
        <v>21</v>
      </c>
      <c r="AM570" s="37">
        <f>G570*0.789325842696629</f>
        <v>0</v>
      </c>
      <c r="AN570" s="37">
        <f>G570*(1-0.789325842696629)</f>
        <v>0</v>
      </c>
      <c r="AO570" s="38" t="s">
        <v>136</v>
      </c>
      <c r="AT570" s="37">
        <f>AU570+AV570</f>
        <v>0</v>
      </c>
      <c r="AU570" s="37">
        <f>F570*AM570</f>
        <v>0</v>
      </c>
      <c r="AV570" s="37">
        <f>F570*AN570</f>
        <v>0</v>
      </c>
      <c r="AW570" s="38" t="s">
        <v>977</v>
      </c>
      <c r="AX570" s="38" t="s">
        <v>978</v>
      </c>
      <c r="AY570" s="23" t="s">
        <v>97</v>
      </c>
      <c r="BA570" s="37">
        <f>AU570+AV570</f>
        <v>0</v>
      </c>
      <c r="BB570" s="37">
        <f>G570/(100-BC570)*100</f>
        <v>0</v>
      </c>
      <c r="BC570" s="37">
        <v>0</v>
      </c>
      <c r="BD570" s="37">
        <f>J570</f>
        <v>0.012</v>
      </c>
      <c r="BF570" s="37">
        <f>F570*AM570</f>
        <v>0</v>
      </c>
      <c r="BG570" s="37">
        <f>F570*AN570</f>
        <v>0</v>
      </c>
      <c r="BH570" s="37">
        <f>F570*G570</f>
        <v>0</v>
      </c>
    </row>
    <row r="571" spans="1:11" ht="12.75">
      <c r="A571" s="50"/>
      <c r="B571" s="51"/>
      <c r="C571" s="51"/>
      <c r="D571" s="52" t="s">
        <v>1029</v>
      </c>
      <c r="E571" s="51"/>
      <c r="F571" s="53">
        <v>4</v>
      </c>
      <c r="G571" s="51"/>
      <c r="H571" s="51"/>
      <c r="I571" s="54"/>
      <c r="J571" s="54"/>
      <c r="K571" s="51"/>
    </row>
    <row r="572" spans="1:60" ht="12.75">
      <c r="A572" s="44" t="s">
        <v>1030</v>
      </c>
      <c r="B572" s="44"/>
      <c r="C572" s="44" t="s">
        <v>1031</v>
      </c>
      <c r="D572" s="45" t="s">
        <v>1032</v>
      </c>
      <c r="E572" s="44" t="s">
        <v>225</v>
      </c>
      <c r="F572" s="46">
        <v>6</v>
      </c>
      <c r="G572" s="423"/>
      <c r="H572" s="47">
        <f>F572*G572</f>
        <v>0</v>
      </c>
      <c r="I572" s="48">
        <v>0.005</v>
      </c>
      <c r="J572" s="48">
        <f>F572*I572</f>
        <v>0.03</v>
      </c>
      <c r="K572" s="49" t="s">
        <v>226</v>
      </c>
      <c r="X572" s="37">
        <f>IF(AO572="5",BH572,0)</f>
        <v>0</v>
      </c>
      <c r="Z572" s="37">
        <f>IF(AO572="1",BF572,0)</f>
        <v>0</v>
      </c>
      <c r="AA572" s="37">
        <f>IF(AO572="1",BG572,0)</f>
        <v>0</v>
      </c>
      <c r="AB572" s="37">
        <f>IF(AO572="7",BF572,0)</f>
        <v>0</v>
      </c>
      <c r="AC572" s="37">
        <f>IF(AO572="7",BG572,0)</f>
        <v>0</v>
      </c>
      <c r="AD572" s="37">
        <f>IF(AO572="2",BF572,0)</f>
        <v>0</v>
      </c>
      <c r="AE572" s="37">
        <f>IF(AO572="2",BG572,0)</f>
        <v>0</v>
      </c>
      <c r="AF572" s="37">
        <f>IF(AO572="0",BH572,0)</f>
        <v>0</v>
      </c>
      <c r="AG572" s="23"/>
      <c r="AH572" s="37">
        <f>IF(AL572=0,H572,0)</f>
        <v>0</v>
      </c>
      <c r="AI572" s="37">
        <f>IF(AL572=15,H572,0)</f>
        <v>0</v>
      </c>
      <c r="AJ572" s="37">
        <f>IF(AL572=21,H572,0)</f>
        <v>0</v>
      </c>
      <c r="AL572" s="37">
        <v>21</v>
      </c>
      <c r="AM572" s="37">
        <f>G572*0.602122015915119</f>
        <v>0</v>
      </c>
      <c r="AN572" s="37">
        <f>G572*(1-0.602122015915119)</f>
        <v>0</v>
      </c>
      <c r="AO572" s="38" t="s">
        <v>136</v>
      </c>
      <c r="AT572" s="37">
        <f>AU572+AV572</f>
        <v>0</v>
      </c>
      <c r="AU572" s="37">
        <f>F572*AM572</f>
        <v>0</v>
      </c>
      <c r="AV572" s="37">
        <f>F572*AN572</f>
        <v>0</v>
      </c>
      <c r="AW572" s="38" t="s">
        <v>977</v>
      </c>
      <c r="AX572" s="38" t="s">
        <v>978</v>
      </c>
      <c r="AY572" s="23" t="s">
        <v>97</v>
      </c>
      <c r="BA572" s="37">
        <f>AU572+AV572</f>
        <v>0</v>
      </c>
      <c r="BB572" s="37">
        <f>G572/(100-BC572)*100</f>
        <v>0</v>
      </c>
      <c r="BC572" s="37">
        <v>0</v>
      </c>
      <c r="BD572" s="37">
        <f>J572</f>
        <v>0.03</v>
      </c>
      <c r="BF572" s="37">
        <f>F572*AM572</f>
        <v>0</v>
      </c>
      <c r="BG572" s="37">
        <f>F572*AN572</f>
        <v>0</v>
      </c>
      <c r="BH572" s="37">
        <f>F572*G572</f>
        <v>0</v>
      </c>
    </row>
    <row r="573" spans="1:11" ht="12.75">
      <c r="A573" s="50"/>
      <c r="B573" s="51"/>
      <c r="C573" s="51"/>
      <c r="D573" s="52" t="s">
        <v>1033</v>
      </c>
      <c r="E573" s="51"/>
      <c r="F573" s="53">
        <v>6</v>
      </c>
      <c r="G573" s="51"/>
      <c r="H573" s="51"/>
      <c r="I573" s="54"/>
      <c r="J573" s="54"/>
      <c r="K573" s="51"/>
    </row>
    <row r="574" spans="1:60" ht="25.5">
      <c r="A574" s="44" t="s">
        <v>1034</v>
      </c>
      <c r="B574" s="44"/>
      <c r="C574" s="44" t="s">
        <v>1035</v>
      </c>
      <c r="D574" s="45" t="s">
        <v>1036</v>
      </c>
      <c r="E574" s="44" t="s">
        <v>225</v>
      </c>
      <c r="F574" s="46">
        <v>7</v>
      </c>
      <c r="G574" s="423"/>
      <c r="H574" s="47">
        <f>F574*G574</f>
        <v>0</v>
      </c>
      <c r="I574" s="48">
        <v>0.005</v>
      </c>
      <c r="J574" s="48">
        <f>F574*I574</f>
        <v>0.035</v>
      </c>
      <c r="K574" s="49" t="s">
        <v>226</v>
      </c>
      <c r="X574" s="37">
        <f>IF(AO574="5",BH574,0)</f>
        <v>0</v>
      </c>
      <c r="Z574" s="37">
        <f>IF(AO574="1",BF574,0)</f>
        <v>0</v>
      </c>
      <c r="AA574" s="37">
        <f>IF(AO574="1",BG574,0)</f>
        <v>0</v>
      </c>
      <c r="AB574" s="37">
        <f>IF(AO574="7",BF574,0)</f>
        <v>0</v>
      </c>
      <c r="AC574" s="37">
        <f>IF(AO574="7",BG574,0)</f>
        <v>0</v>
      </c>
      <c r="AD574" s="37">
        <f>IF(AO574="2",BF574,0)</f>
        <v>0</v>
      </c>
      <c r="AE574" s="37">
        <f>IF(AO574="2",BG574,0)</f>
        <v>0</v>
      </c>
      <c r="AF574" s="37">
        <f>IF(AO574="0",BH574,0)</f>
        <v>0</v>
      </c>
      <c r="AG574" s="23"/>
      <c r="AH574" s="37">
        <f>IF(AL574=0,H574,0)</f>
        <v>0</v>
      </c>
      <c r="AI574" s="37">
        <f>IF(AL574=15,H574,0)</f>
        <v>0</v>
      </c>
      <c r="AJ574" s="37">
        <f>IF(AL574=21,H574,0)</f>
        <v>0</v>
      </c>
      <c r="AL574" s="37">
        <v>21</v>
      </c>
      <c r="AM574" s="37">
        <f>G574*0.941014549744396</f>
        <v>0</v>
      </c>
      <c r="AN574" s="37">
        <f>G574*(1-0.941014549744396)</f>
        <v>0</v>
      </c>
      <c r="AO574" s="38" t="s">
        <v>136</v>
      </c>
      <c r="AT574" s="37">
        <f>AU574+AV574</f>
        <v>0</v>
      </c>
      <c r="AU574" s="37">
        <f>F574*AM574</f>
        <v>0</v>
      </c>
      <c r="AV574" s="37">
        <f>F574*AN574</f>
        <v>0</v>
      </c>
      <c r="AW574" s="38" t="s">
        <v>977</v>
      </c>
      <c r="AX574" s="38" t="s">
        <v>978</v>
      </c>
      <c r="AY574" s="23" t="s">
        <v>97</v>
      </c>
      <c r="BA574" s="37">
        <f>AU574+AV574</f>
        <v>0</v>
      </c>
      <c r="BB574" s="37">
        <f>G574/(100-BC574)*100</f>
        <v>0</v>
      </c>
      <c r="BC574" s="37">
        <v>0</v>
      </c>
      <c r="BD574" s="37">
        <f>J574</f>
        <v>0.035</v>
      </c>
      <c r="BF574" s="37">
        <f>F574*AM574</f>
        <v>0</v>
      </c>
      <c r="BG574" s="37">
        <f>F574*AN574</f>
        <v>0</v>
      </c>
      <c r="BH574" s="37">
        <f>F574*G574</f>
        <v>0</v>
      </c>
    </row>
    <row r="575" spans="1:11" ht="12.75">
      <c r="A575" s="50"/>
      <c r="B575" s="51"/>
      <c r="C575" s="51"/>
      <c r="D575" s="52" t="s">
        <v>1037</v>
      </c>
      <c r="E575" s="51"/>
      <c r="F575" s="53">
        <v>7</v>
      </c>
      <c r="G575" s="51"/>
      <c r="H575" s="51"/>
      <c r="I575" s="54"/>
      <c r="J575" s="54"/>
      <c r="K575" s="51"/>
    </row>
    <row r="576" spans="1:60" ht="25.5">
      <c r="A576" s="44" t="s">
        <v>1038</v>
      </c>
      <c r="B576" s="44"/>
      <c r="C576" s="44" t="s">
        <v>1039</v>
      </c>
      <c r="D576" s="45" t="s">
        <v>1040</v>
      </c>
      <c r="E576" s="44" t="s">
        <v>225</v>
      </c>
      <c r="F576" s="46">
        <v>7</v>
      </c>
      <c r="G576" s="423"/>
      <c r="H576" s="47">
        <f>F576*G576</f>
        <v>0</v>
      </c>
      <c r="I576" s="48">
        <v>0.005</v>
      </c>
      <c r="J576" s="48">
        <f>F576*I576</f>
        <v>0.035</v>
      </c>
      <c r="K576" s="49" t="s">
        <v>226</v>
      </c>
      <c r="X576" s="37">
        <f>IF(AO576="5",BH576,0)</f>
        <v>0</v>
      </c>
      <c r="Z576" s="37">
        <f>IF(AO576="1",BF576,0)</f>
        <v>0</v>
      </c>
      <c r="AA576" s="37">
        <f>IF(AO576="1",BG576,0)</f>
        <v>0</v>
      </c>
      <c r="AB576" s="37">
        <f>IF(AO576="7",BF576,0)</f>
        <v>0</v>
      </c>
      <c r="AC576" s="37">
        <f>IF(AO576="7",BG576,0)</f>
        <v>0</v>
      </c>
      <c r="AD576" s="37">
        <f>IF(AO576="2",BF576,0)</f>
        <v>0</v>
      </c>
      <c r="AE576" s="37">
        <f>IF(AO576="2",BG576,0)</f>
        <v>0</v>
      </c>
      <c r="AF576" s="37">
        <f>IF(AO576="0",BH576,0)</f>
        <v>0</v>
      </c>
      <c r="AG576" s="23"/>
      <c r="AH576" s="37">
        <f>IF(AL576=0,H576,0)</f>
        <v>0</v>
      </c>
      <c r="AI576" s="37">
        <f>IF(AL576=15,H576,0)</f>
        <v>0</v>
      </c>
      <c r="AJ576" s="37">
        <f>IF(AL576=21,H576,0)</f>
        <v>0</v>
      </c>
      <c r="AL576" s="37">
        <v>21</v>
      </c>
      <c r="AM576" s="37">
        <f>G576*0.804100822776544</f>
        <v>0</v>
      </c>
      <c r="AN576" s="37">
        <f>G576*(1-0.804100822776544)</f>
        <v>0</v>
      </c>
      <c r="AO576" s="38" t="s">
        <v>136</v>
      </c>
      <c r="AT576" s="37">
        <f>AU576+AV576</f>
        <v>0</v>
      </c>
      <c r="AU576" s="37">
        <f>F576*AM576</f>
        <v>0</v>
      </c>
      <c r="AV576" s="37">
        <f>F576*AN576</f>
        <v>0</v>
      </c>
      <c r="AW576" s="38" t="s">
        <v>977</v>
      </c>
      <c r="AX576" s="38" t="s">
        <v>978</v>
      </c>
      <c r="AY576" s="23" t="s">
        <v>97</v>
      </c>
      <c r="BA576" s="37">
        <f>AU576+AV576</f>
        <v>0</v>
      </c>
      <c r="BB576" s="37">
        <f>G576/(100-BC576)*100</f>
        <v>0</v>
      </c>
      <c r="BC576" s="37">
        <v>0</v>
      </c>
      <c r="BD576" s="37">
        <f>J576</f>
        <v>0.035</v>
      </c>
      <c r="BF576" s="37">
        <f>F576*AM576</f>
        <v>0</v>
      </c>
      <c r="BG576" s="37">
        <f>F576*AN576</f>
        <v>0</v>
      </c>
      <c r="BH576" s="37">
        <f>F576*G576</f>
        <v>0</v>
      </c>
    </row>
    <row r="577" spans="1:11" ht="12.75">
      <c r="A577" s="50"/>
      <c r="B577" s="51"/>
      <c r="C577" s="51"/>
      <c r="D577" s="52" t="s">
        <v>1041</v>
      </c>
      <c r="E577" s="51"/>
      <c r="F577" s="53">
        <v>7</v>
      </c>
      <c r="G577" s="51"/>
      <c r="H577" s="51"/>
      <c r="I577" s="54"/>
      <c r="J577" s="54"/>
      <c r="K577" s="51"/>
    </row>
    <row r="578" spans="1:60" ht="25.5">
      <c r="A578" s="44" t="s">
        <v>1042</v>
      </c>
      <c r="B578" s="44"/>
      <c r="C578" s="44" t="s">
        <v>1043</v>
      </c>
      <c r="D578" s="45" t="s">
        <v>1044</v>
      </c>
      <c r="E578" s="44" t="s">
        <v>225</v>
      </c>
      <c r="F578" s="46">
        <v>4</v>
      </c>
      <c r="G578" s="423"/>
      <c r="H578" s="47">
        <f>F578*G578</f>
        <v>0</v>
      </c>
      <c r="I578" s="48">
        <v>0.005</v>
      </c>
      <c r="J578" s="48">
        <f>F578*I578</f>
        <v>0.02</v>
      </c>
      <c r="K578" s="49" t="s">
        <v>226</v>
      </c>
      <c r="X578" s="37">
        <f>IF(AO578="5",BH578,0)</f>
        <v>0</v>
      </c>
      <c r="Z578" s="37">
        <f>IF(AO578="1",BF578,0)</f>
        <v>0</v>
      </c>
      <c r="AA578" s="37">
        <f>IF(AO578="1",BG578,0)</f>
        <v>0</v>
      </c>
      <c r="AB578" s="37">
        <f>IF(AO578="7",BF578,0)</f>
        <v>0</v>
      </c>
      <c r="AC578" s="37">
        <f>IF(AO578="7",BG578,0)</f>
        <v>0</v>
      </c>
      <c r="AD578" s="37">
        <f>IF(AO578="2",BF578,0)</f>
        <v>0</v>
      </c>
      <c r="AE578" s="37">
        <f>IF(AO578="2",BG578,0)</f>
        <v>0</v>
      </c>
      <c r="AF578" s="37">
        <f>IF(AO578="0",BH578,0)</f>
        <v>0</v>
      </c>
      <c r="AG578" s="23"/>
      <c r="AH578" s="37">
        <f>IF(AL578=0,H578,0)</f>
        <v>0</v>
      </c>
      <c r="AI578" s="37">
        <f>IF(AL578=15,H578,0)</f>
        <v>0</v>
      </c>
      <c r="AJ578" s="37">
        <f>IF(AL578=21,H578,0)</f>
        <v>0</v>
      </c>
      <c r="AL578" s="37">
        <v>21</v>
      </c>
      <c r="AM578" s="37">
        <f>G578*0.986681465038846</f>
        <v>0</v>
      </c>
      <c r="AN578" s="37">
        <f>G578*(1-0.986681465038846)</f>
        <v>0</v>
      </c>
      <c r="AO578" s="38" t="s">
        <v>136</v>
      </c>
      <c r="AT578" s="37">
        <f>AU578+AV578</f>
        <v>0</v>
      </c>
      <c r="AU578" s="37">
        <f>F578*AM578</f>
        <v>0</v>
      </c>
      <c r="AV578" s="37">
        <f>F578*AN578</f>
        <v>0</v>
      </c>
      <c r="AW578" s="38" t="s">
        <v>977</v>
      </c>
      <c r="AX578" s="38" t="s">
        <v>978</v>
      </c>
      <c r="AY578" s="23" t="s">
        <v>97</v>
      </c>
      <c r="BA578" s="37">
        <f>AU578+AV578</f>
        <v>0</v>
      </c>
      <c r="BB578" s="37">
        <f>G578/(100-BC578)*100</f>
        <v>0</v>
      </c>
      <c r="BC578" s="37">
        <v>0</v>
      </c>
      <c r="BD578" s="37">
        <f>J578</f>
        <v>0.02</v>
      </c>
      <c r="BF578" s="37">
        <f>F578*AM578</f>
        <v>0</v>
      </c>
      <c r="BG578" s="37">
        <f>F578*AN578</f>
        <v>0</v>
      </c>
      <c r="BH578" s="37">
        <f>F578*G578</f>
        <v>0</v>
      </c>
    </row>
    <row r="579" spans="1:11" ht="12.75">
      <c r="A579" s="50"/>
      <c r="B579" s="51"/>
      <c r="C579" s="51"/>
      <c r="D579" s="52" t="s">
        <v>1045</v>
      </c>
      <c r="E579" s="51"/>
      <c r="F579" s="53">
        <v>4</v>
      </c>
      <c r="G579" s="51"/>
      <c r="H579" s="51"/>
      <c r="I579" s="54"/>
      <c r="J579" s="54"/>
      <c r="K579" s="51"/>
    </row>
    <row r="580" spans="1:60" ht="38.25">
      <c r="A580" s="44" t="s">
        <v>1046</v>
      </c>
      <c r="B580" s="44"/>
      <c r="C580" s="44" t="s">
        <v>1047</v>
      </c>
      <c r="D580" s="45" t="s">
        <v>1048</v>
      </c>
      <c r="E580" s="44" t="s">
        <v>225</v>
      </c>
      <c r="F580" s="46">
        <v>2</v>
      </c>
      <c r="G580" s="423"/>
      <c r="H580" s="47">
        <f>F580*G580</f>
        <v>0</v>
      </c>
      <c r="I580" s="48">
        <v>0.005</v>
      </c>
      <c r="J580" s="48">
        <f>F580*I580</f>
        <v>0.01</v>
      </c>
      <c r="K580" s="49" t="s">
        <v>226</v>
      </c>
      <c r="X580" s="37">
        <f>IF(AO580="5",BH580,0)</f>
        <v>0</v>
      </c>
      <c r="Z580" s="37">
        <f>IF(AO580="1",BF580,0)</f>
        <v>0</v>
      </c>
      <c r="AA580" s="37">
        <f>IF(AO580="1",BG580,0)</f>
        <v>0</v>
      </c>
      <c r="AB580" s="37">
        <f>IF(AO580="7",BF580,0)</f>
        <v>0</v>
      </c>
      <c r="AC580" s="37">
        <f>IF(AO580="7",BG580,0)</f>
        <v>0</v>
      </c>
      <c r="AD580" s="37">
        <f>IF(AO580="2",BF580,0)</f>
        <v>0</v>
      </c>
      <c r="AE580" s="37">
        <f>IF(AO580="2",BG580,0)</f>
        <v>0</v>
      </c>
      <c r="AF580" s="37">
        <f>IF(AO580="0",BH580,0)</f>
        <v>0</v>
      </c>
      <c r="AG580" s="23"/>
      <c r="AH580" s="37">
        <f>IF(AL580=0,H580,0)</f>
        <v>0</v>
      </c>
      <c r="AI580" s="37">
        <f>IF(AL580=15,H580,0)</f>
        <v>0</v>
      </c>
      <c r="AJ580" s="37">
        <f>IF(AL580=21,H580,0)</f>
        <v>0</v>
      </c>
      <c r="AL580" s="37">
        <v>21</v>
      </c>
      <c r="AM580" s="37">
        <f>G580*0.965909090909091</f>
        <v>0</v>
      </c>
      <c r="AN580" s="37">
        <f>G580*(1-0.965909090909091)</f>
        <v>0</v>
      </c>
      <c r="AO580" s="38" t="s">
        <v>136</v>
      </c>
      <c r="AT580" s="37">
        <f>AU580+AV580</f>
        <v>0</v>
      </c>
      <c r="AU580" s="37">
        <f>F580*AM580</f>
        <v>0</v>
      </c>
      <c r="AV580" s="37">
        <f>F580*AN580</f>
        <v>0</v>
      </c>
      <c r="AW580" s="38" t="s">
        <v>977</v>
      </c>
      <c r="AX580" s="38" t="s">
        <v>978</v>
      </c>
      <c r="AY580" s="23" t="s">
        <v>97</v>
      </c>
      <c r="BA580" s="37">
        <f>AU580+AV580</f>
        <v>0</v>
      </c>
      <c r="BB580" s="37">
        <f>G580/(100-BC580)*100</f>
        <v>0</v>
      </c>
      <c r="BC580" s="37">
        <v>0</v>
      </c>
      <c r="BD580" s="37">
        <f>J580</f>
        <v>0.01</v>
      </c>
      <c r="BF580" s="37">
        <f>F580*AM580</f>
        <v>0</v>
      </c>
      <c r="BG580" s="37">
        <f>F580*AN580</f>
        <v>0</v>
      </c>
      <c r="BH580" s="37">
        <f>F580*G580</f>
        <v>0</v>
      </c>
    </row>
    <row r="581" spans="1:11" ht="12.75">
      <c r="A581" s="50"/>
      <c r="B581" s="51"/>
      <c r="C581" s="51"/>
      <c r="D581" s="52" t="s">
        <v>1049</v>
      </c>
      <c r="E581" s="51"/>
      <c r="F581" s="53">
        <v>2</v>
      </c>
      <c r="G581" s="51"/>
      <c r="H581" s="51"/>
      <c r="I581" s="54"/>
      <c r="J581" s="54"/>
      <c r="K581" s="51"/>
    </row>
    <row r="582" spans="1:60" ht="12.75">
      <c r="A582" s="44" t="s">
        <v>1050</v>
      </c>
      <c r="B582" s="44"/>
      <c r="C582" s="44" t="s">
        <v>1051</v>
      </c>
      <c r="D582" s="45" t="s">
        <v>1052</v>
      </c>
      <c r="E582" s="44" t="s">
        <v>225</v>
      </c>
      <c r="F582" s="46">
        <v>8</v>
      </c>
      <c r="G582" s="423"/>
      <c r="H582" s="47">
        <f>F582*G582</f>
        <v>0</v>
      </c>
      <c r="I582" s="48">
        <v>0.001</v>
      </c>
      <c r="J582" s="48">
        <f>F582*I582</f>
        <v>0.008</v>
      </c>
      <c r="K582" s="49" t="s">
        <v>226</v>
      </c>
      <c r="X582" s="37">
        <f>IF(AO582="5",BH582,0)</f>
        <v>0</v>
      </c>
      <c r="Z582" s="37">
        <f>IF(AO582="1",BF582,0)</f>
        <v>0</v>
      </c>
      <c r="AA582" s="37">
        <f>IF(AO582="1",BG582,0)</f>
        <v>0</v>
      </c>
      <c r="AB582" s="37">
        <f>IF(AO582="7",BF582,0)</f>
        <v>0</v>
      </c>
      <c r="AC582" s="37">
        <f>IF(AO582="7",BG582,0)</f>
        <v>0</v>
      </c>
      <c r="AD582" s="37">
        <f>IF(AO582="2",BF582,0)</f>
        <v>0</v>
      </c>
      <c r="AE582" s="37">
        <f>IF(AO582="2",BG582,0)</f>
        <v>0</v>
      </c>
      <c r="AF582" s="37">
        <f>IF(AO582="0",BH582,0)</f>
        <v>0</v>
      </c>
      <c r="AG582" s="23"/>
      <c r="AH582" s="37">
        <f>IF(AL582=0,H582,0)</f>
        <v>0</v>
      </c>
      <c r="AI582" s="37">
        <f>IF(AL582=15,H582,0)</f>
        <v>0</v>
      </c>
      <c r="AJ582" s="37">
        <f>IF(AL582=21,H582,0)</f>
        <v>0</v>
      </c>
      <c r="AL582" s="37">
        <v>21</v>
      </c>
      <c r="AM582" s="37">
        <f>G582*0.567099567099567</f>
        <v>0</v>
      </c>
      <c r="AN582" s="37">
        <f>G582*(1-0.567099567099567)</f>
        <v>0</v>
      </c>
      <c r="AO582" s="38" t="s">
        <v>136</v>
      </c>
      <c r="AT582" s="37">
        <f>AU582+AV582</f>
        <v>0</v>
      </c>
      <c r="AU582" s="37">
        <f>F582*AM582</f>
        <v>0</v>
      </c>
      <c r="AV582" s="37">
        <f>F582*AN582</f>
        <v>0</v>
      </c>
      <c r="AW582" s="38" t="s">
        <v>977</v>
      </c>
      <c r="AX582" s="38" t="s">
        <v>978</v>
      </c>
      <c r="AY582" s="23" t="s">
        <v>97</v>
      </c>
      <c r="BA582" s="37">
        <f>AU582+AV582</f>
        <v>0</v>
      </c>
      <c r="BB582" s="37">
        <f>G582/(100-BC582)*100</f>
        <v>0</v>
      </c>
      <c r="BC582" s="37">
        <v>0</v>
      </c>
      <c r="BD582" s="37">
        <f>J582</f>
        <v>0.008</v>
      </c>
      <c r="BF582" s="37">
        <f>F582*AM582</f>
        <v>0</v>
      </c>
      <c r="BG582" s="37">
        <f>F582*AN582</f>
        <v>0</v>
      </c>
      <c r="BH582" s="37">
        <f>F582*G582</f>
        <v>0</v>
      </c>
    </row>
    <row r="583" spans="1:11" ht="12.75">
      <c r="A583" s="50"/>
      <c r="B583" s="51"/>
      <c r="C583" s="51"/>
      <c r="D583" s="52" t="s">
        <v>1053</v>
      </c>
      <c r="E583" s="51"/>
      <c r="F583" s="53">
        <v>8</v>
      </c>
      <c r="G583" s="51"/>
      <c r="H583" s="51"/>
      <c r="I583" s="54"/>
      <c r="J583" s="54"/>
      <c r="K583" s="51"/>
    </row>
    <row r="584" spans="1:60" ht="25.5">
      <c r="A584" s="44" t="s">
        <v>1054</v>
      </c>
      <c r="B584" s="44"/>
      <c r="C584" s="44" t="s">
        <v>1055</v>
      </c>
      <c r="D584" s="45" t="s">
        <v>1056</v>
      </c>
      <c r="E584" s="44" t="s">
        <v>225</v>
      </c>
      <c r="F584" s="46">
        <v>19</v>
      </c>
      <c r="G584" s="423"/>
      <c r="H584" s="47">
        <f>F584*G584</f>
        <v>0</v>
      </c>
      <c r="I584" s="48">
        <v>0.002</v>
      </c>
      <c r="J584" s="48">
        <f>F584*I584</f>
        <v>0.038</v>
      </c>
      <c r="K584" s="49" t="s">
        <v>226</v>
      </c>
      <c r="X584" s="37">
        <f>IF(AO584="5",BH584,0)</f>
        <v>0</v>
      </c>
      <c r="Z584" s="37">
        <f>IF(AO584="1",BF584,0)</f>
        <v>0</v>
      </c>
      <c r="AA584" s="37">
        <f>IF(AO584="1",BG584,0)</f>
        <v>0</v>
      </c>
      <c r="AB584" s="37">
        <f>IF(AO584="7",BF584,0)</f>
        <v>0</v>
      </c>
      <c r="AC584" s="37">
        <f>IF(AO584="7",BG584,0)</f>
        <v>0</v>
      </c>
      <c r="AD584" s="37">
        <f>IF(AO584="2",BF584,0)</f>
        <v>0</v>
      </c>
      <c r="AE584" s="37">
        <f>IF(AO584="2",BG584,0)</f>
        <v>0</v>
      </c>
      <c r="AF584" s="37">
        <f>IF(AO584="0",BH584,0)</f>
        <v>0</v>
      </c>
      <c r="AG584" s="23"/>
      <c r="AH584" s="37">
        <f>IF(AL584=0,H584,0)</f>
        <v>0</v>
      </c>
      <c r="AI584" s="37">
        <f>IF(AL584=15,H584,0)</f>
        <v>0</v>
      </c>
      <c r="AJ584" s="37">
        <f>IF(AL584=21,H584,0)</f>
        <v>0</v>
      </c>
      <c r="AL584" s="37">
        <v>21</v>
      </c>
      <c r="AM584" s="37">
        <f>G584*0.7</f>
        <v>0</v>
      </c>
      <c r="AN584" s="37">
        <f>G584*(1-0.7)</f>
        <v>0</v>
      </c>
      <c r="AO584" s="38" t="s">
        <v>136</v>
      </c>
      <c r="AT584" s="37">
        <f>AU584+AV584</f>
        <v>0</v>
      </c>
      <c r="AU584" s="37">
        <f>F584*AM584</f>
        <v>0</v>
      </c>
      <c r="AV584" s="37">
        <f>F584*AN584</f>
        <v>0</v>
      </c>
      <c r="AW584" s="38" t="s">
        <v>977</v>
      </c>
      <c r="AX584" s="38" t="s">
        <v>978</v>
      </c>
      <c r="AY584" s="23" t="s">
        <v>97</v>
      </c>
      <c r="BA584" s="37">
        <f>AU584+AV584</f>
        <v>0</v>
      </c>
      <c r="BB584" s="37">
        <f>G584/(100-BC584)*100</f>
        <v>0</v>
      </c>
      <c r="BC584" s="37">
        <v>0</v>
      </c>
      <c r="BD584" s="37">
        <f>J584</f>
        <v>0.038</v>
      </c>
      <c r="BF584" s="37">
        <f>F584*AM584</f>
        <v>0</v>
      </c>
      <c r="BG584" s="37">
        <f>F584*AN584</f>
        <v>0</v>
      </c>
      <c r="BH584" s="37">
        <f>F584*G584</f>
        <v>0</v>
      </c>
    </row>
    <row r="585" spans="1:11" ht="12.75">
      <c r="A585" s="50"/>
      <c r="B585" s="51"/>
      <c r="C585" s="51"/>
      <c r="D585" s="52" t="s">
        <v>1057</v>
      </c>
      <c r="E585" s="51"/>
      <c r="F585" s="53">
        <v>19</v>
      </c>
      <c r="G585" s="51"/>
      <c r="H585" s="51"/>
      <c r="I585" s="54"/>
      <c r="J585" s="54"/>
      <c r="K585" s="51"/>
    </row>
    <row r="586" spans="1:45" ht="13.5" thickBot="1">
      <c r="A586" s="24"/>
      <c r="B586" s="25"/>
      <c r="C586" s="25" t="s">
        <v>1058</v>
      </c>
      <c r="D586" s="26" t="s">
        <v>1059</v>
      </c>
      <c r="E586" s="24" t="s">
        <v>54</v>
      </c>
      <c r="F586" s="24" t="s">
        <v>54</v>
      </c>
      <c r="G586" s="358" t="s">
        <v>54</v>
      </c>
      <c r="H586" s="27">
        <f>SUM(H587:H589)</f>
        <v>0</v>
      </c>
      <c r="I586" s="28"/>
      <c r="J586" s="28">
        <f>SUM(J587:J589)</f>
        <v>0.31520000000000004</v>
      </c>
      <c r="K586" s="29"/>
      <c r="AG586" s="23"/>
      <c r="AQ586" s="31">
        <f>SUM(AH587:AH589)</f>
        <v>0</v>
      </c>
      <c r="AR586" s="31">
        <f>SUM(AI587:AI589)</f>
        <v>0</v>
      </c>
      <c r="AS586" s="31">
        <f>SUM(AJ587:AJ589)</f>
        <v>0</v>
      </c>
    </row>
    <row r="587" spans="1:60" ht="13.5" thickBot="1">
      <c r="A587" s="343" t="s">
        <v>1060</v>
      </c>
      <c r="B587" s="16"/>
      <c r="C587" s="16" t="s">
        <v>1061</v>
      </c>
      <c r="D587" s="32" t="s">
        <v>1062</v>
      </c>
      <c r="E587" s="16" t="s">
        <v>469</v>
      </c>
      <c r="F587" s="356">
        <v>1</v>
      </c>
      <c r="G587" s="360">
        <f>SUM('206 - VYT'!E12)</f>
        <v>0</v>
      </c>
      <c r="H587" s="357">
        <f>F587*G587</f>
        <v>0</v>
      </c>
      <c r="I587" s="35">
        <v>0.1401</v>
      </c>
      <c r="J587" s="35">
        <f>F587*I587</f>
        <v>0.1401</v>
      </c>
      <c r="K587" s="36" t="s">
        <v>94</v>
      </c>
      <c r="X587" s="37">
        <f>IF(AO587="5",BH587,0)</f>
        <v>0</v>
      </c>
      <c r="Z587" s="37">
        <f>IF(AO587="1",BF587,0)</f>
        <v>0</v>
      </c>
      <c r="AA587" s="37">
        <f>IF(AO587="1",BG587,0)</f>
        <v>0</v>
      </c>
      <c r="AB587" s="37">
        <f>IF(AO587="7",BF587,0)</f>
        <v>0</v>
      </c>
      <c r="AC587" s="37">
        <f>IF(AO587="7",BG587,0)</f>
        <v>0</v>
      </c>
      <c r="AD587" s="37">
        <f>IF(AO587="2",BF587,0)</f>
        <v>0</v>
      </c>
      <c r="AE587" s="37">
        <f>IF(AO587="2",BG587,0)</f>
        <v>0</v>
      </c>
      <c r="AF587" s="37">
        <f>IF(AO587="0",BH587,0)</f>
        <v>0</v>
      </c>
      <c r="AG587" s="23"/>
      <c r="AH587" s="37">
        <f>IF(AL587=0,H587,0)</f>
        <v>0</v>
      </c>
      <c r="AI587" s="37">
        <f>IF(AL587=15,H587,0)</f>
        <v>0</v>
      </c>
      <c r="AJ587" s="37">
        <f>IF(AL587=21,H587,0)</f>
        <v>0</v>
      </c>
      <c r="AL587" s="37">
        <v>21</v>
      </c>
      <c r="AM587" s="37">
        <f>G587*0</f>
        <v>0</v>
      </c>
      <c r="AN587" s="37">
        <f>G587*(1-0)</f>
        <v>0</v>
      </c>
      <c r="AO587" s="38" t="s">
        <v>136</v>
      </c>
      <c r="AT587" s="37">
        <f>AU587+AV587</f>
        <v>0</v>
      </c>
      <c r="AU587" s="37">
        <f>F587*AM587</f>
        <v>0</v>
      </c>
      <c r="AV587" s="37">
        <f>F587*AN587</f>
        <v>0</v>
      </c>
      <c r="AW587" s="38" t="s">
        <v>1063</v>
      </c>
      <c r="AX587" s="38" t="s">
        <v>1064</v>
      </c>
      <c r="AY587" s="23" t="s">
        <v>97</v>
      </c>
      <c r="BA587" s="37">
        <f>AU587+AV587</f>
        <v>0</v>
      </c>
      <c r="BB587" s="37">
        <f>G587/(100-BC587)*100</f>
        <v>0</v>
      </c>
      <c r="BC587" s="37">
        <v>0</v>
      </c>
      <c r="BD587" s="37">
        <f>J587</f>
        <v>0.1401</v>
      </c>
      <c r="BF587" s="37">
        <f>F587*AM587</f>
        <v>0</v>
      </c>
      <c r="BG587" s="37">
        <f>F587*AN587</f>
        <v>0</v>
      </c>
      <c r="BH587" s="37">
        <f>F587*G587</f>
        <v>0</v>
      </c>
    </row>
    <row r="588" spans="1:11" ht="12.75">
      <c r="A588" s="39"/>
      <c r="B588" s="40"/>
      <c r="C588" s="40"/>
      <c r="D588" s="41" t="s">
        <v>1065</v>
      </c>
      <c r="E588" s="40"/>
      <c r="F588" s="42">
        <v>1</v>
      </c>
      <c r="G588" s="359"/>
      <c r="H588" s="40"/>
      <c r="I588" s="43"/>
      <c r="J588" s="43"/>
      <c r="K588" s="40"/>
    </row>
    <row r="589" spans="1:60" ht="12.75">
      <c r="A589" s="16" t="s">
        <v>1066</v>
      </c>
      <c r="B589" s="16"/>
      <c r="C589" s="16" t="s">
        <v>1067</v>
      </c>
      <c r="D589" s="32" t="s">
        <v>1068</v>
      </c>
      <c r="E589" s="16" t="s">
        <v>469</v>
      </c>
      <c r="F589" s="33">
        <v>1</v>
      </c>
      <c r="G589" s="422"/>
      <c r="H589" s="34">
        <f>F589*G589</f>
        <v>0</v>
      </c>
      <c r="I589" s="35">
        <v>0.1751</v>
      </c>
      <c r="J589" s="35">
        <f>F589*I589</f>
        <v>0.1751</v>
      </c>
      <c r="K589" s="36" t="s">
        <v>94</v>
      </c>
      <c r="X589" s="37">
        <f>IF(AO589="5",BH589,0)</f>
        <v>0</v>
      </c>
      <c r="Z589" s="37">
        <f>IF(AO589="1",BF589,0)</f>
        <v>0</v>
      </c>
      <c r="AA589" s="37">
        <f>IF(AO589="1",BG589,0)</f>
        <v>0</v>
      </c>
      <c r="AB589" s="37">
        <f>IF(AO589="7",BF589,0)</f>
        <v>0</v>
      </c>
      <c r="AC589" s="37">
        <f>IF(AO589="7",BG589,0)</f>
        <v>0</v>
      </c>
      <c r="AD589" s="37">
        <f>IF(AO589="2",BF589,0)</f>
        <v>0</v>
      </c>
      <c r="AE589" s="37">
        <f>IF(AO589="2",BG589,0)</f>
        <v>0</v>
      </c>
      <c r="AF589" s="37">
        <f>IF(AO589="0",BH589,0)</f>
        <v>0</v>
      </c>
      <c r="AG589" s="23"/>
      <c r="AH589" s="37">
        <f>IF(AL589=0,H589,0)</f>
        <v>0</v>
      </c>
      <c r="AI589" s="37">
        <f>IF(AL589=15,H589,0)</f>
        <v>0</v>
      </c>
      <c r="AJ589" s="37">
        <f>IF(AL589=21,H589,0)</f>
        <v>0</v>
      </c>
      <c r="AL589" s="37">
        <v>21</v>
      </c>
      <c r="AM589" s="37">
        <f>G589*0</f>
        <v>0</v>
      </c>
      <c r="AN589" s="37">
        <f>G589*(1-0)</f>
        <v>0</v>
      </c>
      <c r="AO589" s="38" t="s">
        <v>136</v>
      </c>
      <c r="AT589" s="37">
        <f>AU589+AV589</f>
        <v>0</v>
      </c>
      <c r="AU589" s="37">
        <f>F589*AM589</f>
        <v>0</v>
      </c>
      <c r="AV589" s="37">
        <f>F589*AN589</f>
        <v>0</v>
      </c>
      <c r="AW589" s="38" t="s">
        <v>1063</v>
      </c>
      <c r="AX589" s="38" t="s">
        <v>1064</v>
      </c>
      <c r="AY589" s="23" t="s">
        <v>97</v>
      </c>
      <c r="BA589" s="37">
        <f>AU589+AV589</f>
        <v>0</v>
      </c>
      <c r="BB589" s="37">
        <f>G589/(100-BC589)*100</f>
        <v>0</v>
      </c>
      <c r="BC589" s="37">
        <v>0</v>
      </c>
      <c r="BD589" s="37">
        <f>J589</f>
        <v>0.1751</v>
      </c>
      <c r="BF589" s="37">
        <f>F589*AM589</f>
        <v>0</v>
      </c>
      <c r="BG589" s="37">
        <f>F589*AN589</f>
        <v>0</v>
      </c>
      <c r="BH589" s="37">
        <f>F589*G589</f>
        <v>0</v>
      </c>
    </row>
    <row r="590" spans="1:11" ht="12.75">
      <c r="A590" s="39"/>
      <c r="B590" s="40"/>
      <c r="C590" s="40"/>
      <c r="D590" s="41" t="s">
        <v>990</v>
      </c>
      <c r="E590" s="40"/>
      <c r="F590" s="42">
        <v>1</v>
      </c>
      <c r="G590" s="40"/>
      <c r="H590" s="40"/>
      <c r="I590" s="43"/>
      <c r="J590" s="43"/>
      <c r="K590" s="40"/>
    </row>
    <row r="591" spans="1:45" ht="12.75">
      <c r="A591" s="24"/>
      <c r="B591" s="25"/>
      <c r="C591" s="25" t="s">
        <v>1069</v>
      </c>
      <c r="D591" s="26" t="s">
        <v>1070</v>
      </c>
      <c r="E591" s="24" t="s">
        <v>54</v>
      </c>
      <c r="F591" s="24" t="s">
        <v>54</v>
      </c>
      <c r="G591" s="24" t="s">
        <v>54</v>
      </c>
      <c r="H591" s="27">
        <f>SUM(H592:H617)</f>
        <v>0</v>
      </c>
      <c r="I591" s="28"/>
      <c r="J591" s="28">
        <f>SUM(J592:J617)</f>
        <v>2.3567489999999998</v>
      </c>
      <c r="K591" s="29"/>
      <c r="AG591" s="23"/>
      <c r="AQ591" s="31">
        <f>SUM(AH592:AH617)</f>
        <v>0</v>
      </c>
      <c r="AR591" s="31">
        <f>SUM(AI592:AI617)</f>
        <v>0</v>
      </c>
      <c r="AS591" s="31">
        <f>SUM(AJ592:AJ617)</f>
        <v>0</v>
      </c>
    </row>
    <row r="592" spans="1:60" ht="12.75">
      <c r="A592" s="44" t="s">
        <v>1071</v>
      </c>
      <c r="B592" s="44"/>
      <c r="C592" s="44" t="s">
        <v>1072</v>
      </c>
      <c r="D592" s="45" t="s">
        <v>1073</v>
      </c>
      <c r="E592" s="44" t="s">
        <v>395</v>
      </c>
      <c r="F592" s="46">
        <v>57.5</v>
      </c>
      <c r="G592" s="423"/>
      <c r="H592" s="47">
        <f>F592*G592</f>
        <v>0</v>
      </c>
      <c r="I592" s="48">
        <v>0.00477</v>
      </c>
      <c r="J592" s="48">
        <f>F592*I592</f>
        <v>0.274275</v>
      </c>
      <c r="K592" s="49" t="s">
        <v>94</v>
      </c>
      <c r="X592" s="37">
        <f>IF(AO592="5",BH592,0)</f>
        <v>0</v>
      </c>
      <c r="Z592" s="37">
        <f>IF(AO592="1",BF592,0)</f>
        <v>0</v>
      </c>
      <c r="AA592" s="37">
        <f>IF(AO592="1",BG592,0)</f>
        <v>0</v>
      </c>
      <c r="AB592" s="37">
        <f>IF(AO592="7",BF592,0)</f>
        <v>0</v>
      </c>
      <c r="AC592" s="37">
        <f>IF(AO592="7",BG592,0)</f>
        <v>0</v>
      </c>
      <c r="AD592" s="37">
        <f>IF(AO592="2",BF592,0)</f>
        <v>0</v>
      </c>
      <c r="AE592" s="37">
        <f>IF(AO592="2",BG592,0)</f>
        <v>0</v>
      </c>
      <c r="AF592" s="37">
        <f>IF(AO592="0",BH592,0)</f>
        <v>0</v>
      </c>
      <c r="AG592" s="23"/>
      <c r="AH592" s="37">
        <f>IF(AL592=0,H592,0)</f>
        <v>0</v>
      </c>
      <c r="AI592" s="37">
        <f>IF(AL592=15,H592,0)</f>
        <v>0</v>
      </c>
      <c r="AJ592" s="37">
        <f>IF(AL592=21,H592,0)</f>
        <v>0</v>
      </c>
      <c r="AL592" s="37">
        <v>21</v>
      </c>
      <c r="AM592" s="37">
        <f>G592*0.748198090692124</f>
        <v>0</v>
      </c>
      <c r="AN592" s="37">
        <f>G592*(1-0.748198090692124)</f>
        <v>0</v>
      </c>
      <c r="AO592" s="38" t="s">
        <v>136</v>
      </c>
      <c r="AT592" s="37">
        <f>AU592+AV592</f>
        <v>0</v>
      </c>
      <c r="AU592" s="37">
        <f>F592*AM592</f>
        <v>0</v>
      </c>
      <c r="AV592" s="37">
        <f>F592*AN592</f>
        <v>0</v>
      </c>
      <c r="AW592" s="38" t="s">
        <v>1074</v>
      </c>
      <c r="AX592" s="38" t="s">
        <v>1075</v>
      </c>
      <c r="AY592" s="23" t="s">
        <v>97</v>
      </c>
      <c r="BA592" s="37">
        <f>AU592+AV592</f>
        <v>0</v>
      </c>
      <c r="BB592" s="37">
        <f>G592/(100-BC592)*100</f>
        <v>0</v>
      </c>
      <c r="BC592" s="37">
        <v>0</v>
      </c>
      <c r="BD592" s="37">
        <f>J592</f>
        <v>0.274275</v>
      </c>
      <c r="BF592" s="37">
        <f>F592*AM592</f>
        <v>0</v>
      </c>
      <c r="BG592" s="37">
        <f>F592*AN592</f>
        <v>0</v>
      </c>
      <c r="BH592" s="37">
        <f>F592*G592</f>
        <v>0</v>
      </c>
    </row>
    <row r="593" spans="1:11" ht="25.5">
      <c r="A593" s="50"/>
      <c r="B593" s="51"/>
      <c r="C593" s="51"/>
      <c r="D593" s="52" t="s">
        <v>1076</v>
      </c>
      <c r="E593" s="51"/>
      <c r="F593" s="53">
        <v>57.5</v>
      </c>
      <c r="G593" s="51"/>
      <c r="H593" s="51"/>
      <c r="I593" s="54"/>
      <c r="J593" s="54"/>
      <c r="K593" s="51"/>
    </row>
    <row r="594" spans="1:60" ht="12.75">
      <c r="A594" s="44" t="s">
        <v>1077</v>
      </c>
      <c r="B594" s="44"/>
      <c r="C594" s="44" t="s">
        <v>1078</v>
      </c>
      <c r="D594" s="45" t="s">
        <v>1079</v>
      </c>
      <c r="E594" s="44" t="s">
        <v>395</v>
      </c>
      <c r="F594" s="46">
        <v>73</v>
      </c>
      <c r="G594" s="423"/>
      <c r="H594" s="47">
        <f>F594*G594</f>
        <v>0</v>
      </c>
      <c r="I594" s="48">
        <v>0.00342</v>
      </c>
      <c r="J594" s="48">
        <f>F594*I594</f>
        <v>0.24966</v>
      </c>
      <c r="K594" s="49" t="s">
        <v>94</v>
      </c>
      <c r="X594" s="37">
        <f>IF(AO594="5",BH594,0)</f>
        <v>0</v>
      </c>
      <c r="Z594" s="37">
        <f>IF(AO594="1",BF594,0)</f>
        <v>0</v>
      </c>
      <c r="AA594" s="37">
        <f>IF(AO594="1",BG594,0)</f>
        <v>0</v>
      </c>
      <c r="AB594" s="37">
        <f>IF(AO594="7",BF594,0)</f>
        <v>0</v>
      </c>
      <c r="AC594" s="37">
        <f>IF(AO594="7",BG594,0)</f>
        <v>0</v>
      </c>
      <c r="AD594" s="37">
        <f>IF(AO594="2",BF594,0)</f>
        <v>0</v>
      </c>
      <c r="AE594" s="37">
        <f>IF(AO594="2",BG594,0)</f>
        <v>0</v>
      </c>
      <c r="AF594" s="37">
        <f>IF(AO594="0",BH594,0)</f>
        <v>0</v>
      </c>
      <c r="AG594" s="23"/>
      <c r="AH594" s="37">
        <f>IF(AL594=0,H594,0)</f>
        <v>0</v>
      </c>
      <c r="AI594" s="37">
        <f>IF(AL594=15,H594,0)</f>
        <v>0</v>
      </c>
      <c r="AJ594" s="37">
        <f>IF(AL594=21,H594,0)</f>
        <v>0</v>
      </c>
      <c r="AL594" s="37">
        <v>21</v>
      </c>
      <c r="AM594" s="37">
        <f>G594*0.188249194414608</f>
        <v>0</v>
      </c>
      <c r="AN594" s="37">
        <f>G594*(1-0.188249194414608)</f>
        <v>0</v>
      </c>
      <c r="AO594" s="38" t="s">
        <v>136</v>
      </c>
      <c r="AT594" s="37">
        <f>AU594+AV594</f>
        <v>0</v>
      </c>
      <c r="AU594" s="37">
        <f>F594*AM594</f>
        <v>0</v>
      </c>
      <c r="AV594" s="37">
        <f>F594*AN594</f>
        <v>0</v>
      </c>
      <c r="AW594" s="38" t="s">
        <v>1074</v>
      </c>
      <c r="AX594" s="38" t="s">
        <v>1075</v>
      </c>
      <c r="AY594" s="23" t="s">
        <v>97</v>
      </c>
      <c r="BA594" s="37">
        <f>AU594+AV594</f>
        <v>0</v>
      </c>
      <c r="BB594" s="37">
        <f>G594/(100-BC594)*100</f>
        <v>0</v>
      </c>
      <c r="BC594" s="37">
        <v>0</v>
      </c>
      <c r="BD594" s="37">
        <f>J594</f>
        <v>0.24966</v>
      </c>
      <c r="BF594" s="37">
        <f>F594*AM594</f>
        <v>0</v>
      </c>
      <c r="BG594" s="37">
        <f>F594*AN594</f>
        <v>0</v>
      </c>
      <c r="BH594" s="37">
        <f>F594*G594</f>
        <v>0</v>
      </c>
    </row>
    <row r="595" spans="1:11" ht="25.5">
      <c r="A595" s="50"/>
      <c r="B595" s="51"/>
      <c r="C595" s="51"/>
      <c r="D595" s="52" t="s">
        <v>1080</v>
      </c>
      <c r="E595" s="51"/>
      <c r="F595" s="53">
        <v>73</v>
      </c>
      <c r="G595" s="51"/>
      <c r="H595" s="51"/>
      <c r="I595" s="54"/>
      <c r="J595" s="54"/>
      <c r="K595" s="51"/>
    </row>
    <row r="596" spans="1:60" ht="12.75">
      <c r="A596" s="44" t="s">
        <v>1081</v>
      </c>
      <c r="B596" s="44"/>
      <c r="C596" s="44" t="s">
        <v>1082</v>
      </c>
      <c r="D596" s="45" t="s">
        <v>1083</v>
      </c>
      <c r="E596" s="44" t="s">
        <v>395</v>
      </c>
      <c r="F596" s="46">
        <v>73</v>
      </c>
      <c r="G596" s="423"/>
      <c r="H596" s="47">
        <f>F596*G596</f>
        <v>0</v>
      </c>
      <c r="I596" s="48">
        <v>0.00553</v>
      </c>
      <c r="J596" s="48">
        <f>F596*I596</f>
        <v>0.40369</v>
      </c>
      <c r="K596" s="49" t="s">
        <v>94</v>
      </c>
      <c r="X596" s="37">
        <f>IF(AO596="5",BH596,0)</f>
        <v>0</v>
      </c>
      <c r="Z596" s="37">
        <f>IF(AO596="1",BF596,0)</f>
        <v>0</v>
      </c>
      <c r="AA596" s="37">
        <f>IF(AO596="1",BG596,0)</f>
        <v>0</v>
      </c>
      <c r="AB596" s="37">
        <f>IF(AO596="7",BF596,0)</f>
        <v>0</v>
      </c>
      <c r="AC596" s="37">
        <f>IF(AO596="7",BG596,0)</f>
        <v>0</v>
      </c>
      <c r="AD596" s="37">
        <f>IF(AO596="2",BF596,0)</f>
        <v>0</v>
      </c>
      <c r="AE596" s="37">
        <f>IF(AO596="2",BG596,0)</f>
        <v>0</v>
      </c>
      <c r="AF596" s="37">
        <f>IF(AO596="0",BH596,0)</f>
        <v>0</v>
      </c>
      <c r="AG596" s="23"/>
      <c r="AH596" s="37">
        <f>IF(AL596=0,H596,0)</f>
        <v>0</v>
      </c>
      <c r="AI596" s="37">
        <f>IF(AL596=15,H596,0)</f>
        <v>0</v>
      </c>
      <c r="AJ596" s="37">
        <f>IF(AL596=21,H596,0)</f>
        <v>0</v>
      </c>
      <c r="AL596" s="37">
        <v>21</v>
      </c>
      <c r="AM596" s="37">
        <f>G596*0.509257540603248</f>
        <v>0</v>
      </c>
      <c r="AN596" s="37">
        <f>G596*(1-0.509257540603248)</f>
        <v>0</v>
      </c>
      <c r="AO596" s="38" t="s">
        <v>136</v>
      </c>
      <c r="AT596" s="37">
        <f>AU596+AV596</f>
        <v>0</v>
      </c>
      <c r="AU596" s="37">
        <f>F596*AM596</f>
        <v>0</v>
      </c>
      <c r="AV596" s="37">
        <f>F596*AN596</f>
        <v>0</v>
      </c>
      <c r="AW596" s="38" t="s">
        <v>1074</v>
      </c>
      <c r="AX596" s="38" t="s">
        <v>1075</v>
      </c>
      <c r="AY596" s="23" t="s">
        <v>97</v>
      </c>
      <c r="BA596" s="37">
        <f>AU596+AV596</f>
        <v>0</v>
      </c>
      <c r="BB596" s="37">
        <f>G596/(100-BC596)*100</f>
        <v>0</v>
      </c>
      <c r="BC596" s="37">
        <v>0</v>
      </c>
      <c r="BD596" s="37">
        <f>J596</f>
        <v>0.40369</v>
      </c>
      <c r="BF596" s="37">
        <f>F596*AM596</f>
        <v>0</v>
      </c>
      <c r="BG596" s="37">
        <f>F596*AN596</f>
        <v>0</v>
      </c>
      <c r="BH596" s="37">
        <f>F596*G596</f>
        <v>0</v>
      </c>
    </row>
    <row r="597" spans="1:11" ht="25.5">
      <c r="A597" s="50"/>
      <c r="B597" s="51"/>
      <c r="C597" s="51"/>
      <c r="D597" s="52" t="s">
        <v>1084</v>
      </c>
      <c r="E597" s="51"/>
      <c r="F597" s="53">
        <v>73</v>
      </c>
      <c r="G597" s="51"/>
      <c r="H597" s="51"/>
      <c r="I597" s="54"/>
      <c r="J597" s="54"/>
      <c r="K597" s="51"/>
    </row>
    <row r="598" spans="1:60" ht="12.75">
      <c r="A598" s="44" t="s">
        <v>1085</v>
      </c>
      <c r="B598" s="44"/>
      <c r="C598" s="44" t="s">
        <v>1086</v>
      </c>
      <c r="D598" s="45" t="s">
        <v>1087</v>
      </c>
      <c r="E598" s="44" t="s">
        <v>395</v>
      </c>
      <c r="F598" s="46">
        <v>146</v>
      </c>
      <c r="G598" s="423"/>
      <c r="H598" s="47">
        <f>F598*G598</f>
        <v>0</v>
      </c>
      <c r="I598" s="48">
        <v>0.00353</v>
      </c>
      <c r="J598" s="48">
        <f>F598*I598</f>
        <v>0.5153800000000001</v>
      </c>
      <c r="K598" s="49" t="s">
        <v>94</v>
      </c>
      <c r="X598" s="37">
        <f>IF(AO598="5",BH598,0)</f>
        <v>0</v>
      </c>
      <c r="Z598" s="37">
        <f>IF(AO598="1",BF598,0)</f>
        <v>0</v>
      </c>
      <c r="AA598" s="37">
        <f>IF(AO598="1",BG598,0)</f>
        <v>0</v>
      </c>
      <c r="AB598" s="37">
        <f>IF(AO598="7",BF598,0)</f>
        <v>0</v>
      </c>
      <c r="AC598" s="37">
        <f>IF(AO598="7",BG598,0)</f>
        <v>0</v>
      </c>
      <c r="AD598" s="37">
        <f>IF(AO598="2",BF598,0)</f>
        <v>0</v>
      </c>
      <c r="AE598" s="37">
        <f>IF(AO598="2",BG598,0)</f>
        <v>0</v>
      </c>
      <c r="AF598" s="37">
        <f>IF(AO598="0",BH598,0)</f>
        <v>0</v>
      </c>
      <c r="AG598" s="23"/>
      <c r="AH598" s="37">
        <f>IF(AL598=0,H598,0)</f>
        <v>0</v>
      </c>
      <c r="AI598" s="37">
        <f>IF(AL598=15,H598,0)</f>
        <v>0</v>
      </c>
      <c r="AJ598" s="37">
        <f>IF(AL598=21,H598,0)</f>
        <v>0</v>
      </c>
      <c r="AL598" s="37">
        <v>21</v>
      </c>
      <c r="AM598" s="37">
        <f>G598*0.806086956521739</f>
        <v>0</v>
      </c>
      <c r="AN598" s="37">
        <f>G598*(1-0.806086956521739)</f>
        <v>0</v>
      </c>
      <c r="AO598" s="38" t="s">
        <v>136</v>
      </c>
      <c r="AT598" s="37">
        <f>AU598+AV598</f>
        <v>0</v>
      </c>
      <c r="AU598" s="37">
        <f>F598*AM598</f>
        <v>0</v>
      </c>
      <c r="AV598" s="37">
        <f>F598*AN598</f>
        <v>0</v>
      </c>
      <c r="AW598" s="38" t="s">
        <v>1074</v>
      </c>
      <c r="AX598" s="38" t="s">
        <v>1075</v>
      </c>
      <c r="AY598" s="23" t="s">
        <v>97</v>
      </c>
      <c r="BA598" s="37">
        <f>AU598+AV598</f>
        <v>0</v>
      </c>
      <c r="BB598" s="37">
        <f>G598/(100-BC598)*100</f>
        <v>0</v>
      </c>
      <c r="BC598" s="37">
        <v>0</v>
      </c>
      <c r="BD598" s="37">
        <f>J598</f>
        <v>0.5153800000000001</v>
      </c>
      <c r="BF598" s="37">
        <f>F598*AM598</f>
        <v>0</v>
      </c>
      <c r="BG598" s="37">
        <f>F598*AN598</f>
        <v>0</v>
      </c>
      <c r="BH598" s="37">
        <f>F598*G598</f>
        <v>0</v>
      </c>
    </row>
    <row r="599" spans="1:11" ht="25.5">
      <c r="A599" s="50"/>
      <c r="B599" s="51"/>
      <c r="C599" s="51"/>
      <c r="D599" s="52" t="s">
        <v>1088</v>
      </c>
      <c r="E599" s="51"/>
      <c r="F599" s="53">
        <v>73</v>
      </c>
      <c r="G599" s="51"/>
      <c r="H599" s="51"/>
      <c r="I599" s="54"/>
      <c r="J599" s="54"/>
      <c r="K599" s="51"/>
    </row>
    <row r="600" spans="1:11" ht="25.5">
      <c r="A600" s="50"/>
      <c r="B600" s="51"/>
      <c r="C600" s="51"/>
      <c r="D600" s="52" t="s">
        <v>1089</v>
      </c>
      <c r="E600" s="51"/>
      <c r="F600" s="53">
        <v>73</v>
      </c>
      <c r="G600" s="51"/>
      <c r="H600" s="51"/>
      <c r="I600" s="54"/>
      <c r="J600" s="54"/>
      <c r="K600" s="51"/>
    </row>
    <row r="601" spans="1:60" ht="12.75">
      <c r="A601" s="44" t="s">
        <v>1090</v>
      </c>
      <c r="B601" s="44"/>
      <c r="C601" s="44" t="s">
        <v>1091</v>
      </c>
      <c r="D601" s="45" t="s">
        <v>1092</v>
      </c>
      <c r="E601" s="44" t="s">
        <v>395</v>
      </c>
      <c r="F601" s="46">
        <v>25.5</v>
      </c>
      <c r="G601" s="423"/>
      <c r="H601" s="47">
        <f>F601*G601</f>
        <v>0</v>
      </c>
      <c r="I601" s="48">
        <v>0.00242</v>
      </c>
      <c r="J601" s="48">
        <f>F601*I601</f>
        <v>0.061709999999999994</v>
      </c>
      <c r="K601" s="49" t="s">
        <v>94</v>
      </c>
      <c r="X601" s="37">
        <f>IF(AO601="5",BH601,0)</f>
        <v>0</v>
      </c>
      <c r="Z601" s="37">
        <f>IF(AO601="1",BF601,0)</f>
        <v>0</v>
      </c>
      <c r="AA601" s="37">
        <f>IF(AO601="1",BG601,0)</f>
        <v>0</v>
      </c>
      <c r="AB601" s="37">
        <f>IF(AO601="7",BF601,0)</f>
        <v>0</v>
      </c>
      <c r="AC601" s="37">
        <f>IF(AO601="7",BG601,0)</f>
        <v>0</v>
      </c>
      <c r="AD601" s="37">
        <f>IF(AO601="2",BF601,0)</f>
        <v>0</v>
      </c>
      <c r="AE601" s="37">
        <f>IF(AO601="2",BG601,0)</f>
        <v>0</v>
      </c>
      <c r="AF601" s="37">
        <f>IF(AO601="0",BH601,0)</f>
        <v>0</v>
      </c>
      <c r="AG601" s="23"/>
      <c r="AH601" s="37">
        <f>IF(AL601=0,H601,0)</f>
        <v>0</v>
      </c>
      <c r="AI601" s="37">
        <f>IF(AL601=15,H601,0)</f>
        <v>0</v>
      </c>
      <c r="AJ601" s="37">
        <f>IF(AL601=21,H601,0)</f>
        <v>0</v>
      </c>
      <c r="AL601" s="37">
        <v>21</v>
      </c>
      <c r="AM601" s="37">
        <f>G601*0.202079207920792</f>
        <v>0</v>
      </c>
      <c r="AN601" s="37">
        <f>G601*(1-0.202079207920792)</f>
        <v>0</v>
      </c>
      <c r="AO601" s="38" t="s">
        <v>136</v>
      </c>
      <c r="AT601" s="37">
        <f>AU601+AV601</f>
        <v>0</v>
      </c>
      <c r="AU601" s="37">
        <f>F601*AM601</f>
        <v>0</v>
      </c>
      <c r="AV601" s="37">
        <f>F601*AN601</f>
        <v>0</v>
      </c>
      <c r="AW601" s="38" t="s">
        <v>1074</v>
      </c>
      <c r="AX601" s="38" t="s">
        <v>1075</v>
      </c>
      <c r="AY601" s="23" t="s">
        <v>97</v>
      </c>
      <c r="BA601" s="37">
        <f>AU601+AV601</f>
        <v>0</v>
      </c>
      <c r="BB601" s="37">
        <f>G601/(100-BC601)*100</f>
        <v>0</v>
      </c>
      <c r="BC601" s="37">
        <v>0</v>
      </c>
      <c r="BD601" s="37">
        <f>J601</f>
        <v>0.061709999999999994</v>
      </c>
      <c r="BF601" s="37">
        <f>F601*AM601</f>
        <v>0</v>
      </c>
      <c r="BG601" s="37">
        <f>F601*AN601</f>
        <v>0</v>
      </c>
      <c r="BH601" s="37">
        <f>F601*G601</f>
        <v>0</v>
      </c>
    </row>
    <row r="602" spans="1:11" ht="25.5">
      <c r="A602" s="50"/>
      <c r="B602" s="51"/>
      <c r="C602" s="51"/>
      <c r="D602" s="52" t="s">
        <v>1093</v>
      </c>
      <c r="E602" s="51"/>
      <c r="F602" s="53">
        <v>25.5</v>
      </c>
      <c r="G602" s="51"/>
      <c r="H602" s="51"/>
      <c r="I602" s="54"/>
      <c r="J602" s="54"/>
      <c r="K602" s="51"/>
    </row>
    <row r="603" spans="1:60" ht="12.75">
      <c r="A603" s="44" t="s">
        <v>1094</v>
      </c>
      <c r="B603" s="44"/>
      <c r="C603" s="44" t="s">
        <v>1095</v>
      </c>
      <c r="D603" s="45" t="s">
        <v>1096</v>
      </c>
      <c r="E603" s="44" t="s">
        <v>395</v>
      </c>
      <c r="F603" s="46">
        <v>31.4</v>
      </c>
      <c r="G603" s="423"/>
      <c r="H603" s="47">
        <f>F603*G603</f>
        <v>0</v>
      </c>
      <c r="I603" s="48">
        <v>0.00212</v>
      </c>
      <c r="J603" s="48">
        <f>F603*I603</f>
        <v>0.06656799999999999</v>
      </c>
      <c r="K603" s="49" t="s">
        <v>94</v>
      </c>
      <c r="X603" s="37">
        <f>IF(AO603="5",BH603,0)</f>
        <v>0</v>
      </c>
      <c r="Z603" s="37">
        <f>IF(AO603="1",BF603,0)</f>
        <v>0</v>
      </c>
      <c r="AA603" s="37">
        <f>IF(AO603="1",BG603,0)</f>
        <v>0</v>
      </c>
      <c r="AB603" s="37">
        <f>IF(AO603="7",BF603,0)</f>
        <v>0</v>
      </c>
      <c r="AC603" s="37">
        <f>IF(AO603="7",BG603,0)</f>
        <v>0</v>
      </c>
      <c r="AD603" s="37">
        <f>IF(AO603="2",BF603,0)</f>
        <v>0</v>
      </c>
      <c r="AE603" s="37">
        <f>IF(AO603="2",BG603,0)</f>
        <v>0</v>
      </c>
      <c r="AF603" s="37">
        <f>IF(AO603="0",BH603,0)</f>
        <v>0</v>
      </c>
      <c r="AG603" s="23"/>
      <c r="AH603" s="37">
        <f>IF(AL603=0,H603,0)</f>
        <v>0</v>
      </c>
      <c r="AI603" s="37">
        <f>IF(AL603=15,H603,0)</f>
        <v>0</v>
      </c>
      <c r="AJ603" s="37">
        <f>IF(AL603=21,H603,0)</f>
        <v>0</v>
      </c>
      <c r="AL603" s="37">
        <v>21</v>
      </c>
      <c r="AM603" s="37">
        <f>G603*0.153222591362126</f>
        <v>0</v>
      </c>
      <c r="AN603" s="37">
        <f>G603*(1-0.153222591362126)</f>
        <v>0</v>
      </c>
      <c r="AO603" s="38" t="s">
        <v>136</v>
      </c>
      <c r="AT603" s="37">
        <f>AU603+AV603</f>
        <v>0</v>
      </c>
      <c r="AU603" s="37">
        <f>F603*AM603</f>
        <v>0</v>
      </c>
      <c r="AV603" s="37">
        <f>F603*AN603</f>
        <v>0</v>
      </c>
      <c r="AW603" s="38" t="s">
        <v>1074</v>
      </c>
      <c r="AX603" s="38" t="s">
        <v>1075</v>
      </c>
      <c r="AY603" s="23" t="s">
        <v>97</v>
      </c>
      <c r="BA603" s="37">
        <f>AU603+AV603</f>
        <v>0</v>
      </c>
      <c r="BB603" s="37">
        <f>G603/(100-BC603)*100</f>
        <v>0</v>
      </c>
      <c r="BC603" s="37">
        <v>0</v>
      </c>
      <c r="BD603" s="37">
        <f>J603</f>
        <v>0.06656799999999999</v>
      </c>
      <c r="BF603" s="37">
        <f>F603*AM603</f>
        <v>0</v>
      </c>
      <c r="BG603" s="37">
        <f>F603*AN603</f>
        <v>0</v>
      </c>
      <c r="BH603" s="37">
        <f>F603*G603</f>
        <v>0</v>
      </c>
    </row>
    <row r="604" spans="1:11" ht="25.5">
      <c r="A604" s="50"/>
      <c r="B604" s="51"/>
      <c r="C604" s="51"/>
      <c r="D604" s="52" t="s">
        <v>1097</v>
      </c>
      <c r="E604" s="51"/>
      <c r="F604" s="53">
        <v>31.4</v>
      </c>
      <c r="G604" s="51"/>
      <c r="H604" s="51"/>
      <c r="I604" s="54"/>
      <c r="J604" s="54"/>
      <c r="K604" s="51"/>
    </row>
    <row r="605" spans="1:60" ht="12.75">
      <c r="A605" s="44" t="s">
        <v>1098</v>
      </c>
      <c r="B605" s="44"/>
      <c r="C605" s="44" t="s">
        <v>1099</v>
      </c>
      <c r="D605" s="45" t="s">
        <v>1100</v>
      </c>
      <c r="E605" s="44" t="s">
        <v>395</v>
      </c>
      <c r="F605" s="46">
        <v>2</v>
      </c>
      <c r="G605" s="423"/>
      <c r="H605" s="47">
        <f>F605*G605</f>
        <v>0</v>
      </c>
      <c r="I605" s="48">
        <v>0.0025</v>
      </c>
      <c r="J605" s="48">
        <f>F605*I605</f>
        <v>0.005</v>
      </c>
      <c r="K605" s="49" t="s">
        <v>94</v>
      </c>
      <c r="X605" s="37">
        <f>IF(AO605="5",BH605,0)</f>
        <v>0</v>
      </c>
      <c r="Z605" s="37">
        <f>IF(AO605="1",BF605,0)</f>
        <v>0</v>
      </c>
      <c r="AA605" s="37">
        <f>IF(AO605="1",BG605,0)</f>
        <v>0</v>
      </c>
      <c r="AB605" s="37">
        <f>IF(AO605="7",BF605,0)</f>
        <v>0</v>
      </c>
      <c r="AC605" s="37">
        <f>IF(AO605="7",BG605,0)</f>
        <v>0</v>
      </c>
      <c r="AD605" s="37">
        <f>IF(AO605="2",BF605,0)</f>
        <v>0</v>
      </c>
      <c r="AE605" s="37">
        <f>IF(AO605="2",BG605,0)</f>
        <v>0</v>
      </c>
      <c r="AF605" s="37">
        <f>IF(AO605="0",BH605,0)</f>
        <v>0</v>
      </c>
      <c r="AG605" s="23"/>
      <c r="AH605" s="37">
        <f>IF(AL605=0,H605,0)</f>
        <v>0</v>
      </c>
      <c r="AI605" s="37">
        <f>IF(AL605=15,H605,0)</f>
        <v>0</v>
      </c>
      <c r="AJ605" s="37">
        <f>IF(AL605=21,H605,0)</f>
        <v>0</v>
      </c>
      <c r="AL605" s="37">
        <v>21</v>
      </c>
      <c r="AM605" s="37">
        <f>G605*0.215898959881129</f>
        <v>0</v>
      </c>
      <c r="AN605" s="37">
        <f>G605*(1-0.215898959881129)</f>
        <v>0</v>
      </c>
      <c r="AO605" s="38" t="s">
        <v>136</v>
      </c>
      <c r="AT605" s="37">
        <f>AU605+AV605</f>
        <v>0</v>
      </c>
      <c r="AU605" s="37">
        <f>F605*AM605</f>
        <v>0</v>
      </c>
      <c r="AV605" s="37">
        <f>F605*AN605</f>
        <v>0</v>
      </c>
      <c r="AW605" s="38" t="s">
        <v>1074</v>
      </c>
      <c r="AX605" s="38" t="s">
        <v>1075</v>
      </c>
      <c r="AY605" s="23" t="s">
        <v>97</v>
      </c>
      <c r="BA605" s="37">
        <f>AU605+AV605</f>
        <v>0</v>
      </c>
      <c r="BB605" s="37">
        <f>G605/(100-BC605)*100</f>
        <v>0</v>
      </c>
      <c r="BC605" s="37">
        <v>0</v>
      </c>
      <c r="BD605" s="37">
        <f>J605</f>
        <v>0.005</v>
      </c>
      <c r="BF605" s="37">
        <f>F605*AM605</f>
        <v>0</v>
      </c>
      <c r="BG605" s="37">
        <f>F605*AN605</f>
        <v>0</v>
      </c>
      <c r="BH605" s="37">
        <f>F605*G605</f>
        <v>0</v>
      </c>
    </row>
    <row r="606" spans="1:11" ht="25.5">
      <c r="A606" s="50"/>
      <c r="B606" s="51"/>
      <c r="C606" s="51"/>
      <c r="D606" s="52" t="s">
        <v>1101</v>
      </c>
      <c r="E606" s="51"/>
      <c r="F606" s="53">
        <v>2</v>
      </c>
      <c r="G606" s="51"/>
      <c r="H606" s="51"/>
      <c r="I606" s="54"/>
      <c r="J606" s="54"/>
      <c r="K606" s="51"/>
    </row>
    <row r="607" spans="1:60" ht="25.5">
      <c r="A607" s="44" t="s">
        <v>1102</v>
      </c>
      <c r="B607" s="44"/>
      <c r="C607" s="44" t="s">
        <v>1103</v>
      </c>
      <c r="D607" s="45" t="s">
        <v>1104</v>
      </c>
      <c r="E607" s="44" t="s">
        <v>395</v>
      </c>
      <c r="F607" s="46">
        <v>2</v>
      </c>
      <c r="G607" s="423"/>
      <c r="H607" s="47">
        <f>F607*G607</f>
        <v>0</v>
      </c>
      <c r="I607" s="48">
        <v>0.00429</v>
      </c>
      <c r="J607" s="48">
        <f>F607*I607</f>
        <v>0.00858</v>
      </c>
      <c r="K607" s="49" t="s">
        <v>94</v>
      </c>
      <c r="X607" s="37">
        <f>IF(AO607="5",BH607,0)</f>
        <v>0</v>
      </c>
      <c r="Z607" s="37">
        <f>IF(AO607="1",BF607,0)</f>
        <v>0</v>
      </c>
      <c r="AA607" s="37">
        <f>IF(AO607="1",BG607,0)</f>
        <v>0</v>
      </c>
      <c r="AB607" s="37">
        <f>IF(AO607="7",BF607,0)</f>
        <v>0</v>
      </c>
      <c r="AC607" s="37">
        <f>IF(AO607="7",BG607,0)</f>
        <v>0</v>
      </c>
      <c r="AD607" s="37">
        <f>IF(AO607="2",BF607,0)</f>
        <v>0</v>
      </c>
      <c r="AE607" s="37">
        <f>IF(AO607="2",BG607,0)</f>
        <v>0</v>
      </c>
      <c r="AF607" s="37">
        <f>IF(AO607="0",BH607,0)</f>
        <v>0</v>
      </c>
      <c r="AG607" s="23"/>
      <c r="AH607" s="37">
        <f>IF(AL607=0,H607,0)</f>
        <v>0</v>
      </c>
      <c r="AI607" s="37">
        <f>IF(AL607=15,H607,0)</f>
        <v>0</v>
      </c>
      <c r="AJ607" s="37">
        <f>IF(AL607=21,H607,0)</f>
        <v>0</v>
      </c>
      <c r="AL607" s="37">
        <v>21</v>
      </c>
      <c r="AM607" s="37">
        <f>G607*0.288145766345123</f>
        <v>0</v>
      </c>
      <c r="AN607" s="37">
        <f>G607*(1-0.288145766345123)</f>
        <v>0</v>
      </c>
      <c r="AO607" s="38" t="s">
        <v>136</v>
      </c>
      <c r="AT607" s="37">
        <f>AU607+AV607</f>
        <v>0</v>
      </c>
      <c r="AU607" s="37">
        <f>F607*AM607</f>
        <v>0</v>
      </c>
      <c r="AV607" s="37">
        <f>F607*AN607</f>
        <v>0</v>
      </c>
      <c r="AW607" s="38" t="s">
        <v>1074</v>
      </c>
      <c r="AX607" s="38" t="s">
        <v>1075</v>
      </c>
      <c r="AY607" s="23" t="s">
        <v>97</v>
      </c>
      <c r="BA607" s="37">
        <f>AU607+AV607</f>
        <v>0</v>
      </c>
      <c r="BB607" s="37">
        <f>G607/(100-BC607)*100</f>
        <v>0</v>
      </c>
      <c r="BC607" s="37">
        <v>0</v>
      </c>
      <c r="BD607" s="37">
        <f>J607</f>
        <v>0.00858</v>
      </c>
      <c r="BF607" s="37">
        <f>F607*AM607</f>
        <v>0</v>
      </c>
      <c r="BG607" s="37">
        <f>F607*AN607</f>
        <v>0</v>
      </c>
      <c r="BH607" s="37">
        <f>F607*G607</f>
        <v>0</v>
      </c>
    </row>
    <row r="608" spans="1:11" ht="25.5">
      <c r="A608" s="50"/>
      <c r="B608" s="51"/>
      <c r="C608" s="51"/>
      <c r="D608" s="52" t="s">
        <v>1105</v>
      </c>
      <c r="E608" s="51"/>
      <c r="F608" s="53">
        <v>2</v>
      </c>
      <c r="G608" s="51"/>
      <c r="H608" s="51"/>
      <c r="I608" s="54"/>
      <c r="J608" s="54"/>
      <c r="K608" s="51"/>
    </row>
    <row r="609" spans="1:60" ht="12.75">
      <c r="A609" s="44" t="s">
        <v>1106</v>
      </c>
      <c r="B609" s="44"/>
      <c r="C609" s="44" t="s">
        <v>1107</v>
      </c>
      <c r="D609" s="45" t="s">
        <v>1108</v>
      </c>
      <c r="E609" s="44" t="s">
        <v>395</v>
      </c>
      <c r="F609" s="46">
        <v>7.6</v>
      </c>
      <c r="G609" s="423"/>
      <c r="H609" s="47">
        <f>F609*G609</f>
        <v>0</v>
      </c>
      <c r="I609" s="48">
        <v>0.0093</v>
      </c>
      <c r="J609" s="48">
        <f>F609*I609</f>
        <v>0.07067999999999999</v>
      </c>
      <c r="K609" s="49" t="s">
        <v>94</v>
      </c>
      <c r="X609" s="37">
        <f>IF(AO609="5",BH609,0)</f>
        <v>0</v>
      </c>
      <c r="Z609" s="37">
        <f>IF(AO609="1",BF609,0)</f>
        <v>0</v>
      </c>
      <c r="AA609" s="37">
        <f>IF(AO609="1",BG609,0)</f>
        <v>0</v>
      </c>
      <c r="AB609" s="37">
        <f>IF(AO609="7",BF609,0)</f>
        <v>0</v>
      </c>
      <c r="AC609" s="37">
        <f>IF(AO609="7",BG609,0)</f>
        <v>0</v>
      </c>
      <c r="AD609" s="37">
        <f>IF(AO609="2",BF609,0)</f>
        <v>0</v>
      </c>
      <c r="AE609" s="37">
        <f>IF(AO609="2",BG609,0)</f>
        <v>0</v>
      </c>
      <c r="AF609" s="37">
        <f>IF(AO609="0",BH609,0)</f>
        <v>0</v>
      </c>
      <c r="AG609" s="23"/>
      <c r="AH609" s="37">
        <f>IF(AL609=0,H609,0)</f>
        <v>0</v>
      </c>
      <c r="AI609" s="37">
        <f>IF(AL609=15,H609,0)</f>
        <v>0</v>
      </c>
      <c r="AJ609" s="37">
        <f>IF(AL609=21,H609,0)</f>
        <v>0</v>
      </c>
      <c r="AL609" s="37">
        <v>21</v>
      </c>
      <c r="AM609" s="37">
        <f>G609*0.645495347564313</f>
        <v>0</v>
      </c>
      <c r="AN609" s="37">
        <f>G609*(1-0.645495347564313)</f>
        <v>0</v>
      </c>
      <c r="AO609" s="38" t="s">
        <v>136</v>
      </c>
      <c r="AT609" s="37">
        <f>AU609+AV609</f>
        <v>0</v>
      </c>
      <c r="AU609" s="37">
        <f>F609*AM609</f>
        <v>0</v>
      </c>
      <c r="AV609" s="37">
        <f>F609*AN609</f>
        <v>0</v>
      </c>
      <c r="AW609" s="38" t="s">
        <v>1074</v>
      </c>
      <c r="AX609" s="38" t="s">
        <v>1075</v>
      </c>
      <c r="AY609" s="23" t="s">
        <v>97</v>
      </c>
      <c r="BA609" s="37">
        <f>AU609+AV609</f>
        <v>0</v>
      </c>
      <c r="BB609" s="37">
        <f>G609/(100-BC609)*100</f>
        <v>0</v>
      </c>
      <c r="BC609" s="37">
        <v>0</v>
      </c>
      <c r="BD609" s="37">
        <f>J609</f>
        <v>0.07067999999999999</v>
      </c>
      <c r="BF609" s="37">
        <f>F609*AM609</f>
        <v>0</v>
      </c>
      <c r="BG609" s="37">
        <f>F609*AN609</f>
        <v>0</v>
      </c>
      <c r="BH609" s="37">
        <f>F609*G609</f>
        <v>0</v>
      </c>
    </row>
    <row r="610" spans="1:11" ht="25.5">
      <c r="A610" s="50"/>
      <c r="B610" s="51"/>
      <c r="C610" s="51"/>
      <c r="D610" s="52" t="s">
        <v>1109</v>
      </c>
      <c r="E610" s="51"/>
      <c r="F610" s="53">
        <v>7.6</v>
      </c>
      <c r="G610" s="51"/>
      <c r="H610" s="51"/>
      <c r="I610" s="54"/>
      <c r="J610" s="54"/>
      <c r="K610" s="51"/>
    </row>
    <row r="611" spans="1:60" ht="12.75">
      <c r="A611" s="44" t="s">
        <v>1110</v>
      </c>
      <c r="B611" s="44"/>
      <c r="C611" s="44" t="s">
        <v>1111</v>
      </c>
      <c r="D611" s="45" t="s">
        <v>1112</v>
      </c>
      <c r="E611" s="44" t="s">
        <v>395</v>
      </c>
      <c r="F611" s="46">
        <v>7.6</v>
      </c>
      <c r="G611" s="423"/>
      <c r="H611" s="47">
        <f>F611*G611</f>
        <v>0</v>
      </c>
      <c r="I611" s="48">
        <v>0.00396</v>
      </c>
      <c r="J611" s="48">
        <f>F611*I611</f>
        <v>0.030095999999999998</v>
      </c>
      <c r="K611" s="49" t="s">
        <v>94</v>
      </c>
      <c r="X611" s="37">
        <f>IF(AO611="5",BH611,0)</f>
        <v>0</v>
      </c>
      <c r="Z611" s="37">
        <f>IF(AO611="1",BF611,0)</f>
        <v>0</v>
      </c>
      <c r="AA611" s="37">
        <f>IF(AO611="1",BG611,0)</f>
        <v>0</v>
      </c>
      <c r="AB611" s="37">
        <f>IF(AO611="7",BF611,0)</f>
        <v>0</v>
      </c>
      <c r="AC611" s="37">
        <f>IF(AO611="7",BG611,0)</f>
        <v>0</v>
      </c>
      <c r="AD611" s="37">
        <f>IF(AO611="2",BF611,0)</f>
        <v>0</v>
      </c>
      <c r="AE611" s="37">
        <f>IF(AO611="2",BG611,0)</f>
        <v>0</v>
      </c>
      <c r="AF611" s="37">
        <f>IF(AO611="0",BH611,0)</f>
        <v>0</v>
      </c>
      <c r="AG611" s="23"/>
      <c r="AH611" s="37">
        <f>IF(AL611=0,H611,0)</f>
        <v>0</v>
      </c>
      <c r="AI611" s="37">
        <f>IF(AL611=15,H611,0)</f>
        <v>0</v>
      </c>
      <c r="AJ611" s="37">
        <f>IF(AL611=21,H611,0)</f>
        <v>0</v>
      </c>
      <c r="AL611" s="37">
        <v>21</v>
      </c>
      <c r="AM611" s="37">
        <f>G611*0.433350831146107</f>
        <v>0</v>
      </c>
      <c r="AN611" s="37">
        <f>G611*(1-0.433350831146107)</f>
        <v>0</v>
      </c>
      <c r="AO611" s="38" t="s">
        <v>136</v>
      </c>
      <c r="AT611" s="37">
        <f>AU611+AV611</f>
        <v>0</v>
      </c>
      <c r="AU611" s="37">
        <f>F611*AM611</f>
        <v>0</v>
      </c>
      <c r="AV611" s="37">
        <f>F611*AN611</f>
        <v>0</v>
      </c>
      <c r="AW611" s="38" t="s">
        <v>1074</v>
      </c>
      <c r="AX611" s="38" t="s">
        <v>1075</v>
      </c>
      <c r="AY611" s="23" t="s">
        <v>97</v>
      </c>
      <c r="BA611" s="37">
        <f>AU611+AV611</f>
        <v>0</v>
      </c>
      <c r="BB611" s="37">
        <f>G611/(100-BC611)*100</f>
        <v>0</v>
      </c>
      <c r="BC611" s="37">
        <v>0</v>
      </c>
      <c r="BD611" s="37">
        <f>J611</f>
        <v>0.030095999999999998</v>
      </c>
      <c r="BF611" s="37">
        <f>F611*AM611</f>
        <v>0</v>
      </c>
      <c r="BG611" s="37">
        <f>F611*AN611</f>
        <v>0</v>
      </c>
      <c r="BH611" s="37">
        <f>F611*G611</f>
        <v>0</v>
      </c>
    </row>
    <row r="612" spans="1:11" ht="12.75">
      <c r="A612" s="50"/>
      <c r="B612" s="51"/>
      <c r="C612" s="51"/>
      <c r="D612" s="52" t="s">
        <v>1113</v>
      </c>
      <c r="E612" s="51"/>
      <c r="F612" s="53">
        <v>7.6</v>
      </c>
      <c r="G612" s="51"/>
      <c r="H612" s="51"/>
      <c r="I612" s="54"/>
      <c r="J612" s="54"/>
      <c r="K612" s="51"/>
    </row>
    <row r="613" spans="1:60" ht="12.75">
      <c r="A613" s="44" t="s">
        <v>1114</v>
      </c>
      <c r="B613" s="44"/>
      <c r="C613" s="44" t="s">
        <v>1115</v>
      </c>
      <c r="D613" s="45" t="s">
        <v>1116</v>
      </c>
      <c r="E613" s="44" t="s">
        <v>395</v>
      </c>
      <c r="F613" s="46">
        <v>99</v>
      </c>
      <c r="G613" s="423"/>
      <c r="H613" s="47">
        <f>F613*G613</f>
        <v>0</v>
      </c>
      <c r="I613" s="48">
        <v>0.00636</v>
      </c>
      <c r="J613" s="48">
        <f>F613*I613</f>
        <v>0.62964</v>
      </c>
      <c r="K613" s="49" t="s">
        <v>94</v>
      </c>
      <c r="X613" s="37">
        <f>IF(AO613="5",BH613,0)</f>
        <v>0</v>
      </c>
      <c r="Z613" s="37">
        <f>IF(AO613="1",BF613,0)</f>
        <v>0</v>
      </c>
      <c r="AA613" s="37">
        <f>IF(AO613="1",BG613,0)</f>
        <v>0</v>
      </c>
      <c r="AB613" s="37">
        <f>IF(AO613="7",BF613,0)</f>
        <v>0</v>
      </c>
      <c r="AC613" s="37">
        <f>IF(AO613="7",BG613,0)</f>
        <v>0</v>
      </c>
      <c r="AD613" s="37">
        <f>IF(AO613="2",BF613,0)</f>
        <v>0</v>
      </c>
      <c r="AE613" s="37">
        <f>IF(AO613="2",BG613,0)</f>
        <v>0</v>
      </c>
      <c r="AF613" s="37">
        <f>IF(AO613="0",BH613,0)</f>
        <v>0</v>
      </c>
      <c r="AG613" s="23"/>
      <c r="AH613" s="37">
        <f>IF(AL613=0,H613,0)</f>
        <v>0</v>
      </c>
      <c r="AI613" s="37">
        <f>IF(AL613=15,H613,0)</f>
        <v>0</v>
      </c>
      <c r="AJ613" s="37">
        <f>IF(AL613=21,H613,0)</f>
        <v>0</v>
      </c>
      <c r="AL613" s="37">
        <v>21</v>
      </c>
      <c r="AM613" s="37">
        <f>G613*0.326989823245849</f>
        <v>0</v>
      </c>
      <c r="AN613" s="37">
        <f>G613*(1-0.326989823245849)</f>
        <v>0</v>
      </c>
      <c r="AO613" s="38" t="s">
        <v>136</v>
      </c>
      <c r="AT613" s="37">
        <f>AU613+AV613</f>
        <v>0</v>
      </c>
      <c r="AU613" s="37">
        <f>F613*AM613</f>
        <v>0</v>
      </c>
      <c r="AV613" s="37">
        <f>F613*AN613</f>
        <v>0</v>
      </c>
      <c r="AW613" s="38" t="s">
        <v>1074</v>
      </c>
      <c r="AX613" s="38" t="s">
        <v>1075</v>
      </c>
      <c r="AY613" s="23" t="s">
        <v>97</v>
      </c>
      <c r="BA613" s="37">
        <f>AU613+AV613</f>
        <v>0</v>
      </c>
      <c r="BB613" s="37">
        <f>G613/(100-BC613)*100</f>
        <v>0</v>
      </c>
      <c r="BC613" s="37">
        <v>0</v>
      </c>
      <c r="BD613" s="37">
        <f>J613</f>
        <v>0.62964</v>
      </c>
      <c r="BF613" s="37">
        <f>F613*AM613</f>
        <v>0</v>
      </c>
      <c r="BG613" s="37">
        <f>F613*AN613</f>
        <v>0</v>
      </c>
      <c r="BH613" s="37">
        <f>F613*G613</f>
        <v>0</v>
      </c>
    </row>
    <row r="614" spans="1:11" ht="12.75">
      <c r="A614" s="50"/>
      <c r="B614" s="51"/>
      <c r="C614" s="51"/>
      <c r="D614" s="52" t="s">
        <v>1117</v>
      </c>
      <c r="E614" s="51"/>
      <c r="F614" s="53">
        <v>99</v>
      </c>
      <c r="G614" s="51"/>
      <c r="H614" s="51"/>
      <c r="I614" s="54"/>
      <c r="J614" s="54"/>
      <c r="K614" s="51"/>
    </row>
    <row r="615" spans="1:60" ht="12.75">
      <c r="A615" s="44" t="s">
        <v>1118</v>
      </c>
      <c r="B615" s="44"/>
      <c r="C615" s="44" t="s">
        <v>1119</v>
      </c>
      <c r="D615" s="45" t="s">
        <v>1120</v>
      </c>
      <c r="E615" s="44" t="s">
        <v>395</v>
      </c>
      <c r="F615" s="46">
        <v>13</v>
      </c>
      <c r="G615" s="423"/>
      <c r="H615" s="47">
        <f>F615*G615</f>
        <v>0</v>
      </c>
      <c r="I615" s="48">
        <v>0.00319</v>
      </c>
      <c r="J615" s="48">
        <f>F615*I615</f>
        <v>0.04147</v>
      </c>
      <c r="K615" s="49" t="s">
        <v>94</v>
      </c>
      <c r="X615" s="37">
        <f>IF(AO615="5",BH615,0)</f>
        <v>0</v>
      </c>
      <c r="Z615" s="37">
        <f>IF(AO615="1",BF615,0)</f>
        <v>0</v>
      </c>
      <c r="AA615" s="37">
        <f>IF(AO615="1",BG615,0)</f>
        <v>0</v>
      </c>
      <c r="AB615" s="37">
        <f>IF(AO615="7",BF615,0)</f>
        <v>0</v>
      </c>
      <c r="AC615" s="37">
        <f>IF(AO615="7",BG615,0)</f>
        <v>0</v>
      </c>
      <c r="AD615" s="37">
        <f>IF(AO615="2",BF615,0)</f>
        <v>0</v>
      </c>
      <c r="AE615" s="37">
        <f>IF(AO615="2",BG615,0)</f>
        <v>0</v>
      </c>
      <c r="AF615" s="37">
        <f>IF(AO615="0",BH615,0)</f>
        <v>0</v>
      </c>
      <c r="AG615" s="23"/>
      <c r="AH615" s="37">
        <f>IF(AL615=0,H615,0)</f>
        <v>0</v>
      </c>
      <c r="AI615" s="37">
        <f>IF(AL615=15,H615,0)</f>
        <v>0</v>
      </c>
      <c r="AJ615" s="37">
        <f>IF(AL615=21,H615,0)</f>
        <v>0</v>
      </c>
      <c r="AL615" s="37">
        <v>21</v>
      </c>
      <c r="AM615" s="37">
        <f>G615*0.196657608695652</f>
        <v>0</v>
      </c>
      <c r="AN615" s="37">
        <f>G615*(1-0.196657608695652)</f>
        <v>0</v>
      </c>
      <c r="AO615" s="38" t="s">
        <v>136</v>
      </c>
      <c r="AT615" s="37">
        <f>AU615+AV615</f>
        <v>0</v>
      </c>
      <c r="AU615" s="37">
        <f>F615*AM615</f>
        <v>0</v>
      </c>
      <c r="AV615" s="37">
        <f>F615*AN615</f>
        <v>0</v>
      </c>
      <c r="AW615" s="38" t="s">
        <v>1074</v>
      </c>
      <c r="AX615" s="38" t="s">
        <v>1075</v>
      </c>
      <c r="AY615" s="23" t="s">
        <v>97</v>
      </c>
      <c r="BA615" s="37">
        <f>AU615+AV615</f>
        <v>0</v>
      </c>
      <c r="BB615" s="37">
        <f>G615/(100-BC615)*100</f>
        <v>0</v>
      </c>
      <c r="BC615" s="37">
        <v>0</v>
      </c>
      <c r="BD615" s="37">
        <f>J615</f>
        <v>0.04147</v>
      </c>
      <c r="BF615" s="37">
        <f>F615*AM615</f>
        <v>0</v>
      </c>
      <c r="BG615" s="37">
        <f>F615*AN615</f>
        <v>0</v>
      </c>
      <c r="BH615" s="37">
        <f>F615*G615</f>
        <v>0</v>
      </c>
    </row>
    <row r="616" spans="1:11" ht="25.5">
      <c r="A616" s="50"/>
      <c r="B616" s="51"/>
      <c r="C616" s="51"/>
      <c r="D616" s="52" t="s">
        <v>1121</v>
      </c>
      <c r="E616" s="51"/>
      <c r="F616" s="53">
        <v>13</v>
      </c>
      <c r="G616" s="51"/>
      <c r="H616" s="51"/>
      <c r="I616" s="54"/>
      <c r="J616" s="54"/>
      <c r="K616" s="51"/>
    </row>
    <row r="617" spans="1:60" ht="12.75">
      <c r="A617" s="44" t="s">
        <v>1122</v>
      </c>
      <c r="B617" s="44"/>
      <c r="C617" s="44" t="s">
        <v>1123</v>
      </c>
      <c r="D617" s="45" t="s">
        <v>1124</v>
      </c>
      <c r="E617" s="44" t="s">
        <v>239</v>
      </c>
      <c r="F617" s="46">
        <v>2.36</v>
      </c>
      <c r="G617" s="423"/>
      <c r="H617" s="47">
        <f>F617*G617</f>
        <v>0</v>
      </c>
      <c r="I617" s="48">
        <v>0</v>
      </c>
      <c r="J617" s="48">
        <f>F617*I617</f>
        <v>0</v>
      </c>
      <c r="K617" s="49" t="s">
        <v>94</v>
      </c>
      <c r="X617" s="37">
        <f>IF(AO617="5",BH617,0)</f>
        <v>0</v>
      </c>
      <c r="Z617" s="37">
        <f>IF(AO617="1",BF617,0)</f>
        <v>0</v>
      </c>
      <c r="AA617" s="37">
        <f>IF(AO617="1",BG617,0)</f>
        <v>0</v>
      </c>
      <c r="AB617" s="37">
        <f>IF(AO617="7",BF617,0)</f>
        <v>0</v>
      </c>
      <c r="AC617" s="37">
        <f>IF(AO617="7",BG617,0)</f>
        <v>0</v>
      </c>
      <c r="AD617" s="37">
        <f>IF(AO617="2",BF617,0)</f>
        <v>0</v>
      </c>
      <c r="AE617" s="37">
        <f>IF(AO617="2",BG617,0)</f>
        <v>0</v>
      </c>
      <c r="AF617" s="37">
        <f>IF(AO617="0",BH617,0)</f>
        <v>0</v>
      </c>
      <c r="AG617" s="23"/>
      <c r="AH617" s="37">
        <f>IF(AL617=0,H617,0)</f>
        <v>0</v>
      </c>
      <c r="AI617" s="37">
        <f>IF(AL617=15,H617,0)</f>
        <v>0</v>
      </c>
      <c r="AJ617" s="37">
        <f>IF(AL617=21,H617,0)</f>
        <v>0</v>
      </c>
      <c r="AL617" s="37">
        <v>21</v>
      </c>
      <c r="AM617" s="37">
        <f>G617*0</f>
        <v>0</v>
      </c>
      <c r="AN617" s="37">
        <f>G617*(1-0)</f>
        <v>0</v>
      </c>
      <c r="AO617" s="38" t="s">
        <v>118</v>
      </c>
      <c r="AT617" s="37">
        <f>AU617+AV617</f>
        <v>0</v>
      </c>
      <c r="AU617" s="37">
        <f>F617*AM617</f>
        <v>0</v>
      </c>
      <c r="AV617" s="37">
        <f>F617*AN617</f>
        <v>0</v>
      </c>
      <c r="AW617" s="38" t="s">
        <v>1074</v>
      </c>
      <c r="AX617" s="38" t="s">
        <v>1075</v>
      </c>
      <c r="AY617" s="23" t="s">
        <v>97</v>
      </c>
      <c r="BA617" s="37">
        <f>AU617+AV617</f>
        <v>0</v>
      </c>
      <c r="BB617" s="37">
        <f>G617/(100-BC617)*100</f>
        <v>0</v>
      </c>
      <c r="BC617" s="37">
        <v>0</v>
      </c>
      <c r="BD617" s="37">
        <f>J617</f>
        <v>0</v>
      </c>
      <c r="BF617" s="37">
        <f>F617*AM617</f>
        <v>0</v>
      </c>
      <c r="BG617" s="37">
        <f>F617*AN617</f>
        <v>0</v>
      </c>
      <c r="BH617" s="37">
        <f>F617*G617</f>
        <v>0</v>
      </c>
    </row>
    <row r="618" spans="1:11" ht="12.75">
      <c r="A618" s="50"/>
      <c r="B618" s="51"/>
      <c r="C618" s="51"/>
      <c r="D618" s="52" t="s">
        <v>1125</v>
      </c>
      <c r="E618" s="51"/>
      <c r="F618" s="53">
        <v>2.36</v>
      </c>
      <c r="G618" s="51"/>
      <c r="H618" s="51"/>
      <c r="I618" s="54"/>
      <c r="J618" s="54"/>
      <c r="K618" s="51"/>
    </row>
    <row r="619" spans="1:45" ht="12.75">
      <c r="A619" s="24"/>
      <c r="B619" s="25"/>
      <c r="C619" s="25" t="s">
        <v>1126</v>
      </c>
      <c r="D619" s="26" t="s">
        <v>1127</v>
      </c>
      <c r="E619" s="24" t="s">
        <v>54</v>
      </c>
      <c r="F619" s="24" t="s">
        <v>54</v>
      </c>
      <c r="G619" s="24"/>
      <c r="H619" s="27">
        <f>SUM(H620:H757)</f>
        <v>0</v>
      </c>
      <c r="I619" s="28"/>
      <c r="J619" s="28">
        <f>SUM(J620:J757)</f>
        <v>18.598177879999998</v>
      </c>
      <c r="K619" s="29"/>
      <c r="AG619" s="23"/>
      <c r="AQ619" s="31">
        <f>SUM(AH620:AH757)</f>
        <v>0</v>
      </c>
      <c r="AR619" s="31">
        <f>SUM(AI620:AI757)</f>
        <v>0</v>
      </c>
      <c r="AS619" s="31">
        <f>SUM(AJ620:AJ757)</f>
        <v>0</v>
      </c>
    </row>
    <row r="620" spans="1:60" ht="25.5">
      <c r="A620" s="44" t="s">
        <v>1128</v>
      </c>
      <c r="B620" s="44"/>
      <c r="C620" s="44" t="s">
        <v>1129</v>
      </c>
      <c r="D620" s="45" t="s">
        <v>1130</v>
      </c>
      <c r="E620" s="44" t="s">
        <v>225</v>
      </c>
      <c r="F620" s="46">
        <v>4</v>
      </c>
      <c r="G620" s="423"/>
      <c r="H620" s="47">
        <f>F620*G620</f>
        <v>0</v>
      </c>
      <c r="I620" s="48">
        <v>0.045</v>
      </c>
      <c r="J620" s="48">
        <f>F620*I620</f>
        <v>0.18</v>
      </c>
      <c r="K620" s="49" t="s">
        <v>226</v>
      </c>
      <c r="X620" s="37">
        <f>IF(AO620="5",BH620,0)</f>
        <v>0</v>
      </c>
      <c r="Z620" s="37">
        <f>IF(AO620="1",BF620,0)</f>
        <v>0</v>
      </c>
      <c r="AA620" s="37">
        <f>IF(AO620="1",BG620,0)</f>
        <v>0</v>
      </c>
      <c r="AB620" s="37">
        <f>IF(AO620="7",BF620,0)</f>
        <v>0</v>
      </c>
      <c r="AC620" s="37">
        <f>IF(AO620="7",BG620,0)</f>
        <v>0</v>
      </c>
      <c r="AD620" s="37">
        <f>IF(AO620="2",BF620,0)</f>
        <v>0</v>
      </c>
      <c r="AE620" s="37">
        <f>IF(AO620="2",BG620,0)</f>
        <v>0</v>
      </c>
      <c r="AF620" s="37">
        <f>IF(AO620="0",BH620,0)</f>
        <v>0</v>
      </c>
      <c r="AG620" s="23"/>
      <c r="AH620" s="37">
        <f>IF(AL620=0,H620,0)</f>
        <v>0</v>
      </c>
      <c r="AI620" s="37">
        <f>IF(AL620=15,H620,0)</f>
        <v>0</v>
      </c>
      <c r="AJ620" s="37">
        <f>IF(AL620=21,H620,0)</f>
        <v>0</v>
      </c>
      <c r="AL620" s="37">
        <v>21</v>
      </c>
      <c r="AM620" s="37">
        <f>G620*0.0323776666666667</f>
        <v>0</v>
      </c>
      <c r="AN620" s="37">
        <f>G620*(1-0.0323776666666667)</f>
        <v>0</v>
      </c>
      <c r="AO620" s="38" t="s">
        <v>136</v>
      </c>
      <c r="AT620" s="37">
        <f>AU620+AV620</f>
        <v>0</v>
      </c>
      <c r="AU620" s="37">
        <f>F620*AM620</f>
        <v>0</v>
      </c>
      <c r="AV620" s="37">
        <f>F620*AN620</f>
        <v>0</v>
      </c>
      <c r="AW620" s="38" t="s">
        <v>1131</v>
      </c>
      <c r="AX620" s="38" t="s">
        <v>1075</v>
      </c>
      <c r="AY620" s="23" t="s">
        <v>97</v>
      </c>
      <c r="BA620" s="37">
        <f>AU620+AV620</f>
        <v>0</v>
      </c>
      <c r="BB620" s="37">
        <f>G620/(100-BC620)*100</f>
        <v>0</v>
      </c>
      <c r="BC620" s="37">
        <v>0</v>
      </c>
      <c r="BD620" s="37">
        <f>J620</f>
        <v>0.18</v>
      </c>
      <c r="BF620" s="37">
        <f>F620*AM620</f>
        <v>0</v>
      </c>
      <c r="BG620" s="37">
        <f>F620*AN620</f>
        <v>0</v>
      </c>
      <c r="BH620" s="37">
        <f>F620*G620</f>
        <v>0</v>
      </c>
    </row>
    <row r="621" spans="1:11" ht="12.75">
      <c r="A621" s="50"/>
      <c r="B621" s="51"/>
      <c r="C621" s="51"/>
      <c r="D621" s="52" t="s">
        <v>1132</v>
      </c>
      <c r="E621" s="51"/>
      <c r="F621" s="53">
        <v>4</v>
      </c>
      <c r="G621" s="51"/>
      <c r="H621" s="51"/>
      <c r="I621" s="54"/>
      <c r="J621" s="54"/>
      <c r="K621" s="51"/>
    </row>
    <row r="622" spans="1:60" ht="25.5">
      <c r="A622" s="44" t="s">
        <v>1133</v>
      </c>
      <c r="B622" s="44"/>
      <c r="C622" s="44" t="s">
        <v>1134</v>
      </c>
      <c r="D622" s="45" t="s">
        <v>1135</v>
      </c>
      <c r="E622" s="44" t="s">
        <v>225</v>
      </c>
      <c r="F622" s="46">
        <v>1</v>
      </c>
      <c r="G622" s="423"/>
      <c r="H622" s="47">
        <f>F622*G622</f>
        <v>0</v>
      </c>
      <c r="I622" s="48">
        <v>0.045</v>
      </c>
      <c r="J622" s="48">
        <f>F622*I622</f>
        <v>0.045</v>
      </c>
      <c r="K622" s="49" t="s">
        <v>226</v>
      </c>
      <c r="X622" s="37">
        <f>IF(AO622="5",BH622,0)</f>
        <v>0</v>
      </c>
      <c r="Z622" s="37">
        <f>IF(AO622="1",BF622,0)</f>
        <v>0</v>
      </c>
      <c r="AA622" s="37">
        <f>IF(AO622="1",BG622,0)</f>
        <v>0</v>
      </c>
      <c r="AB622" s="37">
        <f>IF(AO622="7",BF622,0)</f>
        <v>0</v>
      </c>
      <c r="AC622" s="37">
        <f>IF(AO622="7",BG622,0)</f>
        <v>0</v>
      </c>
      <c r="AD622" s="37">
        <f>IF(AO622="2",BF622,0)</f>
        <v>0</v>
      </c>
      <c r="AE622" s="37">
        <f>IF(AO622="2",BG622,0)</f>
        <v>0</v>
      </c>
      <c r="AF622" s="37">
        <f>IF(AO622="0",BH622,0)</f>
        <v>0</v>
      </c>
      <c r="AG622" s="23"/>
      <c r="AH622" s="37">
        <f>IF(AL622=0,H622,0)</f>
        <v>0</v>
      </c>
      <c r="AI622" s="37">
        <f>IF(AL622=15,H622,0)</f>
        <v>0</v>
      </c>
      <c r="AJ622" s="37">
        <f>IF(AL622=21,H622,0)</f>
        <v>0</v>
      </c>
      <c r="AL622" s="37">
        <v>21</v>
      </c>
      <c r="AM622" s="37">
        <f>G622*0.032377625</f>
        <v>0</v>
      </c>
      <c r="AN622" s="37">
        <f>G622*(1-0.032377625)</f>
        <v>0</v>
      </c>
      <c r="AO622" s="38" t="s">
        <v>136</v>
      </c>
      <c r="AT622" s="37">
        <f>AU622+AV622</f>
        <v>0</v>
      </c>
      <c r="AU622" s="37">
        <f>F622*AM622</f>
        <v>0</v>
      </c>
      <c r="AV622" s="37">
        <f>F622*AN622</f>
        <v>0</v>
      </c>
      <c r="AW622" s="38" t="s">
        <v>1131</v>
      </c>
      <c r="AX622" s="38" t="s">
        <v>1075</v>
      </c>
      <c r="AY622" s="23" t="s">
        <v>97</v>
      </c>
      <c r="BA622" s="37">
        <f>AU622+AV622</f>
        <v>0</v>
      </c>
      <c r="BB622" s="37">
        <f>G622/(100-BC622)*100</f>
        <v>0</v>
      </c>
      <c r="BC622" s="37">
        <v>0</v>
      </c>
      <c r="BD622" s="37">
        <f>J622</f>
        <v>0.045</v>
      </c>
      <c r="BF622" s="37">
        <f>F622*AM622</f>
        <v>0</v>
      </c>
      <c r="BG622" s="37">
        <f>F622*AN622</f>
        <v>0</v>
      </c>
      <c r="BH622" s="37">
        <f>F622*G622</f>
        <v>0</v>
      </c>
    </row>
    <row r="623" spans="1:11" ht="12.75">
      <c r="A623" s="50"/>
      <c r="B623" s="51"/>
      <c r="C623" s="51"/>
      <c r="D623" s="52" t="s">
        <v>1136</v>
      </c>
      <c r="E623" s="51"/>
      <c r="F623" s="53">
        <v>1</v>
      </c>
      <c r="G623" s="51"/>
      <c r="H623" s="51"/>
      <c r="I623" s="54"/>
      <c r="J623" s="54"/>
      <c r="K623" s="51"/>
    </row>
    <row r="624" spans="1:60" ht="25.5">
      <c r="A624" s="44" t="s">
        <v>1137</v>
      </c>
      <c r="B624" s="44"/>
      <c r="C624" s="44" t="s">
        <v>1138</v>
      </c>
      <c r="D624" s="45" t="s">
        <v>1139</v>
      </c>
      <c r="E624" s="44" t="s">
        <v>225</v>
      </c>
      <c r="F624" s="46">
        <v>1</v>
      </c>
      <c r="G624" s="423"/>
      <c r="H624" s="47">
        <f>F624*G624</f>
        <v>0</v>
      </c>
      <c r="I624" s="48">
        <v>0.045</v>
      </c>
      <c r="J624" s="48">
        <f>F624*I624</f>
        <v>0.045</v>
      </c>
      <c r="K624" s="49" t="s">
        <v>226</v>
      </c>
      <c r="X624" s="37">
        <f>IF(AO624="5",BH624,0)</f>
        <v>0</v>
      </c>
      <c r="Z624" s="37">
        <f>IF(AO624="1",BF624,0)</f>
        <v>0</v>
      </c>
      <c r="AA624" s="37">
        <f>IF(AO624="1",BG624,0)</f>
        <v>0</v>
      </c>
      <c r="AB624" s="37">
        <f>IF(AO624="7",BF624,0)</f>
        <v>0</v>
      </c>
      <c r="AC624" s="37">
        <f>IF(AO624="7",BG624,0)</f>
        <v>0</v>
      </c>
      <c r="AD624" s="37">
        <f>IF(AO624="2",BF624,0)</f>
        <v>0</v>
      </c>
      <c r="AE624" s="37">
        <f>IF(AO624="2",BG624,0)</f>
        <v>0</v>
      </c>
      <c r="AF624" s="37">
        <f>IF(AO624="0",BH624,0)</f>
        <v>0</v>
      </c>
      <c r="AG624" s="23"/>
      <c r="AH624" s="37">
        <f>IF(AL624=0,H624,0)</f>
        <v>0</v>
      </c>
      <c r="AI624" s="37">
        <f>IF(AL624=15,H624,0)</f>
        <v>0</v>
      </c>
      <c r="AJ624" s="37">
        <f>IF(AL624=21,H624,0)</f>
        <v>0</v>
      </c>
      <c r="AL624" s="37">
        <v>21</v>
      </c>
      <c r="AM624" s="37">
        <f>G624*0.0323775766716943</f>
        <v>0</v>
      </c>
      <c r="AN624" s="37">
        <f>G624*(1-0.0323775766716943)</f>
        <v>0</v>
      </c>
      <c r="AO624" s="38" t="s">
        <v>136</v>
      </c>
      <c r="AT624" s="37">
        <f>AU624+AV624</f>
        <v>0</v>
      </c>
      <c r="AU624" s="37">
        <f>F624*AM624</f>
        <v>0</v>
      </c>
      <c r="AV624" s="37">
        <f>F624*AN624</f>
        <v>0</v>
      </c>
      <c r="AW624" s="38" t="s">
        <v>1131</v>
      </c>
      <c r="AX624" s="38" t="s">
        <v>1075</v>
      </c>
      <c r="AY624" s="23" t="s">
        <v>97</v>
      </c>
      <c r="BA624" s="37">
        <f>AU624+AV624</f>
        <v>0</v>
      </c>
      <c r="BB624" s="37">
        <f>G624/(100-BC624)*100</f>
        <v>0</v>
      </c>
      <c r="BC624" s="37">
        <v>0</v>
      </c>
      <c r="BD624" s="37">
        <f>J624</f>
        <v>0.045</v>
      </c>
      <c r="BF624" s="37">
        <f>F624*AM624</f>
        <v>0</v>
      </c>
      <c r="BG624" s="37">
        <f>F624*AN624</f>
        <v>0</v>
      </c>
      <c r="BH624" s="37">
        <f>F624*G624</f>
        <v>0</v>
      </c>
    </row>
    <row r="625" spans="1:11" ht="12.75">
      <c r="A625" s="50"/>
      <c r="B625" s="51"/>
      <c r="C625" s="51"/>
      <c r="D625" s="52" t="s">
        <v>1140</v>
      </c>
      <c r="E625" s="51"/>
      <c r="F625" s="53">
        <v>1</v>
      </c>
      <c r="G625" s="51"/>
      <c r="H625" s="51"/>
      <c r="I625" s="54"/>
      <c r="J625" s="54"/>
      <c r="K625" s="51"/>
    </row>
    <row r="626" spans="1:60" ht="25.5">
      <c r="A626" s="16" t="s">
        <v>1141</v>
      </c>
      <c r="B626" s="16"/>
      <c r="C626" s="16" t="s">
        <v>1142</v>
      </c>
      <c r="D626" s="32" t="s">
        <v>1143</v>
      </c>
      <c r="E626" s="16" t="s">
        <v>395</v>
      </c>
      <c r="F626" s="33">
        <v>350.34</v>
      </c>
      <c r="G626" s="422"/>
      <c r="H626" s="34">
        <f>F626*G626</f>
        <v>0</v>
      </c>
      <c r="I626" s="35">
        <v>0</v>
      </c>
      <c r="J626" s="35">
        <f>F626*I626</f>
        <v>0</v>
      </c>
      <c r="K626" s="36" t="s">
        <v>94</v>
      </c>
      <c r="X626" s="37">
        <f>IF(AO626="5",BH626,0)</f>
        <v>0</v>
      </c>
      <c r="Z626" s="37">
        <f>IF(AO626="1",BF626,0)</f>
        <v>0</v>
      </c>
      <c r="AA626" s="37">
        <f>IF(AO626="1",BG626,0)</f>
        <v>0</v>
      </c>
      <c r="AB626" s="37">
        <f>IF(AO626="7",BF626,0)</f>
        <v>0</v>
      </c>
      <c r="AC626" s="37">
        <f>IF(AO626="7",BG626,0)</f>
        <v>0</v>
      </c>
      <c r="AD626" s="37">
        <f>IF(AO626="2",BF626,0)</f>
        <v>0</v>
      </c>
      <c r="AE626" s="37">
        <f>IF(AO626="2",BG626,0)</f>
        <v>0</v>
      </c>
      <c r="AF626" s="37">
        <f>IF(AO626="0",BH626,0)</f>
        <v>0</v>
      </c>
      <c r="AG626" s="23"/>
      <c r="AH626" s="37">
        <f>IF(AL626=0,H626,0)</f>
        <v>0</v>
      </c>
      <c r="AI626" s="37">
        <f>IF(AL626=15,H626,0)</f>
        <v>0</v>
      </c>
      <c r="AJ626" s="37">
        <f>IF(AL626=21,H626,0)</f>
        <v>0</v>
      </c>
      <c r="AL626" s="37">
        <v>21</v>
      </c>
      <c r="AM626" s="37">
        <f>G626*0.420592991913747</f>
        <v>0</v>
      </c>
      <c r="AN626" s="37">
        <f>G626*(1-0.420592991913747)</f>
        <v>0</v>
      </c>
      <c r="AO626" s="38" t="s">
        <v>136</v>
      </c>
      <c r="AT626" s="37">
        <f>AU626+AV626</f>
        <v>0</v>
      </c>
      <c r="AU626" s="37">
        <f>F626*AM626</f>
        <v>0</v>
      </c>
      <c r="AV626" s="37">
        <f>F626*AN626</f>
        <v>0</v>
      </c>
      <c r="AW626" s="38" t="s">
        <v>1131</v>
      </c>
      <c r="AX626" s="38" t="s">
        <v>1075</v>
      </c>
      <c r="AY626" s="23" t="s">
        <v>97</v>
      </c>
      <c r="BA626" s="37">
        <f>AU626+AV626</f>
        <v>0</v>
      </c>
      <c r="BB626" s="37">
        <f>G626/(100-BC626)*100</f>
        <v>0</v>
      </c>
      <c r="BC626" s="37">
        <v>0</v>
      </c>
      <c r="BD626" s="37">
        <f>J626</f>
        <v>0</v>
      </c>
      <c r="BF626" s="37">
        <f>F626*AM626</f>
        <v>0</v>
      </c>
      <c r="BG626" s="37">
        <f>F626*AN626</f>
        <v>0</v>
      </c>
      <c r="BH626" s="37">
        <f>F626*G626</f>
        <v>0</v>
      </c>
    </row>
    <row r="627" spans="1:11" ht="12.75">
      <c r="A627" s="39"/>
      <c r="B627" s="40"/>
      <c r="C627" s="40"/>
      <c r="D627" s="41" t="s">
        <v>1144</v>
      </c>
      <c r="E627" s="40"/>
      <c r="F627" s="42">
        <v>211.2</v>
      </c>
      <c r="G627" s="40"/>
      <c r="H627" s="40"/>
      <c r="I627" s="43"/>
      <c r="J627" s="43"/>
      <c r="K627" s="40"/>
    </row>
    <row r="628" spans="1:11" ht="12.75">
      <c r="A628" s="39"/>
      <c r="B628" s="40"/>
      <c r="C628" s="40"/>
      <c r="D628" s="41" t="s">
        <v>1145</v>
      </c>
      <c r="E628" s="40"/>
      <c r="F628" s="42">
        <v>139.14</v>
      </c>
      <c r="G628" s="40"/>
      <c r="H628" s="40"/>
      <c r="I628" s="43"/>
      <c r="J628" s="43"/>
      <c r="K628" s="40"/>
    </row>
    <row r="629" spans="1:60" ht="12.75">
      <c r="A629" s="44" t="s">
        <v>1146</v>
      </c>
      <c r="B629" s="44"/>
      <c r="C629" s="44" t="s">
        <v>1147</v>
      </c>
      <c r="D629" s="45" t="s">
        <v>1148</v>
      </c>
      <c r="E629" s="44" t="s">
        <v>225</v>
      </c>
      <c r="F629" s="46">
        <v>6</v>
      </c>
      <c r="G629" s="423"/>
      <c r="H629" s="47">
        <f>F629*G629</f>
        <v>0</v>
      </c>
      <c r="I629" s="48">
        <v>1E-05</v>
      </c>
      <c r="J629" s="48">
        <f>F629*I629</f>
        <v>6.000000000000001E-05</v>
      </c>
      <c r="K629" s="49" t="s">
        <v>94</v>
      </c>
      <c r="X629" s="37">
        <f>IF(AO629="5",BH629,0)</f>
        <v>0</v>
      </c>
      <c r="Z629" s="37">
        <f>IF(AO629="1",BF629,0)</f>
        <v>0</v>
      </c>
      <c r="AA629" s="37">
        <f>IF(AO629="1",BG629,0)</f>
        <v>0</v>
      </c>
      <c r="AB629" s="37">
        <f>IF(AO629="7",BF629,0)</f>
        <v>0</v>
      </c>
      <c r="AC629" s="37">
        <f>IF(AO629="7",BG629,0)</f>
        <v>0</v>
      </c>
      <c r="AD629" s="37">
        <f>IF(AO629="2",BF629,0)</f>
        <v>0</v>
      </c>
      <c r="AE629" s="37">
        <f>IF(AO629="2",BG629,0)</f>
        <v>0</v>
      </c>
      <c r="AF629" s="37">
        <f>IF(AO629="0",BH629,0)</f>
        <v>0</v>
      </c>
      <c r="AG629" s="23"/>
      <c r="AH629" s="37">
        <f>IF(AL629=0,H629,0)</f>
        <v>0</v>
      </c>
      <c r="AI629" s="37">
        <f>IF(AL629=15,H629,0)</f>
        <v>0</v>
      </c>
      <c r="AJ629" s="37">
        <f>IF(AL629=21,H629,0)</f>
        <v>0</v>
      </c>
      <c r="AL629" s="37">
        <v>21</v>
      </c>
      <c r="AM629" s="37">
        <f>G629*0.0196592398427261</f>
        <v>0</v>
      </c>
      <c r="AN629" s="37">
        <f>G629*(1-0.0196592398427261)</f>
        <v>0</v>
      </c>
      <c r="AO629" s="38" t="s">
        <v>136</v>
      </c>
      <c r="AT629" s="37">
        <f>AU629+AV629</f>
        <v>0</v>
      </c>
      <c r="AU629" s="37">
        <f>F629*AM629</f>
        <v>0</v>
      </c>
      <c r="AV629" s="37">
        <f>F629*AN629</f>
        <v>0</v>
      </c>
      <c r="AW629" s="38" t="s">
        <v>1131</v>
      </c>
      <c r="AX629" s="38" t="s">
        <v>1075</v>
      </c>
      <c r="AY629" s="23" t="s">
        <v>97</v>
      </c>
      <c r="BA629" s="37">
        <f>AU629+AV629</f>
        <v>0</v>
      </c>
      <c r="BB629" s="37">
        <f>G629/(100-BC629)*100</f>
        <v>0</v>
      </c>
      <c r="BC629" s="37">
        <v>0</v>
      </c>
      <c r="BD629" s="37">
        <f>J629</f>
        <v>6.000000000000001E-05</v>
      </c>
      <c r="BF629" s="37">
        <f>F629*AM629</f>
        <v>0</v>
      </c>
      <c r="BG629" s="37">
        <f>F629*AN629</f>
        <v>0</v>
      </c>
      <c r="BH629" s="37">
        <f>F629*G629</f>
        <v>0</v>
      </c>
    </row>
    <row r="630" spans="1:11" ht="12.75">
      <c r="A630" s="50"/>
      <c r="B630" s="51"/>
      <c r="C630" s="51"/>
      <c r="D630" s="52" t="s">
        <v>1149</v>
      </c>
      <c r="E630" s="51"/>
      <c r="F630" s="53">
        <v>6</v>
      </c>
      <c r="G630" s="51"/>
      <c r="H630" s="51"/>
      <c r="I630" s="54"/>
      <c r="J630" s="54"/>
      <c r="K630" s="51"/>
    </row>
    <row r="631" spans="1:60" ht="12.75">
      <c r="A631" s="44" t="s">
        <v>1150</v>
      </c>
      <c r="B631" s="44"/>
      <c r="C631" s="44" t="s">
        <v>1151</v>
      </c>
      <c r="D631" s="45" t="s">
        <v>1152</v>
      </c>
      <c r="E631" s="44" t="s">
        <v>225</v>
      </c>
      <c r="F631" s="46">
        <v>3</v>
      </c>
      <c r="G631" s="423"/>
      <c r="H631" s="47">
        <f>F631*G631</f>
        <v>0</v>
      </c>
      <c r="I631" s="48">
        <v>1E-05</v>
      </c>
      <c r="J631" s="48">
        <f>F631*I631</f>
        <v>3.0000000000000004E-05</v>
      </c>
      <c r="K631" s="49" t="s">
        <v>94</v>
      </c>
      <c r="X631" s="37">
        <f>IF(AO631="5",BH631,0)</f>
        <v>0</v>
      </c>
      <c r="Z631" s="37">
        <f>IF(AO631="1",BF631,0)</f>
        <v>0</v>
      </c>
      <c r="AA631" s="37">
        <f>IF(AO631="1",BG631,0)</f>
        <v>0</v>
      </c>
      <c r="AB631" s="37">
        <f>IF(AO631="7",BF631,0)</f>
        <v>0</v>
      </c>
      <c r="AC631" s="37">
        <f>IF(AO631="7",BG631,0)</f>
        <v>0</v>
      </c>
      <c r="AD631" s="37">
        <f>IF(AO631="2",BF631,0)</f>
        <v>0</v>
      </c>
      <c r="AE631" s="37">
        <f>IF(AO631="2",BG631,0)</f>
        <v>0</v>
      </c>
      <c r="AF631" s="37">
        <f>IF(AO631="0",BH631,0)</f>
        <v>0</v>
      </c>
      <c r="AG631" s="23"/>
      <c r="AH631" s="37">
        <f>IF(AL631=0,H631,0)</f>
        <v>0</v>
      </c>
      <c r="AI631" s="37">
        <f>IF(AL631=15,H631,0)</f>
        <v>0</v>
      </c>
      <c r="AJ631" s="37">
        <f>IF(AL631=21,H631,0)</f>
        <v>0</v>
      </c>
      <c r="AL631" s="37">
        <v>21</v>
      </c>
      <c r="AM631" s="37">
        <f>G631*0.0218996582134267</f>
        <v>0</v>
      </c>
      <c r="AN631" s="37">
        <f>G631*(1-0.0218996582134267)</f>
        <v>0</v>
      </c>
      <c r="AO631" s="38" t="s">
        <v>136</v>
      </c>
      <c r="AT631" s="37">
        <f>AU631+AV631</f>
        <v>0</v>
      </c>
      <c r="AU631" s="37">
        <f>F631*AM631</f>
        <v>0</v>
      </c>
      <c r="AV631" s="37">
        <f>F631*AN631</f>
        <v>0</v>
      </c>
      <c r="AW631" s="38" t="s">
        <v>1131</v>
      </c>
      <c r="AX631" s="38" t="s">
        <v>1075</v>
      </c>
      <c r="AY631" s="23" t="s">
        <v>97</v>
      </c>
      <c r="BA631" s="37">
        <f>AU631+AV631</f>
        <v>0</v>
      </c>
      <c r="BB631" s="37">
        <f>G631/(100-BC631)*100</f>
        <v>0</v>
      </c>
      <c r="BC631" s="37">
        <v>0</v>
      </c>
      <c r="BD631" s="37">
        <f>J631</f>
        <v>3.0000000000000004E-05</v>
      </c>
      <c r="BF631" s="37">
        <f>F631*AM631</f>
        <v>0</v>
      </c>
      <c r="BG631" s="37">
        <f>F631*AN631</f>
        <v>0</v>
      </c>
      <c r="BH631" s="37">
        <f>F631*G631</f>
        <v>0</v>
      </c>
    </row>
    <row r="632" spans="1:11" ht="12.75">
      <c r="A632" s="50"/>
      <c r="B632" s="51"/>
      <c r="C632" s="51"/>
      <c r="D632" s="52" t="s">
        <v>1153</v>
      </c>
      <c r="E632" s="51"/>
      <c r="F632" s="53">
        <v>1</v>
      </c>
      <c r="G632" s="51"/>
      <c r="H632" s="51"/>
      <c r="I632" s="54"/>
      <c r="J632" s="54"/>
      <c r="K632" s="51"/>
    </row>
    <row r="633" spans="1:11" ht="12.75">
      <c r="A633" s="50"/>
      <c r="B633" s="51"/>
      <c r="C633" s="51"/>
      <c r="D633" s="52" t="s">
        <v>1154</v>
      </c>
      <c r="E633" s="51"/>
      <c r="F633" s="53">
        <v>2</v>
      </c>
      <c r="G633" s="51"/>
      <c r="H633" s="51"/>
      <c r="I633" s="54"/>
      <c r="J633" s="54"/>
      <c r="K633" s="51"/>
    </row>
    <row r="634" spans="1:60" ht="12.75">
      <c r="A634" s="44" t="s">
        <v>1155</v>
      </c>
      <c r="B634" s="44"/>
      <c r="C634" s="44" t="s">
        <v>1156</v>
      </c>
      <c r="D634" s="45" t="s">
        <v>1157</v>
      </c>
      <c r="E634" s="44" t="s">
        <v>225</v>
      </c>
      <c r="F634" s="46">
        <v>15</v>
      </c>
      <c r="G634" s="423"/>
      <c r="H634" s="47">
        <f>F634*G634</f>
        <v>0</v>
      </c>
      <c r="I634" s="48">
        <v>2E-05</v>
      </c>
      <c r="J634" s="48">
        <f>F634*I634</f>
        <v>0.00030000000000000003</v>
      </c>
      <c r="K634" s="49" t="s">
        <v>94</v>
      </c>
      <c r="X634" s="37">
        <f>IF(AO634="5",BH634,0)</f>
        <v>0</v>
      </c>
      <c r="Z634" s="37">
        <f>IF(AO634="1",BF634,0)</f>
        <v>0</v>
      </c>
      <c r="AA634" s="37">
        <f>IF(AO634="1",BG634,0)</f>
        <v>0</v>
      </c>
      <c r="AB634" s="37">
        <f>IF(AO634="7",BF634,0)</f>
        <v>0</v>
      </c>
      <c r="AC634" s="37">
        <f>IF(AO634="7",BG634,0)</f>
        <v>0</v>
      </c>
      <c r="AD634" s="37">
        <f>IF(AO634="2",BF634,0)</f>
        <v>0</v>
      </c>
      <c r="AE634" s="37">
        <f>IF(AO634="2",BG634,0)</f>
        <v>0</v>
      </c>
      <c r="AF634" s="37">
        <f>IF(AO634="0",BH634,0)</f>
        <v>0</v>
      </c>
      <c r="AG634" s="23"/>
      <c r="AH634" s="37">
        <f>IF(AL634=0,H634,0)</f>
        <v>0</v>
      </c>
      <c r="AI634" s="37">
        <f>IF(AL634=15,H634,0)</f>
        <v>0</v>
      </c>
      <c r="AJ634" s="37">
        <f>IF(AL634=21,H634,0)</f>
        <v>0</v>
      </c>
      <c r="AL634" s="37">
        <v>21</v>
      </c>
      <c r="AM634" s="37">
        <f>G634*0.0215583039970093</f>
        <v>0</v>
      </c>
      <c r="AN634" s="37">
        <f>G634*(1-0.0215583039970093)</f>
        <v>0</v>
      </c>
      <c r="AO634" s="38" t="s">
        <v>136</v>
      </c>
      <c r="AT634" s="37">
        <f>AU634+AV634</f>
        <v>0</v>
      </c>
      <c r="AU634" s="37">
        <f>F634*AM634</f>
        <v>0</v>
      </c>
      <c r="AV634" s="37">
        <f>F634*AN634</f>
        <v>0</v>
      </c>
      <c r="AW634" s="38" t="s">
        <v>1131</v>
      </c>
      <c r="AX634" s="38" t="s">
        <v>1075</v>
      </c>
      <c r="AY634" s="23" t="s">
        <v>97</v>
      </c>
      <c r="BA634" s="37">
        <f>AU634+AV634</f>
        <v>0</v>
      </c>
      <c r="BB634" s="37">
        <f>G634/(100-BC634)*100</f>
        <v>0</v>
      </c>
      <c r="BC634" s="37">
        <v>0</v>
      </c>
      <c r="BD634" s="37">
        <f>J634</f>
        <v>0.00030000000000000003</v>
      </c>
      <c r="BF634" s="37">
        <f>F634*AM634</f>
        <v>0</v>
      </c>
      <c r="BG634" s="37">
        <f>F634*AN634</f>
        <v>0</v>
      </c>
      <c r="BH634" s="37">
        <f>F634*G634</f>
        <v>0</v>
      </c>
    </row>
    <row r="635" spans="1:11" ht="12.75">
      <c r="A635" s="50"/>
      <c r="B635" s="51"/>
      <c r="C635" s="51"/>
      <c r="D635" s="52" t="s">
        <v>1158</v>
      </c>
      <c r="E635" s="51"/>
      <c r="F635" s="53">
        <v>14</v>
      </c>
      <c r="G635" s="51"/>
      <c r="H635" s="51"/>
      <c r="I635" s="54"/>
      <c r="J635" s="54"/>
      <c r="K635" s="51"/>
    </row>
    <row r="636" spans="1:11" ht="12.75">
      <c r="A636" s="50"/>
      <c r="B636" s="51"/>
      <c r="C636" s="51"/>
      <c r="D636" s="52" t="s">
        <v>1159</v>
      </c>
      <c r="E636" s="51"/>
      <c r="F636" s="53">
        <v>1</v>
      </c>
      <c r="G636" s="51"/>
      <c r="H636" s="51"/>
      <c r="I636" s="54"/>
      <c r="J636" s="54"/>
      <c r="K636" s="51"/>
    </row>
    <row r="637" spans="1:60" ht="12.75">
      <c r="A637" s="44" t="s">
        <v>1160</v>
      </c>
      <c r="B637" s="44"/>
      <c r="C637" s="44" t="s">
        <v>1161</v>
      </c>
      <c r="D637" s="45" t="s">
        <v>1162</v>
      </c>
      <c r="E637" s="44" t="s">
        <v>225</v>
      </c>
      <c r="F637" s="46">
        <v>3</v>
      </c>
      <c r="G637" s="423"/>
      <c r="H637" s="47">
        <f>F637*G637</f>
        <v>0</v>
      </c>
      <c r="I637" s="48">
        <v>2E-05</v>
      </c>
      <c r="J637" s="48">
        <f>F637*I637</f>
        <v>6.000000000000001E-05</v>
      </c>
      <c r="K637" s="49" t="s">
        <v>94</v>
      </c>
      <c r="X637" s="37">
        <f>IF(AO637="5",BH637,0)</f>
        <v>0</v>
      </c>
      <c r="Z637" s="37">
        <f>IF(AO637="1",BF637,0)</f>
        <v>0</v>
      </c>
      <c r="AA637" s="37">
        <f>IF(AO637="1",BG637,0)</f>
        <v>0</v>
      </c>
      <c r="AB637" s="37">
        <f>IF(AO637="7",BF637,0)</f>
        <v>0</v>
      </c>
      <c r="AC637" s="37">
        <f>IF(AO637="7",BG637,0)</f>
        <v>0</v>
      </c>
      <c r="AD637" s="37">
        <f>IF(AO637="2",BF637,0)</f>
        <v>0</v>
      </c>
      <c r="AE637" s="37">
        <f>IF(AO637="2",BG637,0)</f>
        <v>0</v>
      </c>
      <c r="AF637" s="37">
        <f>IF(AO637="0",BH637,0)</f>
        <v>0</v>
      </c>
      <c r="AG637" s="23"/>
      <c r="AH637" s="37">
        <f>IF(AL637=0,H637,0)</f>
        <v>0</v>
      </c>
      <c r="AI637" s="37">
        <f>IF(AL637=15,H637,0)</f>
        <v>0</v>
      </c>
      <c r="AJ637" s="37">
        <f>IF(AL637=21,H637,0)</f>
        <v>0</v>
      </c>
      <c r="AL637" s="37">
        <v>21</v>
      </c>
      <c r="AM637" s="37">
        <f>G637*0.0191955617198336</f>
        <v>0</v>
      </c>
      <c r="AN637" s="37">
        <f>G637*(1-0.0191955617198336)</f>
        <v>0</v>
      </c>
      <c r="AO637" s="38" t="s">
        <v>136</v>
      </c>
      <c r="AT637" s="37">
        <f>AU637+AV637</f>
        <v>0</v>
      </c>
      <c r="AU637" s="37">
        <f>F637*AM637</f>
        <v>0</v>
      </c>
      <c r="AV637" s="37">
        <f>F637*AN637</f>
        <v>0</v>
      </c>
      <c r="AW637" s="38" t="s">
        <v>1131</v>
      </c>
      <c r="AX637" s="38" t="s">
        <v>1075</v>
      </c>
      <c r="AY637" s="23" t="s">
        <v>97</v>
      </c>
      <c r="BA637" s="37">
        <f>AU637+AV637</f>
        <v>0</v>
      </c>
      <c r="BB637" s="37">
        <f>G637/(100-BC637)*100</f>
        <v>0</v>
      </c>
      <c r="BC637" s="37">
        <v>0</v>
      </c>
      <c r="BD637" s="37">
        <f>J637</f>
        <v>6.000000000000001E-05</v>
      </c>
      <c r="BF637" s="37">
        <f>F637*AM637</f>
        <v>0</v>
      </c>
      <c r="BG637" s="37">
        <f>F637*AN637</f>
        <v>0</v>
      </c>
      <c r="BH637" s="37">
        <f>F637*G637</f>
        <v>0</v>
      </c>
    </row>
    <row r="638" spans="1:11" ht="12.75">
      <c r="A638" s="50"/>
      <c r="B638" s="51"/>
      <c r="C638" s="51"/>
      <c r="D638" s="52" t="s">
        <v>1163</v>
      </c>
      <c r="E638" s="51"/>
      <c r="F638" s="53">
        <v>3</v>
      </c>
      <c r="G638" s="51"/>
      <c r="H638" s="51"/>
      <c r="I638" s="54"/>
      <c r="J638" s="54"/>
      <c r="K638" s="51"/>
    </row>
    <row r="639" spans="1:60" ht="12.75">
      <c r="A639" s="44" t="s">
        <v>1164</v>
      </c>
      <c r="B639" s="44"/>
      <c r="C639" s="44" t="s">
        <v>1165</v>
      </c>
      <c r="D639" s="45" t="s">
        <v>1166</v>
      </c>
      <c r="E639" s="44" t="s">
        <v>395</v>
      </c>
      <c r="F639" s="46">
        <v>39.1</v>
      </c>
      <c r="G639" s="423"/>
      <c r="H639" s="47">
        <f>F639*G639</f>
        <v>0</v>
      </c>
      <c r="I639" s="48">
        <v>0</v>
      </c>
      <c r="J639" s="48">
        <f>F639*I639</f>
        <v>0</v>
      </c>
      <c r="K639" s="49" t="s">
        <v>94</v>
      </c>
      <c r="X639" s="37">
        <f>IF(AO639="5",BH639,0)</f>
        <v>0</v>
      </c>
      <c r="Z639" s="37">
        <f>IF(AO639="1",BF639,0)</f>
        <v>0</v>
      </c>
      <c r="AA639" s="37">
        <f>IF(AO639="1",BG639,0)</f>
        <v>0</v>
      </c>
      <c r="AB639" s="37">
        <f>IF(AO639="7",BF639,0)</f>
        <v>0</v>
      </c>
      <c r="AC639" s="37">
        <f>IF(AO639="7",BG639,0)</f>
        <v>0</v>
      </c>
      <c r="AD639" s="37">
        <f>IF(AO639="2",BF639,0)</f>
        <v>0</v>
      </c>
      <c r="AE639" s="37">
        <f>IF(AO639="2",BG639,0)</f>
        <v>0</v>
      </c>
      <c r="AF639" s="37">
        <f>IF(AO639="0",BH639,0)</f>
        <v>0</v>
      </c>
      <c r="AG639" s="23"/>
      <c r="AH639" s="37">
        <f>IF(AL639=0,H639,0)</f>
        <v>0</v>
      </c>
      <c r="AI639" s="37">
        <f>IF(AL639=15,H639,0)</f>
        <v>0</v>
      </c>
      <c r="AJ639" s="37">
        <f>IF(AL639=21,H639,0)</f>
        <v>0</v>
      </c>
      <c r="AL639" s="37">
        <v>21</v>
      </c>
      <c r="AM639" s="37">
        <f>G639*1</f>
        <v>0</v>
      </c>
      <c r="AN639" s="37">
        <f>G639*(1-1)</f>
        <v>0</v>
      </c>
      <c r="AO639" s="38" t="s">
        <v>136</v>
      </c>
      <c r="AT639" s="37">
        <f>AU639+AV639</f>
        <v>0</v>
      </c>
      <c r="AU639" s="37">
        <f>F639*AM639</f>
        <v>0</v>
      </c>
      <c r="AV639" s="37">
        <f>F639*AN639</f>
        <v>0</v>
      </c>
      <c r="AW639" s="38" t="s">
        <v>1131</v>
      </c>
      <c r="AX639" s="38" t="s">
        <v>1075</v>
      </c>
      <c r="AY639" s="23" t="s">
        <v>97</v>
      </c>
      <c r="BA639" s="37">
        <f>AU639+AV639</f>
        <v>0</v>
      </c>
      <c r="BB639" s="37">
        <f>G639/(100-BC639)*100</f>
        <v>0</v>
      </c>
      <c r="BC639" s="37">
        <v>0</v>
      </c>
      <c r="BD639" s="37">
        <f>J639</f>
        <v>0</v>
      </c>
      <c r="BF639" s="37">
        <f>F639*AM639</f>
        <v>0</v>
      </c>
      <c r="BG639" s="37">
        <f>F639*AN639</f>
        <v>0</v>
      </c>
      <c r="BH639" s="37">
        <f>F639*G639</f>
        <v>0</v>
      </c>
    </row>
    <row r="640" spans="1:11" ht="12.75">
      <c r="A640" s="50"/>
      <c r="B640" s="51"/>
      <c r="C640" s="51"/>
      <c r="D640" s="52" t="s">
        <v>1167</v>
      </c>
      <c r="E640" s="51"/>
      <c r="F640" s="53">
        <v>4.14</v>
      </c>
      <c r="G640" s="51"/>
      <c r="H640" s="51"/>
      <c r="I640" s="54"/>
      <c r="J640" s="54"/>
      <c r="K640" s="51"/>
    </row>
    <row r="641" spans="1:11" ht="12.75">
      <c r="A641" s="50"/>
      <c r="B641" s="51"/>
      <c r="C641" s="51"/>
      <c r="D641" s="52" t="s">
        <v>1168</v>
      </c>
      <c r="E641" s="51"/>
      <c r="F641" s="53">
        <v>2.76</v>
      </c>
      <c r="G641" s="51"/>
      <c r="H641" s="51"/>
      <c r="I641" s="54"/>
      <c r="J641" s="54"/>
      <c r="K641" s="51"/>
    </row>
    <row r="642" spans="1:11" ht="12.75">
      <c r="A642" s="50"/>
      <c r="B642" s="51"/>
      <c r="C642" s="51"/>
      <c r="D642" s="52" t="s">
        <v>1169</v>
      </c>
      <c r="E642" s="51"/>
      <c r="F642" s="53">
        <v>32.2</v>
      </c>
      <c r="G642" s="51"/>
      <c r="H642" s="51"/>
      <c r="I642" s="54"/>
      <c r="J642" s="54"/>
      <c r="K642" s="51"/>
    </row>
    <row r="643" spans="1:60" ht="12.75">
      <c r="A643" s="44" t="s">
        <v>1170</v>
      </c>
      <c r="B643" s="44"/>
      <c r="C643" s="44" t="s">
        <v>1171</v>
      </c>
      <c r="D643" s="45" t="s">
        <v>1172</v>
      </c>
      <c r="E643" s="44" t="s">
        <v>225</v>
      </c>
      <c r="F643" s="46">
        <v>48</v>
      </c>
      <c r="G643" s="423"/>
      <c r="H643" s="47">
        <f>F643*G643</f>
        <v>0</v>
      </c>
      <c r="I643" s="48">
        <v>0</v>
      </c>
      <c r="J643" s="48">
        <f>F643*I643</f>
        <v>0</v>
      </c>
      <c r="K643" s="49" t="s">
        <v>94</v>
      </c>
      <c r="X643" s="37">
        <f>IF(AO643="5",BH643,0)</f>
        <v>0</v>
      </c>
      <c r="Z643" s="37">
        <f>IF(AO643="1",BF643,0)</f>
        <v>0</v>
      </c>
      <c r="AA643" s="37">
        <f>IF(AO643="1",BG643,0)</f>
        <v>0</v>
      </c>
      <c r="AB643" s="37">
        <f>IF(AO643="7",BF643,0)</f>
        <v>0</v>
      </c>
      <c r="AC643" s="37">
        <f>IF(AO643="7",BG643,0)</f>
        <v>0</v>
      </c>
      <c r="AD643" s="37">
        <f>IF(AO643="2",BF643,0)</f>
        <v>0</v>
      </c>
      <c r="AE643" s="37">
        <f>IF(AO643="2",BG643,0)</f>
        <v>0</v>
      </c>
      <c r="AF643" s="37">
        <f>IF(AO643="0",BH643,0)</f>
        <v>0</v>
      </c>
      <c r="AG643" s="23"/>
      <c r="AH643" s="37">
        <f>IF(AL643=0,H643,0)</f>
        <v>0</v>
      </c>
      <c r="AI643" s="37">
        <f>IF(AL643=15,H643,0)</f>
        <v>0</v>
      </c>
      <c r="AJ643" s="37">
        <f>IF(AL643=21,H643,0)</f>
        <v>0</v>
      </c>
      <c r="AL643" s="37">
        <v>21</v>
      </c>
      <c r="AM643" s="37">
        <f>G643*1</f>
        <v>0</v>
      </c>
      <c r="AN643" s="37">
        <f>G643*(1-1)</f>
        <v>0</v>
      </c>
      <c r="AO643" s="38" t="s">
        <v>136</v>
      </c>
      <c r="AT643" s="37">
        <f>AU643+AV643</f>
        <v>0</v>
      </c>
      <c r="AU643" s="37">
        <f>F643*AM643</f>
        <v>0</v>
      </c>
      <c r="AV643" s="37">
        <f>F643*AN643</f>
        <v>0</v>
      </c>
      <c r="AW643" s="38" t="s">
        <v>1131</v>
      </c>
      <c r="AX643" s="38" t="s">
        <v>1075</v>
      </c>
      <c r="AY643" s="23" t="s">
        <v>97</v>
      </c>
      <c r="BA643" s="37">
        <f>AU643+AV643</f>
        <v>0</v>
      </c>
      <c r="BB643" s="37">
        <f>G643/(100-BC643)*100</f>
        <v>0</v>
      </c>
      <c r="BC643" s="37">
        <v>0</v>
      </c>
      <c r="BD643" s="37">
        <f>J643</f>
        <v>0</v>
      </c>
      <c r="BF643" s="37">
        <f>F643*AM643</f>
        <v>0</v>
      </c>
      <c r="BG643" s="37">
        <f>F643*AN643</f>
        <v>0</v>
      </c>
      <c r="BH643" s="37">
        <f>F643*G643</f>
        <v>0</v>
      </c>
    </row>
    <row r="644" spans="1:11" ht="12.75">
      <c r="A644" s="50"/>
      <c r="B644" s="51"/>
      <c r="C644" s="51"/>
      <c r="D644" s="52" t="s">
        <v>1173</v>
      </c>
      <c r="E644" s="51"/>
      <c r="F644" s="53">
        <v>48</v>
      </c>
      <c r="G644" s="51"/>
      <c r="H644" s="51"/>
      <c r="I644" s="54"/>
      <c r="J644" s="54"/>
      <c r="K644" s="51"/>
    </row>
    <row r="645" spans="1:60" ht="38.25">
      <c r="A645" s="44" t="s">
        <v>1174</v>
      </c>
      <c r="B645" s="44"/>
      <c r="C645" s="44" t="s">
        <v>1175</v>
      </c>
      <c r="D645" s="45" t="s">
        <v>1176</v>
      </c>
      <c r="E645" s="44" t="s">
        <v>225</v>
      </c>
      <c r="F645" s="46">
        <v>6</v>
      </c>
      <c r="G645" s="423"/>
      <c r="H645" s="47">
        <f>F645*G645</f>
        <v>0</v>
      </c>
      <c r="I645" s="48">
        <v>2E-05</v>
      </c>
      <c r="J645" s="48">
        <f>F645*I645</f>
        <v>0.00012000000000000002</v>
      </c>
      <c r="K645" s="49" t="s">
        <v>226</v>
      </c>
      <c r="X645" s="37">
        <f>IF(AO645="5",BH645,0)</f>
        <v>0</v>
      </c>
      <c r="Z645" s="37">
        <f>IF(AO645="1",BF645,0)</f>
        <v>0</v>
      </c>
      <c r="AA645" s="37">
        <f>IF(AO645="1",BG645,0)</f>
        <v>0</v>
      </c>
      <c r="AB645" s="37">
        <f>IF(AO645="7",BF645,0)</f>
        <v>0</v>
      </c>
      <c r="AC645" s="37">
        <f>IF(AO645="7",BG645,0)</f>
        <v>0</v>
      </c>
      <c r="AD645" s="37">
        <f>IF(AO645="2",BF645,0)</f>
        <v>0</v>
      </c>
      <c r="AE645" s="37">
        <f>IF(AO645="2",BG645,0)</f>
        <v>0</v>
      </c>
      <c r="AF645" s="37">
        <f>IF(AO645="0",BH645,0)</f>
        <v>0</v>
      </c>
      <c r="AG645" s="23"/>
      <c r="AH645" s="37">
        <f>IF(AL645=0,H645,0)</f>
        <v>0</v>
      </c>
      <c r="AI645" s="37">
        <f>IF(AL645=15,H645,0)</f>
        <v>0</v>
      </c>
      <c r="AJ645" s="37">
        <f>IF(AL645=21,H645,0)</f>
        <v>0</v>
      </c>
      <c r="AL645" s="37">
        <v>21</v>
      </c>
      <c r="AM645" s="37">
        <f>G645*0.0191896551724138</f>
        <v>0</v>
      </c>
      <c r="AN645" s="37">
        <f>G645*(1-0.0191896551724138)</f>
        <v>0</v>
      </c>
      <c r="AO645" s="38" t="s">
        <v>136</v>
      </c>
      <c r="AT645" s="37">
        <f>AU645+AV645</f>
        <v>0</v>
      </c>
      <c r="AU645" s="37">
        <f>F645*AM645</f>
        <v>0</v>
      </c>
      <c r="AV645" s="37">
        <f>F645*AN645</f>
        <v>0</v>
      </c>
      <c r="AW645" s="38" t="s">
        <v>1131</v>
      </c>
      <c r="AX645" s="38" t="s">
        <v>1075</v>
      </c>
      <c r="AY645" s="23" t="s">
        <v>97</v>
      </c>
      <c r="BA645" s="37">
        <f>AU645+AV645</f>
        <v>0</v>
      </c>
      <c r="BB645" s="37">
        <f>G645/(100-BC645)*100</f>
        <v>0</v>
      </c>
      <c r="BC645" s="37">
        <v>0</v>
      </c>
      <c r="BD645" s="37">
        <f>J645</f>
        <v>0.00012000000000000002</v>
      </c>
      <c r="BF645" s="37">
        <f>F645*AM645</f>
        <v>0</v>
      </c>
      <c r="BG645" s="37">
        <f>F645*AN645</f>
        <v>0</v>
      </c>
      <c r="BH645" s="37">
        <f>F645*G645</f>
        <v>0</v>
      </c>
    </row>
    <row r="646" spans="1:11" ht="12.75">
      <c r="A646" s="50"/>
      <c r="B646" s="51"/>
      <c r="C646" s="51"/>
      <c r="D646" s="52" t="s">
        <v>1177</v>
      </c>
      <c r="E646" s="51"/>
      <c r="F646" s="53">
        <v>6</v>
      </c>
      <c r="G646" s="51"/>
      <c r="H646" s="51"/>
      <c r="I646" s="54"/>
      <c r="J646" s="54"/>
      <c r="K646" s="51"/>
    </row>
    <row r="647" spans="1:60" ht="12.75">
      <c r="A647" s="44" t="s">
        <v>1178</v>
      </c>
      <c r="B647" s="44"/>
      <c r="C647" s="44" t="s">
        <v>1179</v>
      </c>
      <c r="D647" s="45" t="s">
        <v>1180</v>
      </c>
      <c r="E647" s="44" t="s">
        <v>395</v>
      </c>
      <c r="F647" s="46">
        <v>37.667</v>
      </c>
      <c r="G647" s="423"/>
      <c r="H647" s="47">
        <f>F647*G647</f>
        <v>0</v>
      </c>
      <c r="I647" s="48">
        <v>0.00364</v>
      </c>
      <c r="J647" s="48">
        <f>F647*I647</f>
        <v>0.13710788000000002</v>
      </c>
      <c r="K647" s="49" t="s">
        <v>94</v>
      </c>
      <c r="X647" s="37">
        <f>IF(AO647="5",BH647,0)</f>
        <v>0</v>
      </c>
      <c r="Z647" s="37">
        <f>IF(AO647="1",BF647,0)</f>
        <v>0</v>
      </c>
      <c r="AA647" s="37">
        <f>IF(AO647="1",BG647,0)</f>
        <v>0</v>
      </c>
      <c r="AB647" s="37">
        <f>IF(AO647="7",BF647,0)</f>
        <v>0</v>
      </c>
      <c r="AC647" s="37">
        <f>IF(AO647="7",BG647,0)</f>
        <v>0</v>
      </c>
      <c r="AD647" s="37">
        <f>IF(AO647="2",BF647,0)</f>
        <v>0</v>
      </c>
      <c r="AE647" s="37">
        <f>IF(AO647="2",BG647,0)</f>
        <v>0</v>
      </c>
      <c r="AF647" s="37">
        <f>IF(AO647="0",BH647,0)</f>
        <v>0</v>
      </c>
      <c r="AG647" s="23"/>
      <c r="AH647" s="37">
        <f>IF(AL647=0,H647,0)</f>
        <v>0</v>
      </c>
      <c r="AI647" s="37">
        <f>IF(AL647=15,H647,0)</f>
        <v>0</v>
      </c>
      <c r="AJ647" s="37">
        <f>IF(AL647=21,H647,0)</f>
        <v>0</v>
      </c>
      <c r="AL647" s="37">
        <v>21</v>
      </c>
      <c r="AM647" s="37">
        <f>G647*1</f>
        <v>0</v>
      </c>
      <c r="AN647" s="37">
        <f>G647*(1-1)</f>
        <v>0</v>
      </c>
      <c r="AO647" s="38" t="s">
        <v>136</v>
      </c>
      <c r="AT647" s="37">
        <f>AU647+AV647</f>
        <v>0</v>
      </c>
      <c r="AU647" s="37">
        <f>F647*AM647</f>
        <v>0</v>
      </c>
      <c r="AV647" s="37">
        <f>F647*AN647</f>
        <v>0</v>
      </c>
      <c r="AW647" s="38" t="s">
        <v>1131</v>
      </c>
      <c r="AX647" s="38" t="s">
        <v>1075</v>
      </c>
      <c r="AY647" s="23" t="s">
        <v>97</v>
      </c>
      <c r="BA647" s="37">
        <f>AU647+AV647</f>
        <v>0</v>
      </c>
      <c r="BB647" s="37">
        <f>G647/(100-BC647)*100</f>
        <v>0</v>
      </c>
      <c r="BC647" s="37">
        <v>0</v>
      </c>
      <c r="BD647" s="37">
        <f>J647</f>
        <v>0.13710788000000002</v>
      </c>
      <c r="BF647" s="37">
        <f>F647*AM647</f>
        <v>0</v>
      </c>
      <c r="BG647" s="37">
        <f>F647*AN647</f>
        <v>0</v>
      </c>
      <c r="BH647" s="37">
        <f>F647*G647</f>
        <v>0</v>
      </c>
    </row>
    <row r="648" spans="1:11" ht="12.75">
      <c r="A648" s="50"/>
      <c r="B648" s="51"/>
      <c r="C648" s="51"/>
      <c r="D648" s="52" t="s">
        <v>1181</v>
      </c>
      <c r="E648" s="51"/>
      <c r="F648" s="53">
        <v>22.77</v>
      </c>
      <c r="G648" s="51"/>
      <c r="H648" s="51"/>
      <c r="I648" s="54"/>
      <c r="J648" s="54"/>
      <c r="K648" s="51"/>
    </row>
    <row r="649" spans="1:11" ht="12.75">
      <c r="A649" s="50"/>
      <c r="B649" s="51"/>
      <c r="C649" s="51"/>
      <c r="D649" s="52" t="s">
        <v>1182</v>
      </c>
      <c r="E649" s="51"/>
      <c r="F649" s="53">
        <v>10.987</v>
      </c>
      <c r="G649" s="51"/>
      <c r="H649" s="51"/>
      <c r="I649" s="54"/>
      <c r="J649" s="54"/>
      <c r="K649" s="51"/>
    </row>
    <row r="650" spans="1:11" ht="12.75">
      <c r="A650" s="50"/>
      <c r="B650" s="51"/>
      <c r="C650" s="51"/>
      <c r="D650" s="52" t="s">
        <v>1183</v>
      </c>
      <c r="E650" s="51"/>
      <c r="F650" s="53">
        <v>3.91</v>
      </c>
      <c r="G650" s="51"/>
      <c r="H650" s="51"/>
      <c r="I650" s="54"/>
      <c r="J650" s="54"/>
      <c r="K650" s="51"/>
    </row>
    <row r="651" spans="1:60" ht="25.5">
      <c r="A651" s="44" t="s">
        <v>1184</v>
      </c>
      <c r="B651" s="44"/>
      <c r="C651" s="44" t="s">
        <v>1185</v>
      </c>
      <c r="D651" s="45" t="s">
        <v>1186</v>
      </c>
      <c r="E651" s="44" t="s">
        <v>225</v>
      </c>
      <c r="F651" s="46">
        <v>1</v>
      </c>
      <c r="G651" s="423"/>
      <c r="H651" s="47">
        <f>F651*G651</f>
        <v>0</v>
      </c>
      <c r="I651" s="48">
        <v>0.03</v>
      </c>
      <c r="J651" s="48">
        <f>F651*I651</f>
        <v>0.03</v>
      </c>
      <c r="K651" s="49" t="s">
        <v>226</v>
      </c>
      <c r="X651" s="37">
        <f>IF(AO651="5",BH651,0)</f>
        <v>0</v>
      </c>
      <c r="Z651" s="37">
        <f>IF(AO651="1",BF651,0)</f>
        <v>0</v>
      </c>
      <c r="AA651" s="37">
        <f>IF(AO651="1",BG651,0)</f>
        <v>0</v>
      </c>
      <c r="AB651" s="37">
        <f>IF(AO651="7",BF651,0)</f>
        <v>0</v>
      </c>
      <c r="AC651" s="37">
        <f>IF(AO651="7",BG651,0)</f>
        <v>0</v>
      </c>
      <c r="AD651" s="37">
        <f>IF(AO651="2",BF651,0)</f>
        <v>0</v>
      </c>
      <c r="AE651" s="37">
        <f>IF(AO651="2",BG651,0)</f>
        <v>0</v>
      </c>
      <c r="AF651" s="37">
        <f>IF(AO651="0",BH651,0)</f>
        <v>0</v>
      </c>
      <c r="AG651" s="23"/>
      <c r="AH651" s="37">
        <f>IF(AL651=0,H651,0)</f>
        <v>0</v>
      </c>
      <c r="AI651" s="37">
        <f>IF(AL651=15,H651,0)</f>
        <v>0</v>
      </c>
      <c r="AJ651" s="37">
        <f>IF(AL651=21,H651,0)</f>
        <v>0</v>
      </c>
      <c r="AL651" s="37">
        <v>21</v>
      </c>
      <c r="AM651" s="37">
        <f>G651*0.794701612903226</f>
        <v>0</v>
      </c>
      <c r="AN651" s="37">
        <f>G651*(1-0.794701612903226)</f>
        <v>0</v>
      </c>
      <c r="AO651" s="38" t="s">
        <v>136</v>
      </c>
      <c r="AT651" s="37">
        <f>AU651+AV651</f>
        <v>0</v>
      </c>
      <c r="AU651" s="37">
        <f>F651*AM651</f>
        <v>0</v>
      </c>
      <c r="AV651" s="37">
        <f>F651*AN651</f>
        <v>0</v>
      </c>
      <c r="AW651" s="38" t="s">
        <v>1131</v>
      </c>
      <c r="AX651" s="38" t="s">
        <v>1075</v>
      </c>
      <c r="AY651" s="23" t="s">
        <v>97</v>
      </c>
      <c r="BA651" s="37">
        <f>AU651+AV651</f>
        <v>0</v>
      </c>
      <c r="BB651" s="37">
        <f>G651/(100-BC651)*100</f>
        <v>0</v>
      </c>
      <c r="BC651" s="37">
        <v>0</v>
      </c>
      <c r="BD651" s="37">
        <f>J651</f>
        <v>0.03</v>
      </c>
      <c r="BF651" s="37">
        <f>F651*AM651</f>
        <v>0</v>
      </c>
      <c r="BG651" s="37">
        <f>F651*AN651</f>
        <v>0</v>
      </c>
      <c r="BH651" s="37">
        <f>F651*G651</f>
        <v>0</v>
      </c>
    </row>
    <row r="652" spans="1:11" ht="12.75">
      <c r="A652" s="50"/>
      <c r="B652" s="51"/>
      <c r="C652" s="51"/>
      <c r="D652" s="52" t="s">
        <v>1187</v>
      </c>
      <c r="E652" s="51"/>
      <c r="F652" s="53">
        <v>1</v>
      </c>
      <c r="G652" s="51"/>
      <c r="H652" s="51"/>
      <c r="I652" s="54"/>
      <c r="J652" s="54"/>
      <c r="K652" s="51"/>
    </row>
    <row r="653" spans="1:60" ht="25.5">
      <c r="A653" s="44" t="s">
        <v>1188</v>
      </c>
      <c r="B653" s="44"/>
      <c r="C653" s="44" t="s">
        <v>1189</v>
      </c>
      <c r="D653" s="45" t="s">
        <v>1190</v>
      </c>
      <c r="E653" s="44" t="s">
        <v>225</v>
      </c>
      <c r="F653" s="46">
        <v>1</v>
      </c>
      <c r="G653" s="423"/>
      <c r="H653" s="47">
        <f>F653*G653</f>
        <v>0</v>
      </c>
      <c r="I653" s="48">
        <v>0.03</v>
      </c>
      <c r="J653" s="48">
        <f>F653*I653</f>
        <v>0.03</v>
      </c>
      <c r="K653" s="49" t="s">
        <v>226</v>
      </c>
      <c r="X653" s="37">
        <f>IF(AO653="5",BH653,0)</f>
        <v>0</v>
      </c>
      <c r="Z653" s="37">
        <f>IF(AO653="1",BF653,0)</f>
        <v>0</v>
      </c>
      <c r="AA653" s="37">
        <f>IF(AO653="1",BG653,0)</f>
        <v>0</v>
      </c>
      <c r="AB653" s="37">
        <f>IF(AO653="7",BF653,0)</f>
        <v>0</v>
      </c>
      <c r="AC653" s="37">
        <f>IF(AO653="7",BG653,0)</f>
        <v>0</v>
      </c>
      <c r="AD653" s="37">
        <f>IF(AO653="2",BF653,0)</f>
        <v>0</v>
      </c>
      <c r="AE653" s="37">
        <f>IF(AO653="2",BG653,0)</f>
        <v>0</v>
      </c>
      <c r="AF653" s="37">
        <f>IF(AO653="0",BH653,0)</f>
        <v>0</v>
      </c>
      <c r="AG653" s="23"/>
      <c r="AH653" s="37">
        <f>IF(AL653=0,H653,0)</f>
        <v>0</v>
      </c>
      <c r="AI653" s="37">
        <f>IF(AL653=15,H653,0)</f>
        <v>0</v>
      </c>
      <c r="AJ653" s="37">
        <f>IF(AL653=21,H653,0)</f>
        <v>0</v>
      </c>
      <c r="AL653" s="37">
        <v>21</v>
      </c>
      <c r="AM653" s="37">
        <f>G653*0.794701612903226</f>
        <v>0</v>
      </c>
      <c r="AN653" s="37">
        <f>G653*(1-0.794701612903226)</f>
        <v>0</v>
      </c>
      <c r="AO653" s="38" t="s">
        <v>136</v>
      </c>
      <c r="AT653" s="37">
        <f>AU653+AV653</f>
        <v>0</v>
      </c>
      <c r="AU653" s="37">
        <f>F653*AM653</f>
        <v>0</v>
      </c>
      <c r="AV653" s="37">
        <f>F653*AN653</f>
        <v>0</v>
      </c>
      <c r="AW653" s="38" t="s">
        <v>1131</v>
      </c>
      <c r="AX653" s="38" t="s">
        <v>1075</v>
      </c>
      <c r="AY653" s="23" t="s">
        <v>97</v>
      </c>
      <c r="BA653" s="37">
        <f>AU653+AV653</f>
        <v>0</v>
      </c>
      <c r="BB653" s="37">
        <f>G653/(100-BC653)*100</f>
        <v>0</v>
      </c>
      <c r="BC653" s="37">
        <v>0</v>
      </c>
      <c r="BD653" s="37">
        <f>J653</f>
        <v>0.03</v>
      </c>
      <c r="BF653" s="37">
        <f>F653*AM653</f>
        <v>0</v>
      </c>
      <c r="BG653" s="37">
        <f>F653*AN653</f>
        <v>0</v>
      </c>
      <c r="BH653" s="37">
        <f>F653*G653</f>
        <v>0</v>
      </c>
    </row>
    <row r="654" spans="1:11" ht="12.75">
      <c r="A654" s="50"/>
      <c r="B654" s="51"/>
      <c r="C654" s="51"/>
      <c r="D654" s="52" t="s">
        <v>1191</v>
      </c>
      <c r="E654" s="51"/>
      <c r="F654" s="53">
        <v>1</v>
      </c>
      <c r="G654" s="51"/>
      <c r="H654" s="51"/>
      <c r="I654" s="54"/>
      <c r="J654" s="54"/>
      <c r="K654" s="51"/>
    </row>
    <row r="655" spans="1:60" ht="25.5">
      <c r="A655" s="44" t="s">
        <v>1192</v>
      </c>
      <c r="B655" s="44"/>
      <c r="C655" s="44" t="s">
        <v>1193</v>
      </c>
      <c r="D655" s="45" t="s">
        <v>1194</v>
      </c>
      <c r="E655" s="44" t="s">
        <v>225</v>
      </c>
      <c r="F655" s="46">
        <v>3</v>
      </c>
      <c r="G655" s="423"/>
      <c r="H655" s="47">
        <f>F655*G655</f>
        <v>0</v>
      </c>
      <c r="I655" s="48">
        <v>0.03</v>
      </c>
      <c r="J655" s="48">
        <f>F655*I655</f>
        <v>0.09</v>
      </c>
      <c r="K655" s="49" t="s">
        <v>226</v>
      </c>
      <c r="X655" s="37">
        <f>IF(AO655="5",BH655,0)</f>
        <v>0</v>
      </c>
      <c r="Z655" s="37">
        <f>IF(AO655="1",BF655,0)</f>
        <v>0</v>
      </c>
      <c r="AA655" s="37">
        <f>IF(AO655="1",BG655,0)</f>
        <v>0</v>
      </c>
      <c r="AB655" s="37">
        <f>IF(AO655="7",BF655,0)</f>
        <v>0</v>
      </c>
      <c r="AC655" s="37">
        <f>IF(AO655="7",BG655,0)</f>
        <v>0</v>
      </c>
      <c r="AD655" s="37">
        <f>IF(AO655="2",BF655,0)</f>
        <v>0</v>
      </c>
      <c r="AE655" s="37">
        <f>IF(AO655="2",BG655,0)</f>
        <v>0</v>
      </c>
      <c r="AF655" s="37">
        <f>IF(AO655="0",BH655,0)</f>
        <v>0</v>
      </c>
      <c r="AG655" s="23"/>
      <c r="AH655" s="37">
        <f>IF(AL655=0,H655,0)</f>
        <v>0</v>
      </c>
      <c r="AI655" s="37">
        <f>IF(AL655=15,H655,0)</f>
        <v>0</v>
      </c>
      <c r="AJ655" s="37">
        <f>IF(AL655=21,H655,0)</f>
        <v>0</v>
      </c>
      <c r="AL655" s="37">
        <v>21</v>
      </c>
      <c r="AM655" s="37">
        <f>G655*0.794701612903226</f>
        <v>0</v>
      </c>
      <c r="AN655" s="37">
        <f>G655*(1-0.794701612903226)</f>
        <v>0</v>
      </c>
      <c r="AO655" s="38" t="s">
        <v>136</v>
      </c>
      <c r="AT655" s="37">
        <f>AU655+AV655</f>
        <v>0</v>
      </c>
      <c r="AU655" s="37">
        <f>F655*AM655</f>
        <v>0</v>
      </c>
      <c r="AV655" s="37">
        <f>F655*AN655</f>
        <v>0</v>
      </c>
      <c r="AW655" s="38" t="s">
        <v>1131</v>
      </c>
      <c r="AX655" s="38" t="s">
        <v>1075</v>
      </c>
      <c r="AY655" s="23" t="s">
        <v>97</v>
      </c>
      <c r="BA655" s="37">
        <f>AU655+AV655</f>
        <v>0</v>
      </c>
      <c r="BB655" s="37">
        <f>G655/(100-BC655)*100</f>
        <v>0</v>
      </c>
      <c r="BC655" s="37">
        <v>0</v>
      </c>
      <c r="BD655" s="37">
        <f>J655</f>
        <v>0.09</v>
      </c>
      <c r="BF655" s="37">
        <f>F655*AM655</f>
        <v>0</v>
      </c>
      <c r="BG655" s="37">
        <f>F655*AN655</f>
        <v>0</v>
      </c>
      <c r="BH655" s="37">
        <f>F655*G655</f>
        <v>0</v>
      </c>
    </row>
    <row r="656" spans="1:11" ht="12.75">
      <c r="A656" s="50"/>
      <c r="B656" s="51"/>
      <c r="C656" s="51"/>
      <c r="D656" s="52" t="s">
        <v>1195</v>
      </c>
      <c r="E656" s="51"/>
      <c r="F656" s="53">
        <v>3</v>
      </c>
      <c r="G656" s="51"/>
      <c r="H656" s="51"/>
      <c r="I656" s="54"/>
      <c r="J656" s="54"/>
      <c r="K656" s="51"/>
    </row>
    <row r="657" spans="1:60" ht="25.5">
      <c r="A657" s="44" t="s">
        <v>1196</v>
      </c>
      <c r="B657" s="44"/>
      <c r="C657" s="44" t="s">
        <v>1197</v>
      </c>
      <c r="D657" s="45" t="s">
        <v>1198</v>
      </c>
      <c r="E657" s="44" t="s">
        <v>225</v>
      </c>
      <c r="F657" s="46">
        <v>14</v>
      </c>
      <c r="G657" s="423"/>
      <c r="H657" s="47">
        <f>F657*G657</f>
        <v>0</v>
      </c>
      <c r="I657" s="48">
        <v>0.03</v>
      </c>
      <c r="J657" s="48">
        <f>F657*I657</f>
        <v>0.42</v>
      </c>
      <c r="K657" s="49" t="s">
        <v>226</v>
      </c>
      <c r="X657" s="37">
        <f>IF(AO657="5",BH657,0)</f>
        <v>0</v>
      </c>
      <c r="Z657" s="37">
        <f>IF(AO657="1",BF657,0)</f>
        <v>0</v>
      </c>
      <c r="AA657" s="37">
        <f>IF(AO657="1",BG657,0)</f>
        <v>0</v>
      </c>
      <c r="AB657" s="37">
        <f>IF(AO657="7",BF657,0)</f>
        <v>0</v>
      </c>
      <c r="AC657" s="37">
        <f>IF(AO657="7",BG657,0)</f>
        <v>0</v>
      </c>
      <c r="AD657" s="37">
        <f>IF(AO657="2",BF657,0)</f>
        <v>0</v>
      </c>
      <c r="AE657" s="37">
        <f>IF(AO657="2",BG657,0)</f>
        <v>0</v>
      </c>
      <c r="AF657" s="37">
        <f>IF(AO657="0",BH657,0)</f>
        <v>0</v>
      </c>
      <c r="AG657" s="23"/>
      <c r="AH657" s="37">
        <f>IF(AL657=0,H657,0)</f>
        <v>0</v>
      </c>
      <c r="AI657" s="37">
        <f>IF(AL657=15,H657,0)</f>
        <v>0</v>
      </c>
      <c r="AJ657" s="37">
        <f>IF(AL657=21,H657,0)</f>
        <v>0</v>
      </c>
      <c r="AL657" s="37">
        <v>21</v>
      </c>
      <c r="AM657" s="37">
        <f>G657*0.794701612903226</f>
        <v>0</v>
      </c>
      <c r="AN657" s="37">
        <f>G657*(1-0.794701612903226)</f>
        <v>0</v>
      </c>
      <c r="AO657" s="38" t="s">
        <v>136</v>
      </c>
      <c r="AT657" s="37">
        <f>AU657+AV657</f>
        <v>0</v>
      </c>
      <c r="AU657" s="37">
        <f>F657*AM657</f>
        <v>0</v>
      </c>
      <c r="AV657" s="37">
        <f>F657*AN657</f>
        <v>0</v>
      </c>
      <c r="AW657" s="38" t="s">
        <v>1131</v>
      </c>
      <c r="AX657" s="38" t="s">
        <v>1075</v>
      </c>
      <c r="AY657" s="23" t="s">
        <v>97</v>
      </c>
      <c r="BA657" s="37">
        <f>AU657+AV657</f>
        <v>0</v>
      </c>
      <c r="BB657" s="37">
        <f>G657/(100-BC657)*100</f>
        <v>0</v>
      </c>
      <c r="BC657" s="37">
        <v>0</v>
      </c>
      <c r="BD657" s="37">
        <f>J657</f>
        <v>0.42</v>
      </c>
      <c r="BF657" s="37">
        <f>F657*AM657</f>
        <v>0</v>
      </c>
      <c r="BG657" s="37">
        <f>F657*AN657</f>
        <v>0</v>
      </c>
      <c r="BH657" s="37">
        <f>F657*G657</f>
        <v>0</v>
      </c>
    </row>
    <row r="658" spans="1:11" ht="12.75">
      <c r="A658" s="50"/>
      <c r="B658" s="51"/>
      <c r="C658" s="51"/>
      <c r="D658" s="52" t="s">
        <v>1199</v>
      </c>
      <c r="E658" s="51"/>
      <c r="F658" s="53">
        <v>14</v>
      </c>
      <c r="G658" s="51"/>
      <c r="H658" s="51"/>
      <c r="I658" s="54"/>
      <c r="J658" s="54"/>
      <c r="K658" s="51"/>
    </row>
    <row r="659" spans="1:60" ht="25.5">
      <c r="A659" s="44" t="s">
        <v>1200</v>
      </c>
      <c r="B659" s="44"/>
      <c r="C659" s="44" t="s">
        <v>1201</v>
      </c>
      <c r="D659" s="45" t="s">
        <v>1202</v>
      </c>
      <c r="E659" s="44" t="s">
        <v>225</v>
      </c>
      <c r="F659" s="46">
        <v>1</v>
      </c>
      <c r="G659" s="423"/>
      <c r="H659" s="47">
        <f>F659*G659</f>
        <v>0</v>
      </c>
      <c r="I659" s="48">
        <v>0.03</v>
      </c>
      <c r="J659" s="48">
        <f>F659*I659</f>
        <v>0.03</v>
      </c>
      <c r="K659" s="49" t="s">
        <v>226</v>
      </c>
      <c r="X659" s="37">
        <f>IF(AO659="5",BH659,0)</f>
        <v>0</v>
      </c>
      <c r="Z659" s="37">
        <f>IF(AO659="1",BF659,0)</f>
        <v>0</v>
      </c>
      <c r="AA659" s="37">
        <f>IF(AO659="1",BG659,0)</f>
        <v>0</v>
      </c>
      <c r="AB659" s="37">
        <f>IF(AO659="7",BF659,0)</f>
        <v>0</v>
      </c>
      <c r="AC659" s="37">
        <f>IF(AO659="7",BG659,0)</f>
        <v>0</v>
      </c>
      <c r="AD659" s="37">
        <f>IF(AO659="2",BF659,0)</f>
        <v>0</v>
      </c>
      <c r="AE659" s="37">
        <f>IF(AO659="2",BG659,0)</f>
        <v>0</v>
      </c>
      <c r="AF659" s="37">
        <f>IF(AO659="0",BH659,0)</f>
        <v>0</v>
      </c>
      <c r="AG659" s="23"/>
      <c r="AH659" s="37">
        <f>IF(AL659=0,H659,0)</f>
        <v>0</v>
      </c>
      <c r="AI659" s="37">
        <f>IF(AL659=15,H659,0)</f>
        <v>0</v>
      </c>
      <c r="AJ659" s="37">
        <f>IF(AL659=21,H659,0)</f>
        <v>0</v>
      </c>
      <c r="AL659" s="37">
        <v>21</v>
      </c>
      <c r="AM659" s="37">
        <f>G659*0.794702352941177</f>
        <v>0</v>
      </c>
      <c r="AN659" s="37">
        <f>G659*(1-0.794702352941177)</f>
        <v>0</v>
      </c>
      <c r="AO659" s="38" t="s">
        <v>136</v>
      </c>
      <c r="AT659" s="37">
        <f>AU659+AV659</f>
        <v>0</v>
      </c>
      <c r="AU659" s="37">
        <f>F659*AM659</f>
        <v>0</v>
      </c>
      <c r="AV659" s="37">
        <f>F659*AN659</f>
        <v>0</v>
      </c>
      <c r="AW659" s="38" t="s">
        <v>1131</v>
      </c>
      <c r="AX659" s="38" t="s">
        <v>1075</v>
      </c>
      <c r="AY659" s="23" t="s">
        <v>97</v>
      </c>
      <c r="BA659" s="37">
        <f>AU659+AV659</f>
        <v>0</v>
      </c>
      <c r="BB659" s="37">
        <f>G659/(100-BC659)*100</f>
        <v>0</v>
      </c>
      <c r="BC659" s="37">
        <v>0</v>
      </c>
      <c r="BD659" s="37">
        <f>J659</f>
        <v>0.03</v>
      </c>
      <c r="BF659" s="37">
        <f>F659*AM659</f>
        <v>0</v>
      </c>
      <c r="BG659" s="37">
        <f>F659*AN659</f>
        <v>0</v>
      </c>
      <c r="BH659" s="37">
        <f>F659*G659</f>
        <v>0</v>
      </c>
    </row>
    <row r="660" spans="1:11" ht="12.75">
      <c r="A660" s="50"/>
      <c r="B660" s="51"/>
      <c r="C660" s="51"/>
      <c r="D660" s="52" t="s">
        <v>1203</v>
      </c>
      <c r="E660" s="51"/>
      <c r="F660" s="53">
        <v>1</v>
      </c>
      <c r="G660" s="51"/>
      <c r="H660" s="51"/>
      <c r="I660" s="54"/>
      <c r="J660" s="54"/>
      <c r="K660" s="51"/>
    </row>
    <row r="661" spans="1:60" ht="25.5">
      <c r="A661" s="44" t="s">
        <v>1204</v>
      </c>
      <c r="B661" s="44"/>
      <c r="C661" s="44" t="s">
        <v>1205</v>
      </c>
      <c r="D661" s="45" t="s">
        <v>1206</v>
      </c>
      <c r="E661" s="44" t="s">
        <v>225</v>
      </c>
      <c r="F661" s="46">
        <v>2</v>
      </c>
      <c r="G661" s="423"/>
      <c r="H661" s="47">
        <f>F661*G661</f>
        <v>0</v>
      </c>
      <c r="I661" s="48">
        <v>0.03</v>
      </c>
      <c r="J661" s="48">
        <f>F661*I661</f>
        <v>0.06</v>
      </c>
      <c r="K661" s="49" t="s">
        <v>226</v>
      </c>
      <c r="X661" s="37">
        <f>IF(AO661="5",BH661,0)</f>
        <v>0</v>
      </c>
      <c r="Z661" s="37">
        <f>IF(AO661="1",BF661,0)</f>
        <v>0</v>
      </c>
      <c r="AA661" s="37">
        <f>IF(AO661="1",BG661,0)</f>
        <v>0</v>
      </c>
      <c r="AB661" s="37">
        <f>IF(AO661="7",BF661,0)</f>
        <v>0</v>
      </c>
      <c r="AC661" s="37">
        <f>IF(AO661="7",BG661,0)</f>
        <v>0</v>
      </c>
      <c r="AD661" s="37">
        <f>IF(AO661="2",BF661,0)</f>
        <v>0</v>
      </c>
      <c r="AE661" s="37">
        <f>IF(AO661="2",BG661,0)</f>
        <v>0</v>
      </c>
      <c r="AF661" s="37">
        <f>IF(AO661="0",BH661,0)</f>
        <v>0</v>
      </c>
      <c r="AG661" s="23"/>
      <c r="AH661" s="37">
        <f>IF(AL661=0,H661,0)</f>
        <v>0</v>
      </c>
      <c r="AI661" s="37">
        <f>IF(AL661=15,H661,0)</f>
        <v>0</v>
      </c>
      <c r="AJ661" s="37">
        <f>IF(AL661=21,H661,0)</f>
        <v>0</v>
      </c>
      <c r="AL661" s="37">
        <v>21</v>
      </c>
      <c r="AM661" s="37">
        <f>G661*0.794701612903226</f>
        <v>0</v>
      </c>
      <c r="AN661" s="37">
        <f>G661*(1-0.794701612903226)</f>
        <v>0</v>
      </c>
      <c r="AO661" s="38" t="s">
        <v>136</v>
      </c>
      <c r="AT661" s="37">
        <f>AU661+AV661</f>
        <v>0</v>
      </c>
      <c r="AU661" s="37">
        <f>F661*AM661</f>
        <v>0</v>
      </c>
      <c r="AV661" s="37">
        <f>F661*AN661</f>
        <v>0</v>
      </c>
      <c r="AW661" s="38" t="s">
        <v>1131</v>
      </c>
      <c r="AX661" s="38" t="s">
        <v>1075</v>
      </c>
      <c r="AY661" s="23" t="s">
        <v>97</v>
      </c>
      <c r="BA661" s="37">
        <f>AU661+AV661</f>
        <v>0</v>
      </c>
      <c r="BB661" s="37">
        <f>G661/(100-BC661)*100</f>
        <v>0</v>
      </c>
      <c r="BC661" s="37">
        <v>0</v>
      </c>
      <c r="BD661" s="37">
        <f>J661</f>
        <v>0.06</v>
      </c>
      <c r="BF661" s="37">
        <f>F661*AM661</f>
        <v>0</v>
      </c>
      <c r="BG661" s="37">
        <f>F661*AN661</f>
        <v>0</v>
      </c>
      <c r="BH661" s="37">
        <f>F661*G661</f>
        <v>0</v>
      </c>
    </row>
    <row r="662" spans="1:11" ht="12.75">
      <c r="A662" s="50"/>
      <c r="B662" s="51"/>
      <c r="C662" s="51"/>
      <c r="D662" s="52" t="s">
        <v>1207</v>
      </c>
      <c r="E662" s="51"/>
      <c r="F662" s="53">
        <v>2</v>
      </c>
      <c r="G662" s="51"/>
      <c r="H662" s="51"/>
      <c r="I662" s="54"/>
      <c r="J662" s="54"/>
      <c r="K662" s="51"/>
    </row>
    <row r="663" spans="1:60" ht="25.5">
      <c r="A663" s="44" t="s">
        <v>1208</v>
      </c>
      <c r="B663" s="44"/>
      <c r="C663" s="44" t="s">
        <v>1209</v>
      </c>
      <c r="D663" s="45" t="s">
        <v>1210</v>
      </c>
      <c r="E663" s="44" t="s">
        <v>225</v>
      </c>
      <c r="F663" s="46">
        <v>1</v>
      </c>
      <c r="G663" s="423"/>
      <c r="H663" s="47">
        <f>F663*G663</f>
        <v>0</v>
      </c>
      <c r="I663" s="48">
        <v>0.03</v>
      </c>
      <c r="J663" s="48">
        <f>F663*I663</f>
        <v>0.03</v>
      </c>
      <c r="K663" s="49" t="s">
        <v>226</v>
      </c>
      <c r="X663" s="37">
        <f>IF(AO663="5",BH663,0)</f>
        <v>0</v>
      </c>
      <c r="Z663" s="37">
        <f>IF(AO663="1",BF663,0)</f>
        <v>0</v>
      </c>
      <c r="AA663" s="37">
        <f>IF(AO663="1",BG663,0)</f>
        <v>0</v>
      </c>
      <c r="AB663" s="37">
        <f>IF(AO663="7",BF663,0)</f>
        <v>0</v>
      </c>
      <c r="AC663" s="37">
        <f>IF(AO663="7",BG663,0)</f>
        <v>0</v>
      </c>
      <c r="AD663" s="37">
        <f>IF(AO663="2",BF663,0)</f>
        <v>0</v>
      </c>
      <c r="AE663" s="37">
        <f>IF(AO663="2",BG663,0)</f>
        <v>0</v>
      </c>
      <c r="AF663" s="37">
        <f>IF(AO663="0",BH663,0)</f>
        <v>0</v>
      </c>
      <c r="AG663" s="23"/>
      <c r="AH663" s="37">
        <f>IF(AL663=0,H663,0)</f>
        <v>0</v>
      </c>
      <c r="AI663" s="37">
        <f>IF(AL663=15,H663,0)</f>
        <v>0</v>
      </c>
      <c r="AJ663" s="37">
        <f>IF(AL663=21,H663,0)</f>
        <v>0</v>
      </c>
      <c r="AL663" s="37">
        <v>21</v>
      </c>
      <c r="AM663" s="37">
        <f>G663*0.794702564102564</f>
        <v>0</v>
      </c>
      <c r="AN663" s="37">
        <f>G663*(1-0.794702564102564)</f>
        <v>0</v>
      </c>
      <c r="AO663" s="38" t="s">
        <v>136</v>
      </c>
      <c r="AT663" s="37">
        <f>AU663+AV663</f>
        <v>0</v>
      </c>
      <c r="AU663" s="37">
        <f>F663*AM663</f>
        <v>0</v>
      </c>
      <c r="AV663" s="37">
        <f>F663*AN663</f>
        <v>0</v>
      </c>
      <c r="AW663" s="38" t="s">
        <v>1131</v>
      </c>
      <c r="AX663" s="38" t="s">
        <v>1075</v>
      </c>
      <c r="AY663" s="23" t="s">
        <v>97</v>
      </c>
      <c r="BA663" s="37">
        <f>AU663+AV663</f>
        <v>0</v>
      </c>
      <c r="BB663" s="37">
        <f>G663/(100-BC663)*100</f>
        <v>0</v>
      </c>
      <c r="BC663" s="37">
        <v>0</v>
      </c>
      <c r="BD663" s="37">
        <f>J663</f>
        <v>0.03</v>
      </c>
      <c r="BF663" s="37">
        <f>F663*AM663</f>
        <v>0</v>
      </c>
      <c r="BG663" s="37">
        <f>F663*AN663</f>
        <v>0</v>
      </c>
      <c r="BH663" s="37">
        <f>F663*G663</f>
        <v>0</v>
      </c>
    </row>
    <row r="664" spans="1:11" ht="12.75">
      <c r="A664" s="50"/>
      <c r="B664" s="51"/>
      <c r="C664" s="51"/>
      <c r="D664" s="52" t="s">
        <v>1211</v>
      </c>
      <c r="E664" s="51"/>
      <c r="F664" s="53">
        <v>1</v>
      </c>
      <c r="G664" s="51"/>
      <c r="H664" s="51"/>
      <c r="I664" s="54"/>
      <c r="J664" s="54"/>
      <c r="K664" s="51"/>
    </row>
    <row r="665" spans="1:60" ht="25.5">
      <c r="A665" s="44" t="s">
        <v>1212</v>
      </c>
      <c r="B665" s="44"/>
      <c r="C665" s="44" t="s">
        <v>1213</v>
      </c>
      <c r="D665" s="45" t="s">
        <v>1214</v>
      </c>
      <c r="E665" s="44" t="s">
        <v>225</v>
      </c>
      <c r="F665" s="46">
        <v>1</v>
      </c>
      <c r="G665" s="423"/>
      <c r="H665" s="47">
        <f>F665*G665</f>
        <v>0</v>
      </c>
      <c r="I665" s="48">
        <v>0.03</v>
      </c>
      <c r="J665" s="48">
        <f>F665*I665</f>
        <v>0.03</v>
      </c>
      <c r="K665" s="49" t="s">
        <v>226</v>
      </c>
      <c r="X665" s="37">
        <f>IF(AO665="5",BH665,0)</f>
        <v>0</v>
      </c>
      <c r="Z665" s="37">
        <f>IF(AO665="1",BF665,0)</f>
        <v>0</v>
      </c>
      <c r="AA665" s="37">
        <f>IF(AO665="1",BG665,0)</f>
        <v>0</v>
      </c>
      <c r="AB665" s="37">
        <f>IF(AO665="7",BF665,0)</f>
        <v>0</v>
      </c>
      <c r="AC665" s="37">
        <f>IF(AO665="7",BG665,0)</f>
        <v>0</v>
      </c>
      <c r="AD665" s="37">
        <f>IF(AO665="2",BF665,0)</f>
        <v>0</v>
      </c>
      <c r="AE665" s="37">
        <f>IF(AO665="2",BG665,0)</f>
        <v>0</v>
      </c>
      <c r="AF665" s="37">
        <f>IF(AO665="0",BH665,0)</f>
        <v>0</v>
      </c>
      <c r="AG665" s="23"/>
      <c r="AH665" s="37">
        <f>IF(AL665=0,H665,0)</f>
        <v>0</v>
      </c>
      <c r="AI665" s="37">
        <f>IF(AL665=15,H665,0)</f>
        <v>0</v>
      </c>
      <c r="AJ665" s="37">
        <f>IF(AL665=21,H665,0)</f>
        <v>0</v>
      </c>
      <c r="AL665" s="37">
        <v>21</v>
      </c>
      <c r="AM665" s="37">
        <f>G665*0.794702272727273</f>
        <v>0</v>
      </c>
      <c r="AN665" s="37">
        <f>G665*(1-0.794702272727273)</f>
        <v>0</v>
      </c>
      <c r="AO665" s="38" t="s">
        <v>136</v>
      </c>
      <c r="AT665" s="37">
        <f>AU665+AV665</f>
        <v>0</v>
      </c>
      <c r="AU665" s="37">
        <f>F665*AM665</f>
        <v>0</v>
      </c>
      <c r="AV665" s="37">
        <f>F665*AN665</f>
        <v>0</v>
      </c>
      <c r="AW665" s="38" t="s">
        <v>1131</v>
      </c>
      <c r="AX665" s="38" t="s">
        <v>1075</v>
      </c>
      <c r="AY665" s="23" t="s">
        <v>97</v>
      </c>
      <c r="BA665" s="37">
        <f>AU665+AV665</f>
        <v>0</v>
      </c>
      <c r="BB665" s="37">
        <f>G665/(100-BC665)*100</f>
        <v>0</v>
      </c>
      <c r="BC665" s="37">
        <v>0</v>
      </c>
      <c r="BD665" s="37">
        <f>J665</f>
        <v>0.03</v>
      </c>
      <c r="BF665" s="37">
        <f>F665*AM665</f>
        <v>0</v>
      </c>
      <c r="BG665" s="37">
        <f>F665*AN665</f>
        <v>0</v>
      </c>
      <c r="BH665" s="37">
        <f>F665*G665</f>
        <v>0</v>
      </c>
    </row>
    <row r="666" spans="1:11" ht="12.75">
      <c r="A666" s="50"/>
      <c r="B666" s="51"/>
      <c r="C666" s="51"/>
      <c r="D666" s="52" t="s">
        <v>1215</v>
      </c>
      <c r="E666" s="51"/>
      <c r="F666" s="53">
        <v>1</v>
      </c>
      <c r="G666" s="51"/>
      <c r="H666" s="51"/>
      <c r="I666" s="54"/>
      <c r="J666" s="54"/>
      <c r="K666" s="51"/>
    </row>
    <row r="667" spans="1:60" ht="25.5">
      <c r="A667" s="44" t="s">
        <v>1216</v>
      </c>
      <c r="B667" s="44"/>
      <c r="C667" s="44" t="s">
        <v>1217</v>
      </c>
      <c r="D667" s="45" t="s">
        <v>1218</v>
      </c>
      <c r="E667" s="44" t="s">
        <v>225</v>
      </c>
      <c r="F667" s="46">
        <v>1</v>
      </c>
      <c r="G667" s="423"/>
      <c r="H667" s="47">
        <f>F667*G667</f>
        <v>0</v>
      </c>
      <c r="I667" s="48">
        <v>0.03</v>
      </c>
      <c r="J667" s="48">
        <f>F667*I667</f>
        <v>0.03</v>
      </c>
      <c r="K667" s="49" t="s">
        <v>226</v>
      </c>
      <c r="X667" s="37">
        <f>IF(AO667="5",BH667,0)</f>
        <v>0</v>
      </c>
      <c r="Z667" s="37">
        <f>IF(AO667="1",BF667,0)</f>
        <v>0</v>
      </c>
      <c r="AA667" s="37">
        <f>IF(AO667="1",BG667,0)</f>
        <v>0</v>
      </c>
      <c r="AB667" s="37">
        <f>IF(AO667="7",BF667,0)</f>
        <v>0</v>
      </c>
      <c r="AC667" s="37">
        <f>IF(AO667="7",BG667,0)</f>
        <v>0</v>
      </c>
      <c r="AD667" s="37">
        <f>IF(AO667="2",BF667,0)</f>
        <v>0</v>
      </c>
      <c r="AE667" s="37">
        <f>IF(AO667="2",BG667,0)</f>
        <v>0</v>
      </c>
      <c r="AF667" s="37">
        <f>IF(AO667="0",BH667,0)</f>
        <v>0</v>
      </c>
      <c r="AG667" s="23"/>
      <c r="AH667" s="37">
        <f>IF(AL667=0,H667,0)</f>
        <v>0</v>
      </c>
      <c r="AI667" s="37">
        <f>IF(AL667=15,H667,0)</f>
        <v>0</v>
      </c>
      <c r="AJ667" s="37">
        <f>IF(AL667=21,H667,0)</f>
        <v>0</v>
      </c>
      <c r="AL667" s="37">
        <v>21</v>
      </c>
      <c r="AM667" s="37">
        <f>G667*0.794702272727273</f>
        <v>0</v>
      </c>
      <c r="AN667" s="37">
        <f>G667*(1-0.794702272727273)</f>
        <v>0</v>
      </c>
      <c r="AO667" s="38" t="s">
        <v>136</v>
      </c>
      <c r="AT667" s="37">
        <f>AU667+AV667</f>
        <v>0</v>
      </c>
      <c r="AU667" s="37">
        <f>F667*AM667</f>
        <v>0</v>
      </c>
      <c r="AV667" s="37">
        <f>F667*AN667</f>
        <v>0</v>
      </c>
      <c r="AW667" s="38" t="s">
        <v>1131</v>
      </c>
      <c r="AX667" s="38" t="s">
        <v>1075</v>
      </c>
      <c r="AY667" s="23" t="s">
        <v>97</v>
      </c>
      <c r="BA667" s="37">
        <f>AU667+AV667</f>
        <v>0</v>
      </c>
      <c r="BB667" s="37">
        <f>G667/(100-BC667)*100</f>
        <v>0</v>
      </c>
      <c r="BC667" s="37">
        <v>0</v>
      </c>
      <c r="BD667" s="37">
        <f>J667</f>
        <v>0.03</v>
      </c>
      <c r="BF667" s="37">
        <f>F667*AM667</f>
        <v>0</v>
      </c>
      <c r="BG667" s="37">
        <f>F667*AN667</f>
        <v>0</v>
      </c>
      <c r="BH667" s="37">
        <f>F667*G667</f>
        <v>0</v>
      </c>
    </row>
    <row r="668" spans="1:11" ht="12.75">
      <c r="A668" s="50"/>
      <c r="B668" s="51"/>
      <c r="C668" s="51"/>
      <c r="D668" s="52" t="s">
        <v>1219</v>
      </c>
      <c r="E668" s="51"/>
      <c r="F668" s="53">
        <v>1</v>
      </c>
      <c r="G668" s="51"/>
      <c r="H668" s="51"/>
      <c r="I668" s="54"/>
      <c r="J668" s="54"/>
      <c r="K668" s="51"/>
    </row>
    <row r="669" spans="1:60" ht="25.5">
      <c r="A669" s="44" t="s">
        <v>1220</v>
      </c>
      <c r="B669" s="44"/>
      <c r="C669" s="44" t="s">
        <v>1221</v>
      </c>
      <c r="D669" s="45" t="s">
        <v>1222</v>
      </c>
      <c r="E669" s="44" t="s">
        <v>225</v>
      </c>
      <c r="F669" s="46">
        <v>4</v>
      </c>
      <c r="G669" s="423"/>
      <c r="H669" s="47">
        <f>F669*G669</f>
        <v>0</v>
      </c>
      <c r="I669" s="48">
        <v>0.052</v>
      </c>
      <c r="J669" s="48">
        <f>F669*I669</f>
        <v>0.208</v>
      </c>
      <c r="K669" s="49" t="s">
        <v>226</v>
      </c>
      <c r="X669" s="37">
        <f>IF(AO669="5",BH669,0)</f>
        <v>0</v>
      </c>
      <c r="Z669" s="37">
        <f>IF(AO669="1",BF669,0)</f>
        <v>0</v>
      </c>
      <c r="AA669" s="37">
        <f>IF(AO669="1",BG669,0)</f>
        <v>0</v>
      </c>
      <c r="AB669" s="37">
        <f>IF(AO669="7",BF669,0)</f>
        <v>0</v>
      </c>
      <c r="AC669" s="37">
        <f>IF(AO669="7",BG669,0)</f>
        <v>0</v>
      </c>
      <c r="AD669" s="37">
        <f>IF(AO669="2",BF669,0)</f>
        <v>0</v>
      </c>
      <c r="AE669" s="37">
        <f>IF(AO669="2",BG669,0)</f>
        <v>0</v>
      </c>
      <c r="AF669" s="37">
        <f>IF(AO669="0",BH669,0)</f>
        <v>0</v>
      </c>
      <c r="AG669" s="23"/>
      <c r="AH669" s="37">
        <f>IF(AL669=0,H669,0)</f>
        <v>0</v>
      </c>
      <c r="AI669" s="37">
        <f>IF(AL669=15,H669,0)</f>
        <v>0</v>
      </c>
      <c r="AJ669" s="37">
        <f>IF(AL669=21,H669,0)</f>
        <v>0</v>
      </c>
      <c r="AL669" s="37">
        <v>21</v>
      </c>
      <c r="AM669" s="37">
        <f>G669*0.7947</f>
        <v>0</v>
      </c>
      <c r="AN669" s="37">
        <f>G669*(1-0.7947)</f>
        <v>0</v>
      </c>
      <c r="AO669" s="38" t="s">
        <v>136</v>
      </c>
      <c r="AT669" s="37">
        <f>AU669+AV669</f>
        <v>0</v>
      </c>
      <c r="AU669" s="37">
        <f>F669*AM669</f>
        <v>0</v>
      </c>
      <c r="AV669" s="37">
        <f>F669*AN669</f>
        <v>0</v>
      </c>
      <c r="AW669" s="38" t="s">
        <v>1131</v>
      </c>
      <c r="AX669" s="38" t="s">
        <v>1075</v>
      </c>
      <c r="AY669" s="23" t="s">
        <v>97</v>
      </c>
      <c r="BA669" s="37">
        <f>AU669+AV669</f>
        <v>0</v>
      </c>
      <c r="BB669" s="37">
        <f>G669/(100-BC669)*100</f>
        <v>0</v>
      </c>
      <c r="BC669" s="37">
        <v>0</v>
      </c>
      <c r="BD669" s="37">
        <f>J669</f>
        <v>0.208</v>
      </c>
      <c r="BF669" s="37">
        <f>F669*AM669</f>
        <v>0</v>
      </c>
      <c r="BG669" s="37">
        <f>F669*AN669</f>
        <v>0</v>
      </c>
      <c r="BH669" s="37">
        <f>F669*G669</f>
        <v>0</v>
      </c>
    </row>
    <row r="670" spans="1:11" ht="12.75">
      <c r="A670" s="50"/>
      <c r="B670" s="51"/>
      <c r="C670" s="51"/>
      <c r="D670" s="52" t="s">
        <v>1223</v>
      </c>
      <c r="E670" s="51"/>
      <c r="F670" s="53">
        <v>4</v>
      </c>
      <c r="G670" s="51"/>
      <c r="H670" s="51"/>
      <c r="I670" s="54"/>
      <c r="J670" s="54"/>
      <c r="K670" s="51"/>
    </row>
    <row r="671" spans="1:60" ht="25.5">
      <c r="A671" s="44" t="s">
        <v>1224</v>
      </c>
      <c r="B671" s="44"/>
      <c r="C671" s="44" t="s">
        <v>1225</v>
      </c>
      <c r="D671" s="45" t="s">
        <v>1226</v>
      </c>
      <c r="E671" s="44" t="s">
        <v>225</v>
      </c>
      <c r="F671" s="46">
        <v>2</v>
      </c>
      <c r="G671" s="423"/>
      <c r="H671" s="47">
        <f>F671*G671</f>
        <v>0</v>
      </c>
      <c r="I671" s="48">
        <v>0.03</v>
      </c>
      <c r="J671" s="48">
        <f>F671*I671</f>
        <v>0.06</v>
      </c>
      <c r="K671" s="49" t="s">
        <v>226</v>
      </c>
      <c r="X671" s="37">
        <f>IF(AO671="5",BH671,0)</f>
        <v>0</v>
      </c>
      <c r="Z671" s="37">
        <f>IF(AO671="1",BF671,0)</f>
        <v>0</v>
      </c>
      <c r="AA671" s="37">
        <f>IF(AO671="1",BG671,0)</f>
        <v>0</v>
      </c>
      <c r="AB671" s="37">
        <f>IF(AO671="7",BF671,0)</f>
        <v>0</v>
      </c>
      <c r="AC671" s="37">
        <f>IF(AO671="7",BG671,0)</f>
        <v>0</v>
      </c>
      <c r="AD671" s="37">
        <f>IF(AO671="2",BF671,0)</f>
        <v>0</v>
      </c>
      <c r="AE671" s="37">
        <f>IF(AO671="2",BG671,0)</f>
        <v>0</v>
      </c>
      <c r="AF671" s="37">
        <f>IF(AO671="0",BH671,0)</f>
        <v>0</v>
      </c>
      <c r="AG671" s="23"/>
      <c r="AH671" s="37">
        <f>IF(AL671=0,H671,0)</f>
        <v>0</v>
      </c>
      <c r="AI671" s="37">
        <f>IF(AL671=15,H671,0)</f>
        <v>0</v>
      </c>
      <c r="AJ671" s="37">
        <f>IF(AL671=21,H671,0)</f>
        <v>0</v>
      </c>
      <c r="AL671" s="37">
        <v>21</v>
      </c>
      <c r="AM671" s="37">
        <f>G671*0.794702272727273</f>
        <v>0</v>
      </c>
      <c r="AN671" s="37">
        <f>G671*(1-0.794702272727273)</f>
        <v>0</v>
      </c>
      <c r="AO671" s="38" t="s">
        <v>136</v>
      </c>
      <c r="AT671" s="37">
        <f>AU671+AV671</f>
        <v>0</v>
      </c>
      <c r="AU671" s="37">
        <f>F671*AM671</f>
        <v>0</v>
      </c>
      <c r="AV671" s="37">
        <f>F671*AN671</f>
        <v>0</v>
      </c>
      <c r="AW671" s="38" t="s">
        <v>1131</v>
      </c>
      <c r="AX671" s="38" t="s">
        <v>1075</v>
      </c>
      <c r="AY671" s="23" t="s">
        <v>97</v>
      </c>
      <c r="BA671" s="37">
        <f>AU671+AV671</f>
        <v>0</v>
      </c>
      <c r="BB671" s="37">
        <f>G671/(100-BC671)*100</f>
        <v>0</v>
      </c>
      <c r="BC671" s="37">
        <v>0</v>
      </c>
      <c r="BD671" s="37">
        <f>J671</f>
        <v>0.06</v>
      </c>
      <c r="BF671" s="37">
        <f>F671*AM671</f>
        <v>0</v>
      </c>
      <c r="BG671" s="37">
        <f>F671*AN671</f>
        <v>0</v>
      </c>
      <c r="BH671" s="37">
        <f>F671*G671</f>
        <v>0</v>
      </c>
    </row>
    <row r="672" spans="1:11" ht="12.75">
      <c r="A672" s="50"/>
      <c r="B672" s="51"/>
      <c r="C672" s="51"/>
      <c r="D672" s="52" t="s">
        <v>1227</v>
      </c>
      <c r="E672" s="51"/>
      <c r="F672" s="53">
        <v>2</v>
      </c>
      <c r="G672" s="51"/>
      <c r="H672" s="51"/>
      <c r="I672" s="54"/>
      <c r="J672" s="54"/>
      <c r="K672" s="51"/>
    </row>
    <row r="673" spans="1:60" ht="12.75">
      <c r="A673" s="44" t="s">
        <v>1228</v>
      </c>
      <c r="B673" s="44"/>
      <c r="C673" s="44" t="s">
        <v>1229</v>
      </c>
      <c r="D673" s="45" t="s">
        <v>1230</v>
      </c>
      <c r="E673" s="44" t="s">
        <v>225</v>
      </c>
      <c r="F673" s="46">
        <v>4</v>
      </c>
      <c r="G673" s="423"/>
      <c r="H673" s="47">
        <f>F673*G673</f>
        <v>0</v>
      </c>
      <c r="I673" s="48">
        <v>0.027</v>
      </c>
      <c r="J673" s="48">
        <f>F673*I673</f>
        <v>0.108</v>
      </c>
      <c r="K673" s="49" t="s">
        <v>226</v>
      </c>
      <c r="X673" s="37">
        <f>IF(AO673="5",BH673,0)</f>
        <v>0</v>
      </c>
      <c r="Z673" s="37">
        <f>IF(AO673="1",BF673,0)</f>
        <v>0</v>
      </c>
      <c r="AA673" s="37">
        <f>IF(AO673="1",BG673,0)</f>
        <v>0</v>
      </c>
      <c r="AB673" s="37">
        <f>IF(AO673="7",BF673,0)</f>
        <v>0</v>
      </c>
      <c r="AC673" s="37">
        <f>IF(AO673="7",BG673,0)</f>
        <v>0</v>
      </c>
      <c r="AD673" s="37">
        <f>IF(AO673="2",BF673,0)</f>
        <v>0</v>
      </c>
      <c r="AE673" s="37">
        <f>IF(AO673="2",BG673,0)</f>
        <v>0</v>
      </c>
      <c r="AF673" s="37">
        <f>IF(AO673="0",BH673,0)</f>
        <v>0</v>
      </c>
      <c r="AG673" s="23"/>
      <c r="AH673" s="37">
        <f>IF(AL673=0,H673,0)</f>
        <v>0</v>
      </c>
      <c r="AI673" s="37">
        <f>IF(AL673=15,H673,0)</f>
        <v>0</v>
      </c>
      <c r="AJ673" s="37">
        <f>IF(AL673=21,H673,0)</f>
        <v>0</v>
      </c>
      <c r="AL673" s="37">
        <v>21</v>
      </c>
      <c r="AM673" s="37">
        <f>G673*0.7947</f>
        <v>0</v>
      </c>
      <c r="AN673" s="37">
        <f>G673*(1-0.7947)</f>
        <v>0</v>
      </c>
      <c r="AO673" s="38" t="s">
        <v>136</v>
      </c>
      <c r="AT673" s="37">
        <f>AU673+AV673</f>
        <v>0</v>
      </c>
      <c r="AU673" s="37">
        <f>F673*AM673</f>
        <v>0</v>
      </c>
      <c r="AV673" s="37">
        <f>F673*AN673</f>
        <v>0</v>
      </c>
      <c r="AW673" s="38" t="s">
        <v>1131</v>
      </c>
      <c r="AX673" s="38" t="s">
        <v>1075</v>
      </c>
      <c r="AY673" s="23" t="s">
        <v>97</v>
      </c>
      <c r="BA673" s="37">
        <f>AU673+AV673</f>
        <v>0</v>
      </c>
      <c r="BB673" s="37">
        <f>G673/(100-BC673)*100</f>
        <v>0</v>
      </c>
      <c r="BC673" s="37">
        <v>0</v>
      </c>
      <c r="BD673" s="37">
        <f>J673</f>
        <v>0.108</v>
      </c>
      <c r="BF673" s="37">
        <f>F673*AM673</f>
        <v>0</v>
      </c>
      <c r="BG673" s="37">
        <f>F673*AN673</f>
        <v>0</v>
      </c>
      <c r="BH673" s="37">
        <f>F673*G673</f>
        <v>0</v>
      </c>
    </row>
    <row r="674" spans="1:11" ht="12.75">
      <c r="A674" s="50"/>
      <c r="B674" s="51"/>
      <c r="C674" s="51"/>
      <c r="D674" s="52" t="s">
        <v>1231</v>
      </c>
      <c r="E674" s="51"/>
      <c r="F674" s="53">
        <v>4</v>
      </c>
      <c r="G674" s="51"/>
      <c r="H674" s="51"/>
      <c r="I674" s="54"/>
      <c r="J674" s="54"/>
      <c r="K674" s="51"/>
    </row>
    <row r="675" spans="1:60" ht="25.5">
      <c r="A675" s="44" t="s">
        <v>1232</v>
      </c>
      <c r="B675" s="44"/>
      <c r="C675" s="44" t="s">
        <v>1233</v>
      </c>
      <c r="D675" s="45" t="s">
        <v>1234</v>
      </c>
      <c r="E675" s="44" t="s">
        <v>225</v>
      </c>
      <c r="F675" s="33">
        <v>4</v>
      </c>
      <c r="G675" s="422"/>
      <c r="H675" s="34">
        <f>F675*G675</f>
        <v>0</v>
      </c>
      <c r="I675" s="48">
        <v>0.05</v>
      </c>
      <c r="J675" s="48">
        <f>F675*I675</f>
        <v>0.2</v>
      </c>
      <c r="K675" s="49" t="s">
        <v>226</v>
      </c>
      <c r="X675" s="37">
        <f>IF(AO675="5",BH675,0)</f>
        <v>0</v>
      </c>
      <c r="Z675" s="37">
        <f>IF(AO675="1",BF675,0)</f>
        <v>0</v>
      </c>
      <c r="AA675" s="37">
        <f>IF(AO675="1",BG675,0)</f>
        <v>0</v>
      </c>
      <c r="AB675" s="37">
        <f>IF(AO675="7",BF675,0)</f>
        <v>0</v>
      </c>
      <c r="AC675" s="37">
        <f>IF(AO675="7",BG675,0)</f>
        <v>0</v>
      </c>
      <c r="AD675" s="37">
        <f>IF(AO675="2",BF675,0)</f>
        <v>0</v>
      </c>
      <c r="AE675" s="37">
        <f>IF(AO675="2",BG675,0)</f>
        <v>0</v>
      </c>
      <c r="AF675" s="37">
        <f>IF(AO675="0",BH675,0)</f>
        <v>0</v>
      </c>
      <c r="AG675" s="23"/>
      <c r="AH675" s="37">
        <f>IF(AL675=0,H675,0)</f>
        <v>0</v>
      </c>
      <c r="AI675" s="37">
        <f>IF(AL675=15,H675,0)</f>
        <v>0</v>
      </c>
      <c r="AJ675" s="37">
        <f>IF(AL675=21,H675,0)</f>
        <v>0</v>
      </c>
      <c r="AL675" s="37">
        <v>21</v>
      </c>
      <c r="AM675" s="37">
        <f>G675*0.794702028081123</f>
        <v>0</v>
      </c>
      <c r="AN675" s="37">
        <f>G675*(1-0.794702028081123)</f>
        <v>0</v>
      </c>
      <c r="AO675" s="38" t="s">
        <v>136</v>
      </c>
      <c r="AT675" s="37">
        <f>AU675+AV675</f>
        <v>0</v>
      </c>
      <c r="AU675" s="37">
        <f>F675*AM675</f>
        <v>0</v>
      </c>
      <c r="AV675" s="37">
        <f>F675*AN675</f>
        <v>0</v>
      </c>
      <c r="AW675" s="38" t="s">
        <v>1131</v>
      </c>
      <c r="AX675" s="38" t="s">
        <v>1075</v>
      </c>
      <c r="AY675" s="23" t="s">
        <v>97</v>
      </c>
      <c r="BA675" s="37">
        <f>AU675+AV675</f>
        <v>0</v>
      </c>
      <c r="BB675" s="37">
        <f>G675/(100-BC675)*100</f>
        <v>0</v>
      </c>
      <c r="BC675" s="37">
        <v>0</v>
      </c>
      <c r="BD675" s="37">
        <f>J675</f>
        <v>0.2</v>
      </c>
      <c r="BF675" s="37">
        <f>F675*AM675</f>
        <v>0</v>
      </c>
      <c r="BG675" s="37">
        <f>F675*AN675</f>
        <v>0</v>
      </c>
      <c r="BH675" s="37">
        <f>F675*G675</f>
        <v>0</v>
      </c>
    </row>
    <row r="676" spans="1:11" ht="12.75">
      <c r="A676" s="50"/>
      <c r="B676" s="51"/>
      <c r="C676" s="51"/>
      <c r="D676" s="52" t="s">
        <v>1235</v>
      </c>
      <c r="E676" s="51"/>
      <c r="F676" s="42">
        <v>4</v>
      </c>
      <c r="G676" s="55"/>
      <c r="H676" s="55"/>
      <c r="I676" s="54"/>
      <c r="J676" s="54"/>
      <c r="K676" s="51"/>
    </row>
    <row r="677" spans="1:60" ht="25.5">
      <c r="A677" s="44" t="s">
        <v>1236</v>
      </c>
      <c r="B677" s="44"/>
      <c r="C677" s="44" t="s">
        <v>1237</v>
      </c>
      <c r="D677" s="45" t="s">
        <v>1238</v>
      </c>
      <c r="E677" s="44" t="s">
        <v>469</v>
      </c>
      <c r="F677" s="33">
        <v>1</v>
      </c>
      <c r="G677" s="422"/>
      <c r="H677" s="34">
        <f>F677*G677</f>
        <v>0</v>
      </c>
      <c r="I677" s="48">
        <v>4.2</v>
      </c>
      <c r="J677" s="48">
        <f>F677*I677</f>
        <v>4.2</v>
      </c>
      <c r="K677" s="49" t="s">
        <v>226</v>
      </c>
      <c r="X677" s="37">
        <f>IF(AO677="5",BH677,0)</f>
        <v>0</v>
      </c>
      <c r="Z677" s="37">
        <f>IF(AO677="1",BF677,0)</f>
        <v>0</v>
      </c>
      <c r="AA677" s="37">
        <f>IF(AO677="1",BG677,0)</f>
        <v>0</v>
      </c>
      <c r="AB677" s="37">
        <f>IF(AO677="7",BF677,0)</f>
        <v>0</v>
      </c>
      <c r="AC677" s="37">
        <f>IF(AO677="7",BG677,0)</f>
        <v>0</v>
      </c>
      <c r="AD677" s="37">
        <f>IF(AO677="2",BF677,0)</f>
        <v>0</v>
      </c>
      <c r="AE677" s="37">
        <f>IF(AO677="2",BG677,0)</f>
        <v>0</v>
      </c>
      <c r="AF677" s="37">
        <f>IF(AO677="0",BH677,0)</f>
        <v>0</v>
      </c>
      <c r="AG677" s="23"/>
      <c r="AH677" s="37">
        <f>IF(AL677=0,H677,0)</f>
        <v>0</v>
      </c>
      <c r="AI677" s="37">
        <f>IF(AL677=15,H677,0)</f>
        <v>0</v>
      </c>
      <c r="AJ677" s="37">
        <f>IF(AL677=21,H677,0)</f>
        <v>0</v>
      </c>
      <c r="AL677" s="37">
        <v>21</v>
      </c>
      <c r="AM677" s="37">
        <f>G677*0.794702</f>
        <v>0</v>
      </c>
      <c r="AN677" s="37">
        <f>G677*(1-0.794702)</f>
        <v>0</v>
      </c>
      <c r="AO677" s="38" t="s">
        <v>136</v>
      </c>
      <c r="AT677" s="37">
        <f>AU677+AV677</f>
        <v>0</v>
      </c>
      <c r="AU677" s="37">
        <f>F677*AM677</f>
        <v>0</v>
      </c>
      <c r="AV677" s="37">
        <f>F677*AN677</f>
        <v>0</v>
      </c>
      <c r="AW677" s="38" t="s">
        <v>1131</v>
      </c>
      <c r="AX677" s="38" t="s">
        <v>1075</v>
      </c>
      <c r="AY677" s="23" t="s">
        <v>97</v>
      </c>
      <c r="BA677" s="37">
        <f>AU677+AV677</f>
        <v>0</v>
      </c>
      <c r="BB677" s="37">
        <f>G677/(100-BC677)*100</f>
        <v>0</v>
      </c>
      <c r="BC677" s="37">
        <v>0</v>
      </c>
      <c r="BD677" s="37">
        <f>J677</f>
        <v>4.2</v>
      </c>
      <c r="BF677" s="37">
        <f>F677*AM677</f>
        <v>0</v>
      </c>
      <c r="BG677" s="37">
        <f>F677*AN677</f>
        <v>0</v>
      </c>
      <c r="BH677" s="37">
        <f>F677*G677</f>
        <v>0</v>
      </c>
    </row>
    <row r="678" spans="1:11" ht="12.75">
      <c r="A678" s="50"/>
      <c r="B678" s="51"/>
      <c r="C678" s="51"/>
      <c r="D678" s="52" t="s">
        <v>1239</v>
      </c>
      <c r="E678" s="51"/>
      <c r="F678" s="42">
        <v>1</v>
      </c>
      <c r="G678" s="55"/>
      <c r="H678" s="55"/>
      <c r="I678" s="54"/>
      <c r="J678" s="54"/>
      <c r="K678" s="51"/>
    </row>
    <row r="679" spans="1:60" ht="38.25">
      <c r="A679" s="44" t="s">
        <v>1240</v>
      </c>
      <c r="B679" s="44"/>
      <c r="C679" s="44" t="s">
        <v>1241</v>
      </c>
      <c r="D679" s="45" t="s">
        <v>1242</v>
      </c>
      <c r="E679" s="44" t="s">
        <v>225</v>
      </c>
      <c r="F679" s="33">
        <v>1</v>
      </c>
      <c r="G679" s="422"/>
      <c r="H679" s="34">
        <f>F679*G679</f>
        <v>0</v>
      </c>
      <c r="I679" s="48">
        <v>0.05</v>
      </c>
      <c r="J679" s="48">
        <f>F679*I679</f>
        <v>0.05</v>
      </c>
      <c r="K679" s="49" t="s">
        <v>226</v>
      </c>
      <c r="X679" s="37">
        <f>IF(AO679="5",BH679,0)</f>
        <v>0</v>
      </c>
      <c r="Z679" s="37">
        <f>IF(AO679="1",BF679,0)</f>
        <v>0</v>
      </c>
      <c r="AA679" s="37">
        <f>IF(AO679="1",BG679,0)</f>
        <v>0</v>
      </c>
      <c r="AB679" s="37">
        <f>IF(AO679="7",BF679,0)</f>
        <v>0</v>
      </c>
      <c r="AC679" s="37">
        <f>IF(AO679="7",BG679,0)</f>
        <v>0</v>
      </c>
      <c r="AD679" s="37">
        <f>IF(AO679="2",BF679,0)</f>
        <v>0</v>
      </c>
      <c r="AE679" s="37">
        <f>IF(AO679="2",BG679,0)</f>
        <v>0</v>
      </c>
      <c r="AF679" s="37">
        <f>IF(AO679="0",BH679,0)</f>
        <v>0</v>
      </c>
      <c r="AG679" s="23"/>
      <c r="AH679" s="37">
        <f>IF(AL679=0,H679,0)</f>
        <v>0</v>
      </c>
      <c r="AI679" s="37">
        <f>IF(AL679=15,H679,0)</f>
        <v>0</v>
      </c>
      <c r="AJ679" s="37">
        <f>IF(AL679=21,H679,0)</f>
        <v>0</v>
      </c>
      <c r="AL679" s="37">
        <v>21</v>
      </c>
      <c r="AM679" s="37">
        <f>G679*0.7947</f>
        <v>0</v>
      </c>
      <c r="AN679" s="37">
        <f>G679*(1-0.7947)</f>
        <v>0</v>
      </c>
      <c r="AO679" s="38" t="s">
        <v>136</v>
      </c>
      <c r="AT679" s="37">
        <f>AU679+AV679</f>
        <v>0</v>
      </c>
      <c r="AU679" s="37">
        <f>F679*AM679</f>
        <v>0</v>
      </c>
      <c r="AV679" s="37">
        <f>F679*AN679</f>
        <v>0</v>
      </c>
      <c r="AW679" s="38" t="s">
        <v>1131</v>
      </c>
      <c r="AX679" s="38" t="s">
        <v>1075</v>
      </c>
      <c r="AY679" s="23" t="s">
        <v>97</v>
      </c>
      <c r="BA679" s="37">
        <f>AU679+AV679</f>
        <v>0</v>
      </c>
      <c r="BB679" s="37">
        <f>G679/(100-BC679)*100</f>
        <v>0</v>
      </c>
      <c r="BC679" s="37">
        <v>0</v>
      </c>
      <c r="BD679" s="37">
        <f>J679</f>
        <v>0.05</v>
      </c>
      <c r="BF679" s="37">
        <f>F679*AM679</f>
        <v>0</v>
      </c>
      <c r="BG679" s="37">
        <f>F679*AN679</f>
        <v>0</v>
      </c>
      <c r="BH679" s="37">
        <f>F679*G679</f>
        <v>0</v>
      </c>
    </row>
    <row r="680" spans="1:11" ht="12.75">
      <c r="A680" s="50"/>
      <c r="B680" s="51"/>
      <c r="C680" s="51"/>
      <c r="D680" s="52" t="s">
        <v>1243</v>
      </c>
      <c r="E680" s="51"/>
      <c r="F680" s="42">
        <v>1</v>
      </c>
      <c r="G680" s="55"/>
      <c r="H680" s="55"/>
      <c r="I680" s="54"/>
      <c r="J680" s="54"/>
      <c r="K680" s="51"/>
    </row>
    <row r="681" spans="1:60" ht="12.75">
      <c r="A681" s="44" t="s">
        <v>1244</v>
      </c>
      <c r="B681" s="44"/>
      <c r="C681" s="44" t="s">
        <v>1245</v>
      </c>
      <c r="D681" s="45" t="s">
        <v>1246</v>
      </c>
      <c r="E681" s="44" t="s">
        <v>225</v>
      </c>
      <c r="F681" s="33">
        <v>1</v>
      </c>
      <c r="G681" s="422"/>
      <c r="H681" s="34">
        <f>F681*G681</f>
        <v>0</v>
      </c>
      <c r="I681" s="48">
        <v>0.05</v>
      </c>
      <c r="J681" s="48">
        <f>F681*I681</f>
        <v>0.05</v>
      </c>
      <c r="K681" s="49" t="s">
        <v>226</v>
      </c>
      <c r="X681" s="37">
        <f>IF(AO681="5",BH681,0)</f>
        <v>0</v>
      </c>
      <c r="Z681" s="37">
        <f>IF(AO681="1",BF681,0)</f>
        <v>0</v>
      </c>
      <c r="AA681" s="37">
        <f>IF(AO681="1",BG681,0)</f>
        <v>0</v>
      </c>
      <c r="AB681" s="37">
        <f>IF(AO681="7",BF681,0)</f>
        <v>0</v>
      </c>
      <c r="AC681" s="37">
        <f>IF(AO681="7",BG681,0)</f>
        <v>0</v>
      </c>
      <c r="AD681" s="37">
        <f>IF(AO681="2",BF681,0)</f>
        <v>0</v>
      </c>
      <c r="AE681" s="37">
        <f>IF(AO681="2",BG681,0)</f>
        <v>0</v>
      </c>
      <c r="AF681" s="37">
        <f>IF(AO681="0",BH681,0)</f>
        <v>0</v>
      </c>
      <c r="AG681" s="23"/>
      <c r="AH681" s="37">
        <f>IF(AL681=0,H681,0)</f>
        <v>0</v>
      </c>
      <c r="AI681" s="37">
        <f>IF(AL681=15,H681,0)</f>
        <v>0</v>
      </c>
      <c r="AJ681" s="37">
        <f>IF(AL681=21,H681,0)</f>
        <v>0</v>
      </c>
      <c r="AL681" s="37">
        <v>21</v>
      </c>
      <c r="AM681" s="37">
        <f>G681*0.7947</f>
        <v>0</v>
      </c>
      <c r="AN681" s="37">
        <f>G681*(1-0.7947)</f>
        <v>0</v>
      </c>
      <c r="AO681" s="38" t="s">
        <v>136</v>
      </c>
      <c r="AT681" s="37">
        <f>AU681+AV681</f>
        <v>0</v>
      </c>
      <c r="AU681" s="37">
        <f>F681*AM681</f>
        <v>0</v>
      </c>
      <c r="AV681" s="37">
        <f>F681*AN681</f>
        <v>0</v>
      </c>
      <c r="AW681" s="38" t="s">
        <v>1131</v>
      </c>
      <c r="AX681" s="38" t="s">
        <v>1075</v>
      </c>
      <c r="AY681" s="23" t="s">
        <v>97</v>
      </c>
      <c r="BA681" s="37">
        <f>AU681+AV681</f>
        <v>0</v>
      </c>
      <c r="BB681" s="37">
        <f>G681/(100-BC681)*100</f>
        <v>0</v>
      </c>
      <c r="BC681" s="37">
        <v>0</v>
      </c>
      <c r="BD681" s="37">
        <f>J681</f>
        <v>0.05</v>
      </c>
      <c r="BF681" s="37">
        <f>F681*AM681</f>
        <v>0</v>
      </c>
      <c r="BG681" s="37">
        <f>F681*AN681</f>
        <v>0</v>
      </c>
      <c r="BH681" s="37">
        <f>F681*G681</f>
        <v>0</v>
      </c>
    </row>
    <row r="682" spans="1:11" ht="12.75">
      <c r="A682" s="50"/>
      <c r="B682" s="51"/>
      <c r="C682" s="51"/>
      <c r="D682" s="52" t="s">
        <v>1247</v>
      </c>
      <c r="E682" s="51"/>
      <c r="F682" s="42">
        <v>1</v>
      </c>
      <c r="G682" s="55"/>
      <c r="H682" s="55"/>
      <c r="I682" s="54"/>
      <c r="J682" s="54"/>
      <c r="K682" s="51"/>
    </row>
    <row r="683" spans="1:60" ht="38.25">
      <c r="A683" s="44" t="s">
        <v>1248</v>
      </c>
      <c r="B683" s="44"/>
      <c r="C683" s="44" t="s">
        <v>1249</v>
      </c>
      <c r="D683" s="45" t="s">
        <v>1250</v>
      </c>
      <c r="E683" s="44" t="s">
        <v>225</v>
      </c>
      <c r="F683" s="46">
        <v>1</v>
      </c>
      <c r="G683" s="423"/>
      <c r="H683" s="47">
        <f>F683*G683</f>
        <v>0</v>
      </c>
      <c r="I683" s="48">
        <v>0.07</v>
      </c>
      <c r="J683" s="48">
        <f>F683*I683</f>
        <v>0.07</v>
      </c>
      <c r="K683" s="49" t="s">
        <v>226</v>
      </c>
      <c r="X683" s="37">
        <f>IF(AO683="5",BH683,0)</f>
        <v>0</v>
      </c>
      <c r="Z683" s="37">
        <f>IF(AO683="1",BF683,0)</f>
        <v>0</v>
      </c>
      <c r="AA683" s="37">
        <f>IF(AO683="1",BG683,0)</f>
        <v>0</v>
      </c>
      <c r="AB683" s="37">
        <f>IF(AO683="7",BF683,0)</f>
        <v>0</v>
      </c>
      <c r="AC683" s="37">
        <f>IF(AO683="7",BG683,0)</f>
        <v>0</v>
      </c>
      <c r="AD683" s="37">
        <f>IF(AO683="2",BF683,0)</f>
        <v>0</v>
      </c>
      <c r="AE683" s="37">
        <f>IF(AO683="2",BG683,0)</f>
        <v>0</v>
      </c>
      <c r="AF683" s="37">
        <f>IF(AO683="0",BH683,0)</f>
        <v>0</v>
      </c>
      <c r="AG683" s="23"/>
      <c r="AH683" s="37">
        <f>IF(AL683=0,H683,0)</f>
        <v>0</v>
      </c>
      <c r="AI683" s="37">
        <f>IF(AL683=15,H683,0)</f>
        <v>0</v>
      </c>
      <c r="AJ683" s="37">
        <f>IF(AL683=21,H683,0)</f>
        <v>0</v>
      </c>
      <c r="AL683" s="37">
        <v>21</v>
      </c>
      <c r="AM683" s="37">
        <f>G683*0.7947</f>
        <v>0</v>
      </c>
      <c r="AN683" s="37">
        <f>G683*(1-0.7947)</f>
        <v>0</v>
      </c>
      <c r="AO683" s="38" t="s">
        <v>136</v>
      </c>
      <c r="AT683" s="37">
        <f>AU683+AV683</f>
        <v>0</v>
      </c>
      <c r="AU683" s="37">
        <f>F683*AM683</f>
        <v>0</v>
      </c>
      <c r="AV683" s="37">
        <f>F683*AN683</f>
        <v>0</v>
      </c>
      <c r="AW683" s="38" t="s">
        <v>1131</v>
      </c>
      <c r="AX683" s="38" t="s">
        <v>1075</v>
      </c>
      <c r="AY683" s="23" t="s">
        <v>97</v>
      </c>
      <c r="BA683" s="37">
        <f>AU683+AV683</f>
        <v>0</v>
      </c>
      <c r="BB683" s="37">
        <f>G683/(100-BC683)*100</f>
        <v>0</v>
      </c>
      <c r="BC683" s="37">
        <v>0</v>
      </c>
      <c r="BD683" s="37">
        <f>J683</f>
        <v>0.07</v>
      </c>
      <c r="BF683" s="37">
        <f>F683*AM683</f>
        <v>0</v>
      </c>
      <c r="BG683" s="37">
        <f>F683*AN683</f>
        <v>0</v>
      </c>
      <c r="BH683" s="37">
        <f>F683*G683</f>
        <v>0</v>
      </c>
    </row>
    <row r="684" spans="1:11" ht="12.75">
      <c r="A684" s="50"/>
      <c r="B684" s="51"/>
      <c r="C684" s="51"/>
      <c r="D684" s="52" t="s">
        <v>1251</v>
      </c>
      <c r="E684" s="51"/>
      <c r="F684" s="53">
        <v>1</v>
      </c>
      <c r="G684" s="51"/>
      <c r="H684" s="51"/>
      <c r="I684" s="54"/>
      <c r="J684" s="54"/>
      <c r="K684" s="51"/>
    </row>
    <row r="685" spans="1:60" ht="25.5">
      <c r="A685" s="44" t="s">
        <v>1252</v>
      </c>
      <c r="B685" s="44"/>
      <c r="C685" s="44" t="s">
        <v>1253</v>
      </c>
      <c r="D685" s="45" t="s">
        <v>1254</v>
      </c>
      <c r="E685" s="44" t="s">
        <v>225</v>
      </c>
      <c r="F685" s="46">
        <v>1</v>
      </c>
      <c r="G685" s="423"/>
      <c r="H685" s="47">
        <f>F685*G685</f>
        <v>0</v>
      </c>
      <c r="I685" s="48">
        <v>0.06</v>
      </c>
      <c r="J685" s="48">
        <f>F685*I685</f>
        <v>0.06</v>
      </c>
      <c r="K685" s="49" t="s">
        <v>226</v>
      </c>
      <c r="X685" s="37">
        <f>IF(AO685="5",BH685,0)</f>
        <v>0</v>
      </c>
      <c r="Z685" s="37">
        <f>IF(AO685="1",BF685,0)</f>
        <v>0</v>
      </c>
      <c r="AA685" s="37">
        <f>IF(AO685="1",BG685,0)</f>
        <v>0</v>
      </c>
      <c r="AB685" s="37">
        <f>IF(AO685="7",BF685,0)</f>
        <v>0</v>
      </c>
      <c r="AC685" s="37">
        <f>IF(AO685="7",BG685,0)</f>
        <v>0</v>
      </c>
      <c r="AD685" s="37">
        <f>IF(AO685="2",BF685,0)</f>
        <v>0</v>
      </c>
      <c r="AE685" s="37">
        <f>IF(AO685="2",BG685,0)</f>
        <v>0</v>
      </c>
      <c r="AF685" s="37">
        <f>IF(AO685="0",BH685,0)</f>
        <v>0</v>
      </c>
      <c r="AG685" s="23"/>
      <c r="AH685" s="37">
        <f>IF(AL685=0,H685,0)</f>
        <v>0</v>
      </c>
      <c r="AI685" s="37">
        <f>IF(AL685=15,H685,0)</f>
        <v>0</v>
      </c>
      <c r="AJ685" s="37">
        <f>IF(AL685=21,H685,0)</f>
        <v>0</v>
      </c>
      <c r="AL685" s="37">
        <v>21</v>
      </c>
      <c r="AM685" s="37">
        <f>G685*0.7947</f>
        <v>0</v>
      </c>
      <c r="AN685" s="37">
        <f>G685*(1-0.7947)</f>
        <v>0</v>
      </c>
      <c r="AO685" s="38" t="s">
        <v>136</v>
      </c>
      <c r="AT685" s="37">
        <f>AU685+AV685</f>
        <v>0</v>
      </c>
      <c r="AU685" s="37">
        <f>F685*AM685</f>
        <v>0</v>
      </c>
      <c r="AV685" s="37">
        <f>F685*AN685</f>
        <v>0</v>
      </c>
      <c r="AW685" s="38" t="s">
        <v>1131</v>
      </c>
      <c r="AX685" s="38" t="s">
        <v>1075</v>
      </c>
      <c r="AY685" s="23" t="s">
        <v>97</v>
      </c>
      <c r="BA685" s="37">
        <f>AU685+AV685</f>
        <v>0</v>
      </c>
      <c r="BB685" s="37">
        <f>G685/(100-BC685)*100</f>
        <v>0</v>
      </c>
      <c r="BC685" s="37">
        <v>0</v>
      </c>
      <c r="BD685" s="37">
        <f>J685</f>
        <v>0.06</v>
      </c>
      <c r="BF685" s="37">
        <f>F685*AM685</f>
        <v>0</v>
      </c>
      <c r="BG685" s="37">
        <f>F685*AN685</f>
        <v>0</v>
      </c>
      <c r="BH685" s="37">
        <f>F685*G685</f>
        <v>0</v>
      </c>
    </row>
    <row r="686" spans="1:11" ht="12.75">
      <c r="A686" s="50"/>
      <c r="B686" s="51"/>
      <c r="C686" s="51"/>
      <c r="D686" s="52" t="s">
        <v>1255</v>
      </c>
      <c r="E686" s="51"/>
      <c r="F686" s="53">
        <v>1</v>
      </c>
      <c r="G686" s="51"/>
      <c r="H686" s="51"/>
      <c r="I686" s="54"/>
      <c r="J686" s="54"/>
      <c r="K686" s="51"/>
    </row>
    <row r="687" spans="1:60" ht="25.5">
      <c r="A687" s="44" t="s">
        <v>1256</v>
      </c>
      <c r="B687" s="44"/>
      <c r="C687" s="44" t="s">
        <v>1257</v>
      </c>
      <c r="D687" s="45" t="s">
        <v>1258</v>
      </c>
      <c r="E687" s="44" t="s">
        <v>469</v>
      </c>
      <c r="F687" s="46">
        <v>2</v>
      </c>
      <c r="G687" s="423"/>
      <c r="H687" s="47">
        <f>F687*G687</f>
        <v>0</v>
      </c>
      <c r="I687" s="48">
        <v>0.12</v>
      </c>
      <c r="J687" s="48">
        <f>F687*I687</f>
        <v>0.24</v>
      </c>
      <c r="K687" s="49" t="s">
        <v>226</v>
      </c>
      <c r="X687" s="37">
        <f>IF(AO687="5",BH687,0)</f>
        <v>0</v>
      </c>
      <c r="Z687" s="37">
        <f>IF(AO687="1",BF687,0)</f>
        <v>0</v>
      </c>
      <c r="AA687" s="37">
        <f>IF(AO687="1",BG687,0)</f>
        <v>0</v>
      </c>
      <c r="AB687" s="37">
        <f>IF(AO687="7",BF687,0)</f>
        <v>0</v>
      </c>
      <c r="AC687" s="37">
        <f>IF(AO687="7",BG687,0)</f>
        <v>0</v>
      </c>
      <c r="AD687" s="37">
        <f>IF(AO687="2",BF687,0)</f>
        <v>0</v>
      </c>
      <c r="AE687" s="37">
        <f>IF(AO687="2",BG687,0)</f>
        <v>0</v>
      </c>
      <c r="AF687" s="37">
        <f>IF(AO687="0",BH687,0)</f>
        <v>0</v>
      </c>
      <c r="AG687" s="23"/>
      <c r="AH687" s="37">
        <f>IF(AL687=0,H687,0)</f>
        <v>0</v>
      </c>
      <c r="AI687" s="37">
        <f>IF(AL687=15,H687,0)</f>
        <v>0</v>
      </c>
      <c r="AJ687" s="37">
        <f>IF(AL687=21,H687,0)</f>
        <v>0</v>
      </c>
      <c r="AL687" s="37">
        <v>21</v>
      </c>
      <c r="AM687" s="37">
        <f>G687*0.0541169840060929</f>
        <v>0</v>
      </c>
      <c r="AN687" s="37">
        <f>G687*(1-0.0541169840060929)</f>
        <v>0</v>
      </c>
      <c r="AO687" s="38" t="s">
        <v>136</v>
      </c>
      <c r="AT687" s="37">
        <f>AU687+AV687</f>
        <v>0</v>
      </c>
      <c r="AU687" s="37">
        <f>F687*AM687</f>
        <v>0</v>
      </c>
      <c r="AV687" s="37">
        <f>F687*AN687</f>
        <v>0</v>
      </c>
      <c r="AW687" s="38" t="s">
        <v>1131</v>
      </c>
      <c r="AX687" s="38" t="s">
        <v>1075</v>
      </c>
      <c r="AY687" s="23" t="s">
        <v>97</v>
      </c>
      <c r="BA687" s="37">
        <f>AU687+AV687</f>
        <v>0</v>
      </c>
      <c r="BB687" s="37">
        <f>G687/(100-BC687)*100</f>
        <v>0</v>
      </c>
      <c r="BC687" s="37">
        <v>0</v>
      </c>
      <c r="BD687" s="37">
        <f>J687</f>
        <v>0.24</v>
      </c>
      <c r="BF687" s="37">
        <f>F687*AM687</f>
        <v>0</v>
      </c>
      <c r="BG687" s="37">
        <f>F687*AN687</f>
        <v>0</v>
      </c>
      <c r="BH687" s="37">
        <f>F687*G687</f>
        <v>0</v>
      </c>
    </row>
    <row r="688" spans="1:11" ht="12.75">
      <c r="A688" s="50"/>
      <c r="B688" s="51"/>
      <c r="C688" s="51"/>
      <c r="D688" s="52" t="s">
        <v>1259</v>
      </c>
      <c r="E688" s="51"/>
      <c r="F688" s="53">
        <v>2</v>
      </c>
      <c r="G688" s="51"/>
      <c r="H688" s="51"/>
      <c r="I688" s="54"/>
      <c r="J688" s="54"/>
      <c r="K688" s="51"/>
    </row>
    <row r="689" spans="1:60" ht="12.75">
      <c r="A689" s="44" t="s">
        <v>1260</v>
      </c>
      <c r="B689" s="44"/>
      <c r="C689" s="44" t="s">
        <v>1261</v>
      </c>
      <c r="D689" s="45" t="s">
        <v>1262</v>
      </c>
      <c r="E689" s="44" t="s">
        <v>225</v>
      </c>
      <c r="F689" s="46">
        <v>1</v>
      </c>
      <c r="G689" s="423"/>
      <c r="H689" s="47">
        <f>F689*G689</f>
        <v>0</v>
      </c>
      <c r="I689" s="48">
        <v>0.08</v>
      </c>
      <c r="J689" s="48">
        <f>F689*I689</f>
        <v>0.08</v>
      </c>
      <c r="K689" s="49" t="s">
        <v>226</v>
      </c>
      <c r="X689" s="37">
        <f>IF(AO689="5",BH689,0)</f>
        <v>0</v>
      </c>
      <c r="Z689" s="37">
        <f>IF(AO689="1",BF689,0)</f>
        <v>0</v>
      </c>
      <c r="AA689" s="37">
        <f>IF(AO689="1",BG689,0)</f>
        <v>0</v>
      </c>
      <c r="AB689" s="37">
        <f>IF(AO689="7",BF689,0)</f>
        <v>0</v>
      </c>
      <c r="AC689" s="37">
        <f>IF(AO689="7",BG689,0)</f>
        <v>0</v>
      </c>
      <c r="AD689" s="37">
        <f>IF(AO689="2",BF689,0)</f>
        <v>0</v>
      </c>
      <c r="AE689" s="37">
        <f>IF(AO689="2",BG689,0)</f>
        <v>0</v>
      </c>
      <c r="AF689" s="37">
        <f>IF(AO689="0",BH689,0)</f>
        <v>0</v>
      </c>
      <c r="AG689" s="23"/>
      <c r="AH689" s="37">
        <f>IF(AL689=0,H689,0)</f>
        <v>0</v>
      </c>
      <c r="AI689" s="37">
        <f>IF(AL689=15,H689,0)</f>
        <v>0</v>
      </c>
      <c r="AJ689" s="37">
        <f>IF(AL689=21,H689,0)</f>
        <v>0</v>
      </c>
      <c r="AL689" s="37">
        <v>21</v>
      </c>
      <c r="AM689" s="37">
        <f>G689*0.7947</f>
        <v>0</v>
      </c>
      <c r="AN689" s="37">
        <f>G689*(1-0.7947)</f>
        <v>0</v>
      </c>
      <c r="AO689" s="38" t="s">
        <v>136</v>
      </c>
      <c r="AT689" s="37">
        <f>AU689+AV689</f>
        <v>0</v>
      </c>
      <c r="AU689" s="37">
        <f>F689*AM689</f>
        <v>0</v>
      </c>
      <c r="AV689" s="37">
        <f>F689*AN689</f>
        <v>0</v>
      </c>
      <c r="AW689" s="38" t="s">
        <v>1131</v>
      </c>
      <c r="AX689" s="38" t="s">
        <v>1075</v>
      </c>
      <c r="AY689" s="23" t="s">
        <v>97</v>
      </c>
      <c r="BA689" s="37">
        <f>AU689+AV689</f>
        <v>0</v>
      </c>
      <c r="BB689" s="37">
        <f>G689/(100-BC689)*100</f>
        <v>0</v>
      </c>
      <c r="BC689" s="37">
        <v>0</v>
      </c>
      <c r="BD689" s="37">
        <f>J689</f>
        <v>0.08</v>
      </c>
      <c r="BF689" s="37">
        <f>F689*AM689</f>
        <v>0</v>
      </c>
      <c r="BG689" s="37">
        <f>F689*AN689</f>
        <v>0</v>
      </c>
      <c r="BH689" s="37">
        <f>F689*G689</f>
        <v>0</v>
      </c>
    </row>
    <row r="690" spans="1:11" ht="12.75">
      <c r="A690" s="50"/>
      <c r="B690" s="51"/>
      <c r="C690" s="51"/>
      <c r="D690" s="52" t="s">
        <v>1263</v>
      </c>
      <c r="E690" s="51"/>
      <c r="F690" s="53">
        <v>1</v>
      </c>
      <c r="G690" s="51"/>
      <c r="H690" s="51"/>
      <c r="I690" s="54"/>
      <c r="J690" s="54"/>
      <c r="K690" s="51"/>
    </row>
    <row r="691" spans="1:60" ht="38.25">
      <c r="A691" s="44" t="s">
        <v>1264</v>
      </c>
      <c r="B691" s="44"/>
      <c r="C691" s="44" t="s">
        <v>1265</v>
      </c>
      <c r="D691" s="45" t="s">
        <v>1266</v>
      </c>
      <c r="E691" s="44" t="s">
        <v>469</v>
      </c>
      <c r="F691" s="46">
        <v>6</v>
      </c>
      <c r="G691" s="423"/>
      <c r="H691" s="47">
        <f>F691*G691</f>
        <v>0</v>
      </c>
      <c r="I691" s="48">
        <v>0.03</v>
      </c>
      <c r="J691" s="48">
        <f>F691*I691</f>
        <v>0.18</v>
      </c>
      <c r="K691" s="49" t="s">
        <v>226</v>
      </c>
      <c r="X691" s="37">
        <f>IF(AO691="5",BH691,0)</f>
        <v>0</v>
      </c>
      <c r="Z691" s="37">
        <f>IF(AO691="1",BF691,0)</f>
        <v>0</v>
      </c>
      <c r="AA691" s="37">
        <f>IF(AO691="1",BG691,0)</f>
        <v>0</v>
      </c>
      <c r="AB691" s="37">
        <f>IF(AO691="7",BF691,0)</f>
        <v>0</v>
      </c>
      <c r="AC691" s="37">
        <f>IF(AO691="7",BG691,0)</f>
        <v>0</v>
      </c>
      <c r="AD691" s="37">
        <f>IF(AO691="2",BF691,0)</f>
        <v>0</v>
      </c>
      <c r="AE691" s="37">
        <f>IF(AO691="2",BG691,0)</f>
        <v>0</v>
      </c>
      <c r="AF691" s="37">
        <f>IF(AO691="0",BH691,0)</f>
        <v>0</v>
      </c>
      <c r="AG691" s="23"/>
      <c r="AH691" s="37">
        <f>IF(AL691=0,H691,0)</f>
        <v>0</v>
      </c>
      <c r="AI691" s="37">
        <f>IF(AL691=15,H691,0)</f>
        <v>0</v>
      </c>
      <c r="AJ691" s="37">
        <f>IF(AL691=21,H691,0)</f>
        <v>0</v>
      </c>
      <c r="AL691" s="37">
        <v>21</v>
      </c>
      <c r="AM691" s="37">
        <f>G691*0.054116935483871</f>
        <v>0</v>
      </c>
      <c r="AN691" s="37">
        <f>G691*(1-0.054116935483871)</f>
        <v>0</v>
      </c>
      <c r="AO691" s="38" t="s">
        <v>136</v>
      </c>
      <c r="AT691" s="37">
        <f>AU691+AV691</f>
        <v>0</v>
      </c>
      <c r="AU691" s="37">
        <f>F691*AM691</f>
        <v>0</v>
      </c>
      <c r="AV691" s="37">
        <f>F691*AN691</f>
        <v>0</v>
      </c>
      <c r="AW691" s="38" t="s">
        <v>1131</v>
      </c>
      <c r="AX691" s="38" t="s">
        <v>1075</v>
      </c>
      <c r="AY691" s="23" t="s">
        <v>97</v>
      </c>
      <c r="BA691" s="37">
        <f>AU691+AV691</f>
        <v>0</v>
      </c>
      <c r="BB691" s="37">
        <f>G691/(100-BC691)*100</f>
        <v>0</v>
      </c>
      <c r="BC691" s="37">
        <v>0</v>
      </c>
      <c r="BD691" s="37">
        <f>J691</f>
        <v>0.18</v>
      </c>
      <c r="BF691" s="37">
        <f>F691*AM691</f>
        <v>0</v>
      </c>
      <c r="BG691" s="37">
        <f>F691*AN691</f>
        <v>0</v>
      </c>
      <c r="BH691" s="37">
        <f>F691*G691</f>
        <v>0</v>
      </c>
    </row>
    <row r="692" spans="1:11" ht="12.75">
      <c r="A692" s="50"/>
      <c r="B692" s="51"/>
      <c r="C692" s="51"/>
      <c r="D692" s="52" t="s">
        <v>1267</v>
      </c>
      <c r="E692" s="51"/>
      <c r="F692" s="53">
        <v>6</v>
      </c>
      <c r="G692" s="51"/>
      <c r="H692" s="51"/>
      <c r="I692" s="54"/>
      <c r="J692" s="54"/>
      <c r="K692" s="51"/>
    </row>
    <row r="693" spans="1:60" ht="12.75">
      <c r="A693" s="44" t="s">
        <v>1268</v>
      </c>
      <c r="B693" s="44"/>
      <c r="C693" s="44" t="s">
        <v>1269</v>
      </c>
      <c r="D693" s="45" t="s">
        <v>1270</v>
      </c>
      <c r="E693" s="44" t="s">
        <v>469</v>
      </c>
      <c r="F693" s="46">
        <v>6</v>
      </c>
      <c r="G693" s="423"/>
      <c r="H693" s="47">
        <f>F693*G693</f>
        <v>0</v>
      </c>
      <c r="I693" s="48">
        <v>0.06</v>
      </c>
      <c r="J693" s="48">
        <f>F693*I693</f>
        <v>0.36</v>
      </c>
      <c r="K693" s="49" t="s">
        <v>226</v>
      </c>
      <c r="X693" s="37">
        <f>IF(AO693="5",BH693,0)</f>
        <v>0</v>
      </c>
      <c r="Z693" s="37">
        <f>IF(AO693="1",BF693,0)</f>
        <v>0</v>
      </c>
      <c r="AA693" s="37">
        <f>IF(AO693="1",BG693,0)</f>
        <v>0</v>
      </c>
      <c r="AB693" s="37">
        <f>IF(AO693="7",BF693,0)</f>
        <v>0</v>
      </c>
      <c r="AC693" s="37">
        <f>IF(AO693="7",BG693,0)</f>
        <v>0</v>
      </c>
      <c r="AD693" s="37">
        <f>IF(AO693="2",BF693,0)</f>
        <v>0</v>
      </c>
      <c r="AE693" s="37">
        <f>IF(AO693="2",BG693,0)</f>
        <v>0</v>
      </c>
      <c r="AF693" s="37">
        <f>IF(AO693="0",BH693,0)</f>
        <v>0</v>
      </c>
      <c r="AG693" s="23"/>
      <c r="AH693" s="37">
        <f>IF(AL693=0,H693,0)</f>
        <v>0</v>
      </c>
      <c r="AI693" s="37">
        <f>IF(AL693=15,H693,0)</f>
        <v>0</v>
      </c>
      <c r="AJ693" s="37">
        <f>IF(AL693=21,H693,0)</f>
        <v>0</v>
      </c>
      <c r="AL693" s="37">
        <v>21</v>
      </c>
      <c r="AM693" s="37">
        <f>G693*0.0541166666666667</f>
        <v>0</v>
      </c>
      <c r="AN693" s="37">
        <f>G693*(1-0.0541166666666667)</f>
        <v>0</v>
      </c>
      <c r="AO693" s="38" t="s">
        <v>136</v>
      </c>
      <c r="AT693" s="37">
        <f>AU693+AV693</f>
        <v>0</v>
      </c>
      <c r="AU693" s="37">
        <f>F693*AM693</f>
        <v>0</v>
      </c>
      <c r="AV693" s="37">
        <f>F693*AN693</f>
        <v>0</v>
      </c>
      <c r="AW693" s="38" t="s">
        <v>1131</v>
      </c>
      <c r="AX693" s="38" t="s">
        <v>1075</v>
      </c>
      <c r="AY693" s="23" t="s">
        <v>97</v>
      </c>
      <c r="BA693" s="37">
        <f>AU693+AV693</f>
        <v>0</v>
      </c>
      <c r="BB693" s="37">
        <f>G693/(100-BC693)*100</f>
        <v>0</v>
      </c>
      <c r="BC693" s="37">
        <v>0</v>
      </c>
      <c r="BD693" s="37">
        <f>J693</f>
        <v>0.36</v>
      </c>
      <c r="BF693" s="37">
        <f>F693*AM693</f>
        <v>0</v>
      </c>
      <c r="BG693" s="37">
        <f>F693*AN693</f>
        <v>0</v>
      </c>
      <c r="BH693" s="37">
        <f>F693*G693</f>
        <v>0</v>
      </c>
    </row>
    <row r="694" spans="1:11" ht="12.75">
      <c r="A694" s="50"/>
      <c r="B694" s="51"/>
      <c r="C694" s="51"/>
      <c r="D694" s="52" t="s">
        <v>1271</v>
      </c>
      <c r="E694" s="51"/>
      <c r="F694" s="53">
        <v>6</v>
      </c>
      <c r="G694" s="51"/>
      <c r="H694" s="51"/>
      <c r="I694" s="54"/>
      <c r="J694" s="54"/>
      <c r="K694" s="51"/>
    </row>
    <row r="695" spans="1:60" ht="38.25">
      <c r="A695" s="44" t="s">
        <v>1272</v>
      </c>
      <c r="B695" s="44"/>
      <c r="C695" s="44" t="s">
        <v>1273</v>
      </c>
      <c r="D695" s="45" t="s">
        <v>1274</v>
      </c>
      <c r="E695" s="44" t="s">
        <v>225</v>
      </c>
      <c r="F695" s="46">
        <v>43</v>
      </c>
      <c r="G695" s="423"/>
      <c r="H695" s="47">
        <f>F695*G695</f>
        <v>0</v>
      </c>
      <c r="I695" s="48">
        <v>0.066</v>
      </c>
      <c r="J695" s="48">
        <f>F695*I695</f>
        <v>2.838</v>
      </c>
      <c r="K695" s="49" t="s">
        <v>226</v>
      </c>
      <c r="X695" s="37">
        <f>IF(AO695="5",BH695,0)</f>
        <v>0</v>
      </c>
      <c r="Z695" s="37">
        <f>IF(AO695="1",BF695,0)</f>
        <v>0</v>
      </c>
      <c r="AA695" s="37">
        <f>IF(AO695="1",BG695,0)</f>
        <v>0</v>
      </c>
      <c r="AB695" s="37">
        <f>IF(AO695="7",BF695,0)</f>
        <v>0</v>
      </c>
      <c r="AC695" s="37">
        <f>IF(AO695="7",BG695,0)</f>
        <v>0</v>
      </c>
      <c r="AD695" s="37">
        <f>IF(AO695="2",BF695,0)</f>
        <v>0</v>
      </c>
      <c r="AE695" s="37">
        <f>IF(AO695="2",BG695,0)</f>
        <v>0</v>
      </c>
      <c r="AF695" s="37">
        <f>IF(AO695="0",BH695,0)</f>
        <v>0</v>
      </c>
      <c r="AG695" s="23"/>
      <c r="AH695" s="37">
        <f>IF(AL695=0,H695,0)</f>
        <v>0</v>
      </c>
      <c r="AI695" s="37">
        <f>IF(AL695=15,H695,0)</f>
        <v>0</v>
      </c>
      <c r="AJ695" s="37">
        <f>IF(AL695=21,H695,0)</f>
        <v>0</v>
      </c>
      <c r="AL695" s="37">
        <v>21</v>
      </c>
      <c r="AM695" s="37">
        <f>G695*0.0541173333333333</f>
        <v>0</v>
      </c>
      <c r="AN695" s="37">
        <f>G695*(1-0.0541173333333333)</f>
        <v>0</v>
      </c>
      <c r="AO695" s="38" t="s">
        <v>136</v>
      </c>
      <c r="AT695" s="37">
        <f>AU695+AV695</f>
        <v>0</v>
      </c>
      <c r="AU695" s="37">
        <f>F695*AM695</f>
        <v>0</v>
      </c>
      <c r="AV695" s="37">
        <f>F695*AN695</f>
        <v>0</v>
      </c>
      <c r="AW695" s="38" t="s">
        <v>1131</v>
      </c>
      <c r="AX695" s="38" t="s">
        <v>1075</v>
      </c>
      <c r="AY695" s="23" t="s">
        <v>97</v>
      </c>
      <c r="BA695" s="37">
        <f>AU695+AV695</f>
        <v>0</v>
      </c>
      <c r="BB695" s="37">
        <f>G695/(100-BC695)*100</f>
        <v>0</v>
      </c>
      <c r="BC695" s="37">
        <v>0</v>
      </c>
      <c r="BD695" s="37">
        <f>J695</f>
        <v>2.838</v>
      </c>
      <c r="BF695" s="37">
        <f>F695*AM695</f>
        <v>0</v>
      </c>
      <c r="BG695" s="37">
        <f>F695*AN695</f>
        <v>0</v>
      </c>
      <c r="BH695" s="37">
        <f>F695*G695</f>
        <v>0</v>
      </c>
    </row>
    <row r="696" spans="1:11" ht="12.75">
      <c r="A696" s="50"/>
      <c r="B696" s="51"/>
      <c r="C696" s="51"/>
      <c r="D696" s="52" t="s">
        <v>1275</v>
      </c>
      <c r="E696" s="51"/>
      <c r="F696" s="53">
        <v>43</v>
      </c>
      <c r="G696" s="51"/>
      <c r="H696" s="51"/>
      <c r="I696" s="54"/>
      <c r="J696" s="54"/>
      <c r="K696" s="51"/>
    </row>
    <row r="697" spans="1:60" ht="25.5">
      <c r="A697" s="44" t="s">
        <v>1276</v>
      </c>
      <c r="B697" s="44"/>
      <c r="C697" s="44" t="s">
        <v>1277</v>
      </c>
      <c r="D697" s="45" t="s">
        <v>1278</v>
      </c>
      <c r="E697" s="44" t="s">
        <v>225</v>
      </c>
      <c r="F697" s="46">
        <v>11</v>
      </c>
      <c r="G697" s="423"/>
      <c r="H697" s="47">
        <f>F697*G697</f>
        <v>0</v>
      </c>
      <c r="I697" s="48">
        <v>0.088</v>
      </c>
      <c r="J697" s="48">
        <f>F697*I697</f>
        <v>0.968</v>
      </c>
      <c r="K697" s="49" t="s">
        <v>226</v>
      </c>
      <c r="X697" s="37">
        <f>IF(AO697="5",BH697,0)</f>
        <v>0</v>
      </c>
      <c r="Z697" s="37">
        <f>IF(AO697="1",BF697,0)</f>
        <v>0</v>
      </c>
      <c r="AA697" s="37">
        <f>IF(AO697="1",BG697,0)</f>
        <v>0</v>
      </c>
      <c r="AB697" s="37">
        <f>IF(AO697="7",BF697,0)</f>
        <v>0</v>
      </c>
      <c r="AC697" s="37">
        <f>IF(AO697="7",BG697,0)</f>
        <v>0</v>
      </c>
      <c r="AD697" s="37">
        <f>IF(AO697="2",BF697,0)</f>
        <v>0</v>
      </c>
      <c r="AE697" s="37">
        <f>IF(AO697="2",BG697,0)</f>
        <v>0</v>
      </c>
      <c r="AF697" s="37">
        <f>IF(AO697="0",BH697,0)</f>
        <v>0</v>
      </c>
      <c r="AG697" s="23"/>
      <c r="AH697" s="37">
        <f>IF(AL697=0,H697,0)</f>
        <v>0</v>
      </c>
      <c r="AI697" s="37">
        <f>IF(AL697=15,H697,0)</f>
        <v>0</v>
      </c>
      <c r="AJ697" s="37">
        <f>IF(AL697=21,H697,0)</f>
        <v>0</v>
      </c>
      <c r="AL697" s="37">
        <v>21</v>
      </c>
      <c r="AM697" s="37">
        <f>G697*0.054117</f>
        <v>0</v>
      </c>
      <c r="AN697" s="37">
        <f>G697*(1-0.054117)</f>
        <v>0</v>
      </c>
      <c r="AO697" s="38" t="s">
        <v>136</v>
      </c>
      <c r="AT697" s="37">
        <f>AU697+AV697</f>
        <v>0</v>
      </c>
      <c r="AU697" s="37">
        <f>F697*AM697</f>
        <v>0</v>
      </c>
      <c r="AV697" s="37">
        <f>F697*AN697</f>
        <v>0</v>
      </c>
      <c r="AW697" s="38" t="s">
        <v>1131</v>
      </c>
      <c r="AX697" s="38" t="s">
        <v>1075</v>
      </c>
      <c r="AY697" s="23" t="s">
        <v>97</v>
      </c>
      <c r="BA697" s="37">
        <f>AU697+AV697</f>
        <v>0</v>
      </c>
      <c r="BB697" s="37">
        <f>G697/(100-BC697)*100</f>
        <v>0</v>
      </c>
      <c r="BC697" s="37">
        <v>0</v>
      </c>
      <c r="BD697" s="37">
        <f>J697</f>
        <v>0.968</v>
      </c>
      <c r="BF697" s="37">
        <f>F697*AM697</f>
        <v>0</v>
      </c>
      <c r="BG697" s="37">
        <f>F697*AN697</f>
        <v>0</v>
      </c>
      <c r="BH697" s="37">
        <f>F697*G697</f>
        <v>0</v>
      </c>
    </row>
    <row r="698" spans="1:11" ht="12.75">
      <c r="A698" s="50"/>
      <c r="B698" s="51"/>
      <c r="C698" s="51"/>
      <c r="D698" s="52" t="s">
        <v>1279</v>
      </c>
      <c r="E698" s="51"/>
      <c r="F698" s="53">
        <v>11</v>
      </c>
      <c r="G698" s="51"/>
      <c r="H698" s="51"/>
      <c r="I698" s="54"/>
      <c r="J698" s="54"/>
      <c r="K698" s="51"/>
    </row>
    <row r="699" spans="1:60" ht="25.5">
      <c r="A699" s="44" t="s">
        <v>1280</v>
      </c>
      <c r="B699" s="44"/>
      <c r="C699" s="44" t="s">
        <v>1281</v>
      </c>
      <c r="D699" s="45" t="s">
        <v>1282</v>
      </c>
      <c r="E699" s="44" t="s">
        <v>225</v>
      </c>
      <c r="F699" s="46">
        <v>1</v>
      </c>
      <c r="G699" s="423"/>
      <c r="H699" s="47">
        <f>F699*G699</f>
        <v>0</v>
      </c>
      <c r="I699" s="48">
        <v>0.07</v>
      </c>
      <c r="J699" s="48">
        <f>F699*I699</f>
        <v>0.07</v>
      </c>
      <c r="K699" s="49" t="s">
        <v>226</v>
      </c>
      <c r="X699" s="37">
        <f>IF(AO699="5",BH699,0)</f>
        <v>0</v>
      </c>
      <c r="Z699" s="37">
        <f>IF(AO699="1",BF699,0)</f>
        <v>0</v>
      </c>
      <c r="AA699" s="37">
        <f>IF(AO699="1",BG699,0)</f>
        <v>0</v>
      </c>
      <c r="AB699" s="37">
        <f>IF(AO699="7",BF699,0)</f>
        <v>0</v>
      </c>
      <c r="AC699" s="37">
        <f>IF(AO699="7",BG699,0)</f>
        <v>0</v>
      </c>
      <c r="AD699" s="37">
        <f>IF(AO699="2",BF699,0)</f>
        <v>0</v>
      </c>
      <c r="AE699" s="37">
        <f>IF(AO699="2",BG699,0)</f>
        <v>0</v>
      </c>
      <c r="AF699" s="37">
        <f>IF(AO699="0",BH699,0)</f>
        <v>0</v>
      </c>
      <c r="AG699" s="23"/>
      <c r="AH699" s="37">
        <f>IF(AL699=0,H699,0)</f>
        <v>0</v>
      </c>
      <c r="AI699" s="37">
        <f>IF(AL699=15,H699,0)</f>
        <v>0</v>
      </c>
      <c r="AJ699" s="37">
        <f>IF(AL699=21,H699,0)</f>
        <v>0</v>
      </c>
      <c r="AL699" s="37">
        <v>21</v>
      </c>
      <c r="AM699" s="37">
        <f>G699*0.7947</f>
        <v>0</v>
      </c>
      <c r="AN699" s="37">
        <f>G699*(1-0.7947)</f>
        <v>0</v>
      </c>
      <c r="AO699" s="38" t="s">
        <v>136</v>
      </c>
      <c r="AT699" s="37">
        <f>AU699+AV699</f>
        <v>0</v>
      </c>
      <c r="AU699" s="37">
        <f>F699*AM699</f>
        <v>0</v>
      </c>
      <c r="AV699" s="37">
        <f>F699*AN699</f>
        <v>0</v>
      </c>
      <c r="AW699" s="38" t="s">
        <v>1131</v>
      </c>
      <c r="AX699" s="38" t="s">
        <v>1075</v>
      </c>
      <c r="AY699" s="23" t="s">
        <v>97</v>
      </c>
      <c r="BA699" s="37">
        <f>AU699+AV699</f>
        <v>0</v>
      </c>
      <c r="BB699" s="37">
        <f>G699/(100-BC699)*100</f>
        <v>0</v>
      </c>
      <c r="BC699" s="37">
        <v>0</v>
      </c>
      <c r="BD699" s="37">
        <f>J699</f>
        <v>0.07</v>
      </c>
      <c r="BF699" s="37">
        <f>F699*AM699</f>
        <v>0</v>
      </c>
      <c r="BG699" s="37">
        <f>F699*AN699</f>
        <v>0</v>
      </c>
      <c r="BH699" s="37">
        <f>F699*G699</f>
        <v>0</v>
      </c>
    </row>
    <row r="700" spans="1:11" ht="12.75">
      <c r="A700" s="50"/>
      <c r="B700" s="51"/>
      <c r="C700" s="51"/>
      <c r="D700" s="52" t="s">
        <v>1283</v>
      </c>
      <c r="E700" s="51"/>
      <c r="F700" s="53">
        <v>1</v>
      </c>
      <c r="G700" s="51"/>
      <c r="H700" s="51"/>
      <c r="I700" s="54"/>
      <c r="J700" s="54"/>
      <c r="K700" s="51"/>
    </row>
    <row r="701" spans="1:60" ht="25.5">
      <c r="A701" s="44" t="s">
        <v>1284</v>
      </c>
      <c r="B701" s="44"/>
      <c r="C701" s="44" t="s">
        <v>1285</v>
      </c>
      <c r="D701" s="45" t="s">
        <v>1286</v>
      </c>
      <c r="E701" s="44" t="s">
        <v>469</v>
      </c>
      <c r="F701" s="46">
        <v>1</v>
      </c>
      <c r="G701" s="423"/>
      <c r="H701" s="47">
        <f>F701*G701</f>
        <v>0</v>
      </c>
      <c r="I701" s="48">
        <v>0.12</v>
      </c>
      <c r="J701" s="48">
        <f>F701*I701</f>
        <v>0.12</v>
      </c>
      <c r="K701" s="49" t="s">
        <v>226</v>
      </c>
      <c r="X701" s="37">
        <f>IF(AO701="5",BH701,0)</f>
        <v>0</v>
      </c>
      <c r="Z701" s="37">
        <f>IF(AO701="1",BF701,0)</f>
        <v>0</v>
      </c>
      <c r="AA701" s="37">
        <f>IF(AO701="1",BG701,0)</f>
        <v>0</v>
      </c>
      <c r="AB701" s="37">
        <f>IF(AO701="7",BF701,0)</f>
        <v>0</v>
      </c>
      <c r="AC701" s="37">
        <f>IF(AO701="7",BG701,0)</f>
        <v>0</v>
      </c>
      <c r="AD701" s="37">
        <f>IF(AO701="2",BF701,0)</f>
        <v>0</v>
      </c>
      <c r="AE701" s="37">
        <f>IF(AO701="2",BG701,0)</f>
        <v>0</v>
      </c>
      <c r="AF701" s="37">
        <f>IF(AO701="0",BH701,0)</f>
        <v>0</v>
      </c>
      <c r="AG701" s="23"/>
      <c r="AH701" s="37">
        <f>IF(AL701=0,H701,0)</f>
        <v>0</v>
      </c>
      <c r="AI701" s="37">
        <f>IF(AL701=15,H701,0)</f>
        <v>0</v>
      </c>
      <c r="AJ701" s="37">
        <f>IF(AL701=21,H701,0)</f>
        <v>0</v>
      </c>
      <c r="AL701" s="37">
        <v>21</v>
      </c>
      <c r="AM701" s="37">
        <f>G701*0.0541165714285714</f>
        <v>0</v>
      </c>
      <c r="AN701" s="37">
        <f>G701*(1-0.0541165714285714)</f>
        <v>0</v>
      </c>
      <c r="AO701" s="38" t="s">
        <v>136</v>
      </c>
      <c r="AT701" s="37">
        <f>AU701+AV701</f>
        <v>0</v>
      </c>
      <c r="AU701" s="37">
        <f>F701*AM701</f>
        <v>0</v>
      </c>
      <c r="AV701" s="37">
        <f>F701*AN701</f>
        <v>0</v>
      </c>
      <c r="AW701" s="38" t="s">
        <v>1131</v>
      </c>
      <c r="AX701" s="38" t="s">
        <v>1075</v>
      </c>
      <c r="AY701" s="23" t="s">
        <v>97</v>
      </c>
      <c r="BA701" s="37">
        <f>AU701+AV701</f>
        <v>0</v>
      </c>
      <c r="BB701" s="37">
        <f>G701/(100-BC701)*100</f>
        <v>0</v>
      </c>
      <c r="BC701" s="37">
        <v>0</v>
      </c>
      <c r="BD701" s="37">
        <f>J701</f>
        <v>0.12</v>
      </c>
      <c r="BF701" s="37">
        <f>F701*AM701</f>
        <v>0</v>
      </c>
      <c r="BG701" s="37">
        <f>F701*AN701</f>
        <v>0</v>
      </c>
      <c r="BH701" s="37">
        <f>F701*G701</f>
        <v>0</v>
      </c>
    </row>
    <row r="702" spans="1:11" ht="12.75">
      <c r="A702" s="50"/>
      <c r="B702" s="51"/>
      <c r="C702" s="51"/>
      <c r="D702" s="52" t="s">
        <v>1287</v>
      </c>
      <c r="E702" s="51"/>
      <c r="F702" s="53">
        <v>1</v>
      </c>
      <c r="G702" s="51"/>
      <c r="H702" s="51"/>
      <c r="I702" s="54"/>
      <c r="J702" s="54"/>
      <c r="K702" s="51"/>
    </row>
    <row r="703" spans="1:60" ht="25.5">
      <c r="A703" s="44" t="s">
        <v>1288</v>
      </c>
      <c r="B703" s="44"/>
      <c r="C703" s="44" t="s">
        <v>1289</v>
      </c>
      <c r="D703" s="45" t="s">
        <v>1290</v>
      </c>
      <c r="E703" s="44" t="s">
        <v>469</v>
      </c>
      <c r="F703" s="46">
        <v>1</v>
      </c>
      <c r="G703" s="423"/>
      <c r="H703" s="47">
        <f>F703*G703</f>
        <v>0</v>
      </c>
      <c r="I703" s="48">
        <v>0.15</v>
      </c>
      <c r="J703" s="48">
        <f>F703*I703</f>
        <v>0.15</v>
      </c>
      <c r="K703" s="49" t="s">
        <v>226</v>
      </c>
      <c r="X703" s="37">
        <f>IF(AO703="5",BH703,0)</f>
        <v>0</v>
      </c>
      <c r="Z703" s="37">
        <f>IF(AO703="1",BF703,0)</f>
        <v>0</v>
      </c>
      <c r="AA703" s="37">
        <f>IF(AO703="1",BG703,0)</f>
        <v>0</v>
      </c>
      <c r="AB703" s="37">
        <f>IF(AO703="7",BF703,0)</f>
        <v>0</v>
      </c>
      <c r="AC703" s="37">
        <f>IF(AO703="7",BG703,0)</f>
        <v>0</v>
      </c>
      <c r="AD703" s="37">
        <f>IF(AO703="2",BF703,0)</f>
        <v>0</v>
      </c>
      <c r="AE703" s="37">
        <f>IF(AO703="2",BG703,0)</f>
        <v>0</v>
      </c>
      <c r="AF703" s="37">
        <f>IF(AO703="0",BH703,0)</f>
        <v>0</v>
      </c>
      <c r="AG703" s="23"/>
      <c r="AH703" s="37">
        <f>IF(AL703=0,H703,0)</f>
        <v>0</v>
      </c>
      <c r="AI703" s="37">
        <f>IF(AL703=15,H703,0)</f>
        <v>0</v>
      </c>
      <c r="AJ703" s="37">
        <f>IF(AL703=21,H703,0)</f>
        <v>0</v>
      </c>
      <c r="AL703" s="37">
        <v>21</v>
      </c>
      <c r="AM703" s="37">
        <f>G703*0.0541166129032258</f>
        <v>0</v>
      </c>
      <c r="AN703" s="37">
        <f>G703*(1-0.0541166129032258)</f>
        <v>0</v>
      </c>
      <c r="AO703" s="38" t="s">
        <v>136</v>
      </c>
      <c r="AT703" s="37">
        <f>AU703+AV703</f>
        <v>0</v>
      </c>
      <c r="AU703" s="37">
        <f>F703*AM703</f>
        <v>0</v>
      </c>
      <c r="AV703" s="37">
        <f>F703*AN703</f>
        <v>0</v>
      </c>
      <c r="AW703" s="38" t="s">
        <v>1131</v>
      </c>
      <c r="AX703" s="38" t="s">
        <v>1075</v>
      </c>
      <c r="AY703" s="23" t="s">
        <v>97</v>
      </c>
      <c r="BA703" s="37">
        <f>AU703+AV703</f>
        <v>0</v>
      </c>
      <c r="BB703" s="37">
        <f>G703/(100-BC703)*100</f>
        <v>0</v>
      </c>
      <c r="BC703" s="37">
        <v>0</v>
      </c>
      <c r="BD703" s="37">
        <f>J703</f>
        <v>0.15</v>
      </c>
      <c r="BF703" s="37">
        <f>F703*AM703</f>
        <v>0</v>
      </c>
      <c r="BG703" s="37">
        <f>F703*AN703</f>
        <v>0</v>
      </c>
      <c r="BH703" s="37">
        <f>F703*G703</f>
        <v>0</v>
      </c>
    </row>
    <row r="704" spans="1:11" ht="12.75">
      <c r="A704" s="50"/>
      <c r="B704" s="51"/>
      <c r="C704" s="51"/>
      <c r="D704" s="52" t="s">
        <v>1291</v>
      </c>
      <c r="E704" s="51"/>
      <c r="F704" s="53">
        <v>1</v>
      </c>
      <c r="G704" s="51"/>
      <c r="H704" s="51"/>
      <c r="I704" s="54"/>
      <c r="J704" s="54"/>
      <c r="K704" s="51"/>
    </row>
    <row r="705" spans="1:60" ht="12.75">
      <c r="A705" s="44" t="s">
        <v>1292</v>
      </c>
      <c r="B705" s="44"/>
      <c r="C705" s="44" t="s">
        <v>1293</v>
      </c>
      <c r="D705" s="45" t="s">
        <v>1294</v>
      </c>
      <c r="E705" s="44" t="s">
        <v>225</v>
      </c>
      <c r="F705" s="46">
        <v>3</v>
      </c>
      <c r="G705" s="423"/>
      <c r="H705" s="47">
        <f>F705*G705</f>
        <v>0</v>
      </c>
      <c r="I705" s="48">
        <v>0.025</v>
      </c>
      <c r="J705" s="48">
        <f>F705*I705</f>
        <v>0.07500000000000001</v>
      </c>
      <c r="K705" s="49" t="s">
        <v>226</v>
      </c>
      <c r="X705" s="37">
        <f>IF(AO705="5",BH705,0)</f>
        <v>0</v>
      </c>
      <c r="Z705" s="37">
        <f>IF(AO705="1",BF705,0)</f>
        <v>0</v>
      </c>
      <c r="AA705" s="37">
        <f>IF(AO705="1",BG705,0)</f>
        <v>0</v>
      </c>
      <c r="AB705" s="37">
        <f>IF(AO705="7",BF705,0)</f>
        <v>0</v>
      </c>
      <c r="AC705" s="37">
        <f>IF(AO705="7",BG705,0)</f>
        <v>0</v>
      </c>
      <c r="AD705" s="37">
        <f>IF(AO705="2",BF705,0)</f>
        <v>0</v>
      </c>
      <c r="AE705" s="37">
        <f>IF(AO705="2",BG705,0)</f>
        <v>0</v>
      </c>
      <c r="AF705" s="37">
        <f>IF(AO705="0",BH705,0)</f>
        <v>0</v>
      </c>
      <c r="AG705" s="23"/>
      <c r="AH705" s="37">
        <f>IF(AL705=0,H705,0)</f>
        <v>0</v>
      </c>
      <c r="AI705" s="37">
        <f>IF(AL705=15,H705,0)</f>
        <v>0</v>
      </c>
      <c r="AJ705" s="37">
        <f>IF(AL705=21,H705,0)</f>
        <v>0</v>
      </c>
      <c r="AL705" s="37">
        <v>21</v>
      </c>
      <c r="AM705" s="37">
        <f>G705*0.794698940998487</f>
        <v>0</v>
      </c>
      <c r="AN705" s="37">
        <f>G705*(1-0.794698940998487)</f>
        <v>0</v>
      </c>
      <c r="AO705" s="38" t="s">
        <v>136</v>
      </c>
      <c r="AT705" s="37">
        <f>AU705+AV705</f>
        <v>0</v>
      </c>
      <c r="AU705" s="37">
        <f>F705*AM705</f>
        <v>0</v>
      </c>
      <c r="AV705" s="37">
        <f>F705*AN705</f>
        <v>0</v>
      </c>
      <c r="AW705" s="38" t="s">
        <v>1131</v>
      </c>
      <c r="AX705" s="38" t="s">
        <v>1075</v>
      </c>
      <c r="AY705" s="23" t="s">
        <v>97</v>
      </c>
      <c r="BA705" s="37">
        <f>AU705+AV705</f>
        <v>0</v>
      </c>
      <c r="BB705" s="37">
        <f>G705/(100-BC705)*100</f>
        <v>0</v>
      </c>
      <c r="BC705" s="37">
        <v>0</v>
      </c>
      <c r="BD705" s="37">
        <f>J705</f>
        <v>0.07500000000000001</v>
      </c>
      <c r="BF705" s="37">
        <f>F705*AM705</f>
        <v>0</v>
      </c>
      <c r="BG705" s="37">
        <f>F705*AN705</f>
        <v>0</v>
      </c>
      <c r="BH705" s="37">
        <f>F705*G705</f>
        <v>0</v>
      </c>
    </row>
    <row r="706" spans="1:11" ht="12.75">
      <c r="A706" s="50"/>
      <c r="B706" s="51"/>
      <c r="C706" s="51"/>
      <c r="D706" s="52" t="s">
        <v>1295</v>
      </c>
      <c r="E706" s="51"/>
      <c r="F706" s="53">
        <v>3</v>
      </c>
      <c r="G706" s="51"/>
      <c r="H706" s="51"/>
      <c r="I706" s="54"/>
      <c r="J706" s="54"/>
      <c r="K706" s="51"/>
    </row>
    <row r="707" spans="1:60" ht="38.25">
      <c r="A707" s="44" t="s">
        <v>1296</v>
      </c>
      <c r="B707" s="44"/>
      <c r="C707" s="44" t="s">
        <v>1297</v>
      </c>
      <c r="D707" s="45" t="s">
        <v>1298</v>
      </c>
      <c r="E707" s="44" t="s">
        <v>469</v>
      </c>
      <c r="F707" s="46">
        <v>4</v>
      </c>
      <c r="G707" s="423"/>
      <c r="H707" s="47">
        <f>F707*G707</f>
        <v>0</v>
      </c>
      <c r="I707" s="48">
        <v>0.07</v>
      </c>
      <c r="J707" s="48">
        <f>F707*I707</f>
        <v>0.28</v>
      </c>
      <c r="K707" s="49" t="s">
        <v>226</v>
      </c>
      <c r="X707" s="37">
        <f>IF(AO707="5",BH707,0)</f>
        <v>0</v>
      </c>
      <c r="Z707" s="37">
        <f>IF(AO707="1",BF707,0)</f>
        <v>0</v>
      </c>
      <c r="AA707" s="37">
        <f>IF(AO707="1",BG707,0)</f>
        <v>0</v>
      </c>
      <c r="AB707" s="37">
        <f>IF(AO707="7",BF707,0)</f>
        <v>0</v>
      </c>
      <c r="AC707" s="37">
        <f>IF(AO707="7",BG707,0)</f>
        <v>0</v>
      </c>
      <c r="AD707" s="37">
        <f>IF(AO707="2",BF707,0)</f>
        <v>0</v>
      </c>
      <c r="AE707" s="37">
        <f>IF(AO707="2",BG707,0)</f>
        <v>0</v>
      </c>
      <c r="AF707" s="37">
        <f>IF(AO707="0",BH707,0)</f>
        <v>0</v>
      </c>
      <c r="AG707" s="23"/>
      <c r="AH707" s="37">
        <f>IF(AL707=0,H707,0)</f>
        <v>0</v>
      </c>
      <c r="AI707" s="37">
        <f>IF(AL707=15,H707,0)</f>
        <v>0</v>
      </c>
      <c r="AJ707" s="37">
        <f>IF(AL707=21,H707,0)</f>
        <v>0</v>
      </c>
      <c r="AL707" s="37">
        <v>21</v>
      </c>
      <c r="AM707" s="37">
        <f>G707*0.0541171428571429</f>
        <v>0</v>
      </c>
      <c r="AN707" s="37">
        <f>G707*(1-0.0541171428571429)</f>
        <v>0</v>
      </c>
      <c r="AO707" s="38" t="s">
        <v>136</v>
      </c>
      <c r="AT707" s="37">
        <f>AU707+AV707</f>
        <v>0</v>
      </c>
      <c r="AU707" s="37">
        <f>F707*AM707</f>
        <v>0</v>
      </c>
      <c r="AV707" s="37">
        <f>F707*AN707</f>
        <v>0</v>
      </c>
      <c r="AW707" s="38" t="s">
        <v>1131</v>
      </c>
      <c r="AX707" s="38" t="s">
        <v>1075</v>
      </c>
      <c r="AY707" s="23" t="s">
        <v>97</v>
      </c>
      <c r="BA707" s="37">
        <f>AU707+AV707</f>
        <v>0</v>
      </c>
      <c r="BB707" s="37">
        <f>G707/(100-BC707)*100</f>
        <v>0</v>
      </c>
      <c r="BC707" s="37">
        <v>0</v>
      </c>
      <c r="BD707" s="37">
        <f>J707</f>
        <v>0.28</v>
      </c>
      <c r="BF707" s="37">
        <f>F707*AM707</f>
        <v>0</v>
      </c>
      <c r="BG707" s="37">
        <f>F707*AN707</f>
        <v>0</v>
      </c>
      <c r="BH707" s="37">
        <f>F707*G707</f>
        <v>0</v>
      </c>
    </row>
    <row r="708" spans="1:11" ht="12.75">
      <c r="A708" s="50"/>
      <c r="B708" s="51"/>
      <c r="C708" s="51"/>
      <c r="D708" s="52" t="s">
        <v>1299</v>
      </c>
      <c r="E708" s="51"/>
      <c r="F708" s="53">
        <v>4</v>
      </c>
      <c r="G708" s="51"/>
      <c r="H708" s="51"/>
      <c r="I708" s="54"/>
      <c r="J708" s="54"/>
      <c r="K708" s="51"/>
    </row>
    <row r="709" spans="1:60" ht="25.5">
      <c r="A709" s="44" t="s">
        <v>1300</v>
      </c>
      <c r="B709" s="44"/>
      <c r="C709" s="44" t="s">
        <v>1301</v>
      </c>
      <c r="D709" s="45" t="s">
        <v>1302</v>
      </c>
      <c r="E709" s="44" t="s">
        <v>225</v>
      </c>
      <c r="F709" s="46">
        <v>3</v>
      </c>
      <c r="G709" s="423"/>
      <c r="H709" s="47">
        <f>F709*G709</f>
        <v>0</v>
      </c>
      <c r="I709" s="48">
        <v>0.06</v>
      </c>
      <c r="J709" s="48">
        <f>F709*I709</f>
        <v>0.18</v>
      </c>
      <c r="K709" s="49" t="s">
        <v>226</v>
      </c>
      <c r="X709" s="37">
        <f>IF(AO709="5",BH709,0)</f>
        <v>0</v>
      </c>
      <c r="Z709" s="37">
        <f>IF(AO709="1",BF709,0)</f>
        <v>0</v>
      </c>
      <c r="AA709" s="37">
        <f>IF(AO709="1",BG709,0)</f>
        <v>0</v>
      </c>
      <c r="AB709" s="37">
        <f>IF(AO709="7",BF709,0)</f>
        <v>0</v>
      </c>
      <c r="AC709" s="37">
        <f>IF(AO709="7",BG709,0)</f>
        <v>0</v>
      </c>
      <c r="AD709" s="37">
        <f>IF(AO709="2",BF709,0)</f>
        <v>0</v>
      </c>
      <c r="AE709" s="37">
        <f>IF(AO709="2",BG709,0)</f>
        <v>0</v>
      </c>
      <c r="AF709" s="37">
        <f>IF(AO709="0",BH709,0)</f>
        <v>0</v>
      </c>
      <c r="AG709" s="23"/>
      <c r="AH709" s="37">
        <f>IF(AL709=0,H709,0)</f>
        <v>0</v>
      </c>
      <c r="AI709" s="37">
        <f>IF(AL709=15,H709,0)</f>
        <v>0</v>
      </c>
      <c r="AJ709" s="37">
        <f>IF(AL709=21,H709,0)</f>
        <v>0</v>
      </c>
      <c r="AL709" s="37">
        <v>21</v>
      </c>
      <c r="AM709" s="37">
        <f>G709*0.794698943661972</f>
        <v>0</v>
      </c>
      <c r="AN709" s="37">
        <f>G709*(1-0.794698943661972)</f>
        <v>0</v>
      </c>
      <c r="AO709" s="38" t="s">
        <v>136</v>
      </c>
      <c r="AT709" s="37">
        <f>AU709+AV709</f>
        <v>0</v>
      </c>
      <c r="AU709" s="37">
        <f>F709*AM709</f>
        <v>0</v>
      </c>
      <c r="AV709" s="37">
        <f>F709*AN709</f>
        <v>0</v>
      </c>
      <c r="AW709" s="38" t="s">
        <v>1131</v>
      </c>
      <c r="AX709" s="38" t="s">
        <v>1075</v>
      </c>
      <c r="AY709" s="23" t="s">
        <v>97</v>
      </c>
      <c r="BA709" s="37">
        <f>AU709+AV709</f>
        <v>0</v>
      </c>
      <c r="BB709" s="37">
        <f>G709/(100-BC709)*100</f>
        <v>0</v>
      </c>
      <c r="BC709" s="37">
        <v>0</v>
      </c>
      <c r="BD709" s="37">
        <f>J709</f>
        <v>0.18</v>
      </c>
      <c r="BF709" s="37">
        <f>F709*AM709</f>
        <v>0</v>
      </c>
      <c r="BG709" s="37">
        <f>F709*AN709</f>
        <v>0</v>
      </c>
      <c r="BH709" s="37">
        <f>F709*G709</f>
        <v>0</v>
      </c>
    </row>
    <row r="710" spans="1:11" ht="12.75">
      <c r="A710" s="50"/>
      <c r="B710" s="51"/>
      <c r="C710" s="51"/>
      <c r="D710" s="52" t="s">
        <v>1303</v>
      </c>
      <c r="E710" s="51"/>
      <c r="F710" s="53">
        <v>3</v>
      </c>
      <c r="G710" s="51"/>
      <c r="H710" s="51"/>
      <c r="I710" s="54"/>
      <c r="J710" s="54"/>
      <c r="K710" s="51"/>
    </row>
    <row r="711" spans="1:60" ht="25.5">
      <c r="A711" s="44" t="s">
        <v>1304</v>
      </c>
      <c r="B711" s="44"/>
      <c r="C711" s="44" t="s">
        <v>1305</v>
      </c>
      <c r="D711" s="45" t="s">
        <v>1306</v>
      </c>
      <c r="E711" s="44" t="s">
        <v>225</v>
      </c>
      <c r="F711" s="46">
        <v>3</v>
      </c>
      <c r="G711" s="423"/>
      <c r="H711" s="47">
        <f>F711*G711</f>
        <v>0</v>
      </c>
      <c r="I711" s="48">
        <v>0.06</v>
      </c>
      <c r="J711" s="48">
        <f>F711*I711</f>
        <v>0.18</v>
      </c>
      <c r="K711" s="49" t="s">
        <v>226</v>
      </c>
      <c r="X711" s="37">
        <f>IF(AO711="5",BH711,0)</f>
        <v>0</v>
      </c>
      <c r="Z711" s="37">
        <f>IF(AO711="1",BF711,0)</f>
        <v>0</v>
      </c>
      <c r="AA711" s="37">
        <f>IF(AO711="1",BG711,0)</f>
        <v>0</v>
      </c>
      <c r="AB711" s="37">
        <f>IF(AO711="7",BF711,0)</f>
        <v>0</v>
      </c>
      <c r="AC711" s="37">
        <f>IF(AO711="7",BG711,0)</f>
        <v>0</v>
      </c>
      <c r="AD711" s="37">
        <f>IF(AO711="2",BF711,0)</f>
        <v>0</v>
      </c>
      <c r="AE711" s="37">
        <f>IF(AO711="2",BG711,0)</f>
        <v>0</v>
      </c>
      <c r="AF711" s="37">
        <f>IF(AO711="0",BH711,0)</f>
        <v>0</v>
      </c>
      <c r="AG711" s="23"/>
      <c r="AH711" s="37">
        <f>IF(AL711=0,H711,0)</f>
        <v>0</v>
      </c>
      <c r="AI711" s="37">
        <f>IF(AL711=15,H711,0)</f>
        <v>0</v>
      </c>
      <c r="AJ711" s="37">
        <f>IF(AL711=21,H711,0)</f>
        <v>0</v>
      </c>
      <c r="AL711" s="37">
        <v>21</v>
      </c>
      <c r="AM711" s="37">
        <f>G711*0.79469918699187</f>
        <v>0</v>
      </c>
      <c r="AN711" s="37">
        <f>G711*(1-0.79469918699187)</f>
        <v>0</v>
      </c>
      <c r="AO711" s="38" t="s">
        <v>136</v>
      </c>
      <c r="AT711" s="37">
        <f>AU711+AV711</f>
        <v>0</v>
      </c>
      <c r="AU711" s="37">
        <f>F711*AM711</f>
        <v>0</v>
      </c>
      <c r="AV711" s="37">
        <f>F711*AN711</f>
        <v>0</v>
      </c>
      <c r="AW711" s="38" t="s">
        <v>1131</v>
      </c>
      <c r="AX711" s="38" t="s">
        <v>1075</v>
      </c>
      <c r="AY711" s="23" t="s">
        <v>97</v>
      </c>
      <c r="BA711" s="37">
        <f>AU711+AV711</f>
        <v>0</v>
      </c>
      <c r="BB711" s="37">
        <f>G711/(100-BC711)*100</f>
        <v>0</v>
      </c>
      <c r="BC711" s="37">
        <v>0</v>
      </c>
      <c r="BD711" s="37">
        <f>J711</f>
        <v>0.18</v>
      </c>
      <c r="BF711" s="37">
        <f>F711*AM711</f>
        <v>0</v>
      </c>
      <c r="BG711" s="37">
        <f>F711*AN711</f>
        <v>0</v>
      </c>
      <c r="BH711" s="37">
        <f>F711*G711</f>
        <v>0</v>
      </c>
    </row>
    <row r="712" spans="1:11" ht="12.75">
      <c r="A712" s="50"/>
      <c r="B712" s="51"/>
      <c r="C712" s="51"/>
      <c r="D712" s="52" t="s">
        <v>1307</v>
      </c>
      <c r="E712" s="51"/>
      <c r="F712" s="53">
        <v>3</v>
      </c>
      <c r="G712" s="51"/>
      <c r="H712" s="51"/>
      <c r="I712" s="54"/>
      <c r="J712" s="54"/>
      <c r="K712" s="51"/>
    </row>
    <row r="713" spans="1:60" ht="25.5">
      <c r="A713" s="44" t="s">
        <v>1308</v>
      </c>
      <c r="B713" s="44"/>
      <c r="C713" s="44" t="s">
        <v>1309</v>
      </c>
      <c r="D713" s="45" t="s">
        <v>1310</v>
      </c>
      <c r="E713" s="44" t="s">
        <v>225</v>
      </c>
      <c r="F713" s="46">
        <v>1</v>
      </c>
      <c r="G713" s="423"/>
      <c r="H713" s="47">
        <f>F713*G713</f>
        <v>0</v>
      </c>
      <c r="I713" s="48">
        <v>0.06</v>
      </c>
      <c r="J713" s="48">
        <f>F713*I713</f>
        <v>0.06</v>
      </c>
      <c r="K713" s="49" t="s">
        <v>226</v>
      </c>
      <c r="X713" s="37">
        <f>IF(AO713="5",BH713,0)</f>
        <v>0</v>
      </c>
      <c r="Z713" s="37">
        <f>IF(AO713="1",BF713,0)</f>
        <v>0</v>
      </c>
      <c r="AA713" s="37">
        <f>IF(AO713="1",BG713,0)</f>
        <v>0</v>
      </c>
      <c r="AB713" s="37">
        <f>IF(AO713="7",BF713,0)</f>
        <v>0</v>
      </c>
      <c r="AC713" s="37">
        <f>IF(AO713="7",BG713,0)</f>
        <v>0</v>
      </c>
      <c r="AD713" s="37">
        <f>IF(AO713="2",BF713,0)</f>
        <v>0</v>
      </c>
      <c r="AE713" s="37">
        <f>IF(AO713="2",BG713,0)</f>
        <v>0</v>
      </c>
      <c r="AF713" s="37">
        <f>IF(AO713="0",BH713,0)</f>
        <v>0</v>
      </c>
      <c r="AG713" s="23"/>
      <c r="AH713" s="37">
        <f>IF(AL713=0,H713,0)</f>
        <v>0</v>
      </c>
      <c r="AI713" s="37">
        <f>IF(AL713=15,H713,0)</f>
        <v>0</v>
      </c>
      <c r="AJ713" s="37">
        <f>IF(AL713=21,H713,0)</f>
        <v>0</v>
      </c>
      <c r="AL713" s="37">
        <v>21</v>
      </c>
      <c r="AM713" s="37">
        <f>G713*0.794699333333333</f>
        <v>0</v>
      </c>
      <c r="AN713" s="37">
        <f>G713*(1-0.794699333333333)</f>
        <v>0</v>
      </c>
      <c r="AO713" s="38" t="s">
        <v>136</v>
      </c>
      <c r="AT713" s="37">
        <f>AU713+AV713</f>
        <v>0</v>
      </c>
      <c r="AU713" s="37">
        <f>F713*AM713</f>
        <v>0</v>
      </c>
      <c r="AV713" s="37">
        <f>F713*AN713</f>
        <v>0</v>
      </c>
      <c r="AW713" s="38" t="s">
        <v>1131</v>
      </c>
      <c r="AX713" s="38" t="s">
        <v>1075</v>
      </c>
      <c r="AY713" s="23" t="s">
        <v>97</v>
      </c>
      <c r="BA713" s="37">
        <f>AU713+AV713</f>
        <v>0</v>
      </c>
      <c r="BB713" s="37">
        <f>G713/(100-BC713)*100</f>
        <v>0</v>
      </c>
      <c r="BC713" s="37">
        <v>0</v>
      </c>
      <c r="BD713" s="37">
        <f>J713</f>
        <v>0.06</v>
      </c>
      <c r="BF713" s="37">
        <f>F713*AM713</f>
        <v>0</v>
      </c>
      <c r="BG713" s="37">
        <f>F713*AN713</f>
        <v>0</v>
      </c>
      <c r="BH713" s="37">
        <f>F713*G713</f>
        <v>0</v>
      </c>
    </row>
    <row r="714" spans="1:11" ht="12.75">
      <c r="A714" s="50"/>
      <c r="B714" s="51"/>
      <c r="C714" s="51"/>
      <c r="D714" s="52" t="s">
        <v>1311</v>
      </c>
      <c r="E714" s="51"/>
      <c r="F714" s="53">
        <v>1</v>
      </c>
      <c r="G714" s="51"/>
      <c r="H714" s="51"/>
      <c r="I714" s="54"/>
      <c r="J714" s="54"/>
      <c r="K714" s="51"/>
    </row>
    <row r="715" spans="1:60" ht="25.5">
      <c r="A715" s="44" t="s">
        <v>1312</v>
      </c>
      <c r="B715" s="44"/>
      <c r="C715" s="44" t="s">
        <v>1313</v>
      </c>
      <c r="D715" s="45" t="s">
        <v>1314</v>
      </c>
      <c r="E715" s="44" t="s">
        <v>469</v>
      </c>
      <c r="F715" s="46">
        <v>1</v>
      </c>
      <c r="G715" s="423"/>
      <c r="H715" s="47">
        <f>F715*G715</f>
        <v>0</v>
      </c>
      <c r="I715" s="48">
        <v>0.06</v>
      </c>
      <c r="J715" s="48">
        <f>F715*I715</f>
        <v>0.06</v>
      </c>
      <c r="K715" s="49" t="s">
        <v>226</v>
      </c>
      <c r="X715" s="37">
        <f>IF(AO715="5",BH715,0)</f>
        <v>0</v>
      </c>
      <c r="Z715" s="37">
        <f>IF(AO715="1",BF715,0)</f>
        <v>0</v>
      </c>
      <c r="AA715" s="37">
        <f>IF(AO715="1",BG715,0)</f>
        <v>0</v>
      </c>
      <c r="AB715" s="37">
        <f>IF(AO715="7",BF715,0)</f>
        <v>0</v>
      </c>
      <c r="AC715" s="37">
        <f>IF(AO715="7",BG715,0)</f>
        <v>0</v>
      </c>
      <c r="AD715" s="37">
        <f>IF(AO715="2",BF715,0)</f>
        <v>0</v>
      </c>
      <c r="AE715" s="37">
        <f>IF(AO715="2",BG715,0)</f>
        <v>0</v>
      </c>
      <c r="AF715" s="37">
        <f>IF(AO715="0",BH715,0)</f>
        <v>0</v>
      </c>
      <c r="AG715" s="23"/>
      <c r="AH715" s="37">
        <f>IF(AL715=0,H715,0)</f>
        <v>0</v>
      </c>
      <c r="AI715" s="37">
        <f>IF(AL715=15,H715,0)</f>
        <v>0</v>
      </c>
      <c r="AJ715" s="37">
        <f>IF(AL715=21,H715,0)</f>
        <v>0</v>
      </c>
      <c r="AL715" s="37">
        <v>21</v>
      </c>
      <c r="AM715" s="37">
        <f>G715*0.794699444444444</f>
        <v>0</v>
      </c>
      <c r="AN715" s="37">
        <f>G715*(1-0.794699444444444)</f>
        <v>0</v>
      </c>
      <c r="AO715" s="38" t="s">
        <v>136</v>
      </c>
      <c r="AT715" s="37">
        <f>AU715+AV715</f>
        <v>0</v>
      </c>
      <c r="AU715" s="37">
        <f>F715*AM715</f>
        <v>0</v>
      </c>
      <c r="AV715" s="37">
        <f>F715*AN715</f>
        <v>0</v>
      </c>
      <c r="AW715" s="38" t="s">
        <v>1131</v>
      </c>
      <c r="AX715" s="38" t="s">
        <v>1075</v>
      </c>
      <c r="AY715" s="23" t="s">
        <v>97</v>
      </c>
      <c r="BA715" s="37">
        <f>AU715+AV715</f>
        <v>0</v>
      </c>
      <c r="BB715" s="37">
        <f>G715/(100-BC715)*100</f>
        <v>0</v>
      </c>
      <c r="BC715" s="37">
        <v>0</v>
      </c>
      <c r="BD715" s="37">
        <f>J715</f>
        <v>0.06</v>
      </c>
      <c r="BF715" s="37">
        <f>F715*AM715</f>
        <v>0</v>
      </c>
      <c r="BG715" s="37">
        <f>F715*AN715</f>
        <v>0</v>
      </c>
      <c r="BH715" s="37">
        <f>F715*G715</f>
        <v>0</v>
      </c>
    </row>
    <row r="716" spans="1:11" ht="12.75">
      <c r="A716" s="50"/>
      <c r="B716" s="51"/>
      <c r="C716" s="51"/>
      <c r="D716" s="52" t="s">
        <v>1315</v>
      </c>
      <c r="E716" s="51"/>
      <c r="F716" s="53">
        <v>1</v>
      </c>
      <c r="G716" s="51"/>
      <c r="H716" s="51"/>
      <c r="I716" s="54"/>
      <c r="J716" s="54"/>
      <c r="K716" s="51"/>
    </row>
    <row r="717" spans="1:60" ht="25.5">
      <c r="A717" s="44" t="s">
        <v>1316</v>
      </c>
      <c r="B717" s="44"/>
      <c r="C717" s="44" t="s">
        <v>1317</v>
      </c>
      <c r="D717" s="45" t="s">
        <v>1318</v>
      </c>
      <c r="E717" s="44" t="s">
        <v>469</v>
      </c>
      <c r="F717" s="46">
        <v>1</v>
      </c>
      <c r="G717" s="423"/>
      <c r="H717" s="47">
        <f>F717*G717</f>
        <v>0</v>
      </c>
      <c r="I717" s="48">
        <v>0.06</v>
      </c>
      <c r="J717" s="48">
        <f>F717*I717</f>
        <v>0.06</v>
      </c>
      <c r="K717" s="49" t="s">
        <v>226</v>
      </c>
      <c r="X717" s="37">
        <f>IF(AO717="5",BH717,0)</f>
        <v>0</v>
      </c>
      <c r="Z717" s="37">
        <f>IF(AO717="1",BF717,0)</f>
        <v>0</v>
      </c>
      <c r="AA717" s="37">
        <f>IF(AO717="1",BG717,0)</f>
        <v>0</v>
      </c>
      <c r="AB717" s="37">
        <f>IF(AO717="7",BF717,0)</f>
        <v>0</v>
      </c>
      <c r="AC717" s="37">
        <f>IF(AO717="7",BG717,0)</f>
        <v>0</v>
      </c>
      <c r="AD717" s="37">
        <f>IF(AO717="2",BF717,0)</f>
        <v>0</v>
      </c>
      <c r="AE717" s="37">
        <f>IF(AO717="2",BG717,0)</f>
        <v>0</v>
      </c>
      <c r="AF717" s="37">
        <f>IF(AO717="0",BH717,0)</f>
        <v>0</v>
      </c>
      <c r="AG717" s="23"/>
      <c r="AH717" s="37">
        <f>IF(AL717=0,H717,0)</f>
        <v>0</v>
      </c>
      <c r="AI717" s="37">
        <f>IF(AL717=15,H717,0)</f>
        <v>0</v>
      </c>
      <c r="AJ717" s="37">
        <f>IF(AL717=21,H717,0)</f>
        <v>0</v>
      </c>
      <c r="AL717" s="37">
        <v>21</v>
      </c>
      <c r="AM717" s="37">
        <f>G717*0.794699333333333</f>
        <v>0</v>
      </c>
      <c r="AN717" s="37">
        <f>G717*(1-0.794699333333333)</f>
        <v>0</v>
      </c>
      <c r="AO717" s="38" t="s">
        <v>136</v>
      </c>
      <c r="AT717" s="37">
        <f>AU717+AV717</f>
        <v>0</v>
      </c>
      <c r="AU717" s="37">
        <f>F717*AM717</f>
        <v>0</v>
      </c>
      <c r="AV717" s="37">
        <f>F717*AN717</f>
        <v>0</v>
      </c>
      <c r="AW717" s="38" t="s">
        <v>1131</v>
      </c>
      <c r="AX717" s="38" t="s">
        <v>1075</v>
      </c>
      <c r="AY717" s="23" t="s">
        <v>97</v>
      </c>
      <c r="BA717" s="37">
        <f>AU717+AV717</f>
        <v>0</v>
      </c>
      <c r="BB717" s="37">
        <f>G717/(100-BC717)*100</f>
        <v>0</v>
      </c>
      <c r="BC717" s="37">
        <v>0</v>
      </c>
      <c r="BD717" s="37">
        <f>J717</f>
        <v>0.06</v>
      </c>
      <c r="BF717" s="37">
        <f>F717*AM717</f>
        <v>0</v>
      </c>
      <c r="BG717" s="37">
        <f>F717*AN717</f>
        <v>0</v>
      </c>
      <c r="BH717" s="37">
        <f>F717*G717</f>
        <v>0</v>
      </c>
    </row>
    <row r="718" spans="1:11" ht="12.75">
      <c r="A718" s="50"/>
      <c r="B718" s="51"/>
      <c r="C718" s="51"/>
      <c r="D718" s="52" t="s">
        <v>1319</v>
      </c>
      <c r="E718" s="51"/>
      <c r="F718" s="53">
        <v>1</v>
      </c>
      <c r="G718" s="51"/>
      <c r="H718" s="51"/>
      <c r="I718" s="54"/>
      <c r="J718" s="54"/>
      <c r="K718" s="51"/>
    </row>
    <row r="719" spans="1:60" ht="25.5">
      <c r="A719" s="44" t="s">
        <v>1320</v>
      </c>
      <c r="B719" s="44"/>
      <c r="C719" s="44" t="s">
        <v>1321</v>
      </c>
      <c r="D719" s="45" t="s">
        <v>1322</v>
      </c>
      <c r="E719" s="44" t="s">
        <v>395</v>
      </c>
      <c r="F719" s="46">
        <v>175</v>
      </c>
      <c r="G719" s="423"/>
      <c r="H719" s="47">
        <f>F719*G719</f>
        <v>0</v>
      </c>
      <c r="I719" s="48">
        <v>0.0035</v>
      </c>
      <c r="J719" s="48">
        <f>F719*I719</f>
        <v>0.6125</v>
      </c>
      <c r="K719" s="49" t="s">
        <v>226</v>
      </c>
      <c r="X719" s="37">
        <f>IF(AO719="5",BH719,0)</f>
        <v>0</v>
      </c>
      <c r="Z719" s="37">
        <f>IF(AO719="1",BF719,0)</f>
        <v>0</v>
      </c>
      <c r="AA719" s="37">
        <f>IF(AO719="1",BG719,0)</f>
        <v>0</v>
      </c>
      <c r="AB719" s="37">
        <f>IF(AO719="7",BF719,0)</f>
        <v>0</v>
      </c>
      <c r="AC719" s="37">
        <f>IF(AO719="7",BG719,0)</f>
        <v>0</v>
      </c>
      <c r="AD719" s="37">
        <f>IF(AO719="2",BF719,0)</f>
        <v>0</v>
      </c>
      <c r="AE719" s="37">
        <f>IF(AO719="2",BG719,0)</f>
        <v>0</v>
      </c>
      <c r="AF719" s="37">
        <f>IF(AO719="0",BH719,0)</f>
        <v>0</v>
      </c>
      <c r="AG719" s="23"/>
      <c r="AH719" s="37">
        <f>IF(AL719=0,H719,0)</f>
        <v>0</v>
      </c>
      <c r="AI719" s="37">
        <f>IF(AL719=15,H719,0)</f>
        <v>0</v>
      </c>
      <c r="AJ719" s="37">
        <f>IF(AL719=21,H719,0)</f>
        <v>0</v>
      </c>
      <c r="AL719" s="37">
        <v>21</v>
      </c>
      <c r="AM719" s="37">
        <f>G719*0.691388888888889</f>
        <v>0</v>
      </c>
      <c r="AN719" s="37">
        <f>G719*(1-0.691388888888889)</f>
        <v>0</v>
      </c>
      <c r="AO719" s="38" t="s">
        <v>136</v>
      </c>
      <c r="AT719" s="37">
        <f>AU719+AV719</f>
        <v>0</v>
      </c>
      <c r="AU719" s="37">
        <f>F719*AM719</f>
        <v>0</v>
      </c>
      <c r="AV719" s="37">
        <f>F719*AN719</f>
        <v>0</v>
      </c>
      <c r="AW719" s="38" t="s">
        <v>1131</v>
      </c>
      <c r="AX719" s="38" t="s">
        <v>1075</v>
      </c>
      <c r="AY719" s="23" t="s">
        <v>97</v>
      </c>
      <c r="BA719" s="37">
        <f>AU719+AV719</f>
        <v>0</v>
      </c>
      <c r="BB719" s="37">
        <f>G719/(100-BC719)*100</f>
        <v>0</v>
      </c>
      <c r="BC719" s="37">
        <v>0</v>
      </c>
      <c r="BD719" s="37">
        <f>J719</f>
        <v>0.6125</v>
      </c>
      <c r="BF719" s="37">
        <f>F719*AM719</f>
        <v>0</v>
      </c>
      <c r="BG719" s="37">
        <f>F719*AN719</f>
        <v>0</v>
      </c>
      <c r="BH719" s="37">
        <f>F719*G719</f>
        <v>0</v>
      </c>
    </row>
    <row r="720" spans="1:11" ht="12.75">
      <c r="A720" s="50"/>
      <c r="B720" s="51"/>
      <c r="C720" s="51"/>
      <c r="D720" s="52" t="s">
        <v>1323</v>
      </c>
      <c r="E720" s="51"/>
      <c r="F720" s="53">
        <v>175</v>
      </c>
      <c r="G720" s="51"/>
      <c r="H720" s="51"/>
      <c r="I720" s="54"/>
      <c r="J720" s="54"/>
      <c r="K720" s="51"/>
    </row>
    <row r="721" spans="1:60" ht="38.25">
      <c r="A721" s="44" t="s">
        <v>1324</v>
      </c>
      <c r="B721" s="44"/>
      <c r="C721" s="44" t="s">
        <v>1325</v>
      </c>
      <c r="D721" s="45" t="s">
        <v>1326</v>
      </c>
      <c r="E721" s="44" t="s">
        <v>225</v>
      </c>
      <c r="F721" s="46">
        <v>6</v>
      </c>
      <c r="G721" s="423"/>
      <c r="H721" s="47">
        <f>F721*G721</f>
        <v>0</v>
      </c>
      <c r="I721" s="48">
        <v>0.015</v>
      </c>
      <c r="J721" s="48">
        <f>F721*I721</f>
        <v>0.09</v>
      </c>
      <c r="K721" s="49" t="s">
        <v>226</v>
      </c>
      <c r="X721" s="37">
        <f>IF(AO721="5",BH721,0)</f>
        <v>0</v>
      </c>
      <c r="Z721" s="37">
        <f>IF(AO721="1",BF721,0)</f>
        <v>0</v>
      </c>
      <c r="AA721" s="37">
        <f>IF(AO721="1",BG721,0)</f>
        <v>0</v>
      </c>
      <c r="AB721" s="37">
        <f>IF(AO721="7",BF721,0)</f>
        <v>0</v>
      </c>
      <c r="AC721" s="37">
        <f>IF(AO721="7",BG721,0)</f>
        <v>0</v>
      </c>
      <c r="AD721" s="37">
        <f>IF(AO721="2",BF721,0)</f>
        <v>0</v>
      </c>
      <c r="AE721" s="37">
        <f>IF(AO721="2",BG721,0)</f>
        <v>0</v>
      </c>
      <c r="AF721" s="37">
        <f>IF(AO721="0",BH721,0)</f>
        <v>0</v>
      </c>
      <c r="AG721" s="23"/>
      <c r="AH721" s="37">
        <f>IF(AL721=0,H721,0)</f>
        <v>0</v>
      </c>
      <c r="AI721" s="37">
        <f>IF(AL721=15,H721,0)</f>
        <v>0</v>
      </c>
      <c r="AJ721" s="37">
        <f>IF(AL721=21,H721,0)</f>
        <v>0</v>
      </c>
      <c r="AL721" s="37">
        <v>21</v>
      </c>
      <c r="AM721" s="37">
        <f>G721*0.691396551724138</f>
        <v>0</v>
      </c>
      <c r="AN721" s="37">
        <f>G721*(1-0.691396551724138)</f>
        <v>0</v>
      </c>
      <c r="AO721" s="38" t="s">
        <v>136</v>
      </c>
      <c r="AT721" s="37">
        <f>AU721+AV721</f>
        <v>0</v>
      </c>
      <c r="AU721" s="37">
        <f>F721*AM721</f>
        <v>0</v>
      </c>
      <c r="AV721" s="37">
        <f>F721*AN721</f>
        <v>0</v>
      </c>
      <c r="AW721" s="38" t="s">
        <v>1131</v>
      </c>
      <c r="AX721" s="38" t="s">
        <v>1075</v>
      </c>
      <c r="AY721" s="23" t="s">
        <v>97</v>
      </c>
      <c r="BA721" s="37">
        <f>AU721+AV721</f>
        <v>0</v>
      </c>
      <c r="BB721" s="37">
        <f>G721/(100-BC721)*100</f>
        <v>0</v>
      </c>
      <c r="BC721" s="37">
        <v>0</v>
      </c>
      <c r="BD721" s="37">
        <f>J721</f>
        <v>0.09</v>
      </c>
      <c r="BF721" s="37">
        <f>F721*AM721</f>
        <v>0</v>
      </c>
      <c r="BG721" s="37">
        <f>F721*AN721</f>
        <v>0</v>
      </c>
      <c r="BH721" s="37">
        <f>F721*G721</f>
        <v>0</v>
      </c>
    </row>
    <row r="722" spans="1:11" ht="12.75">
      <c r="A722" s="50"/>
      <c r="B722" s="51"/>
      <c r="C722" s="51"/>
      <c r="D722" s="52" t="s">
        <v>1327</v>
      </c>
      <c r="E722" s="51"/>
      <c r="F722" s="53">
        <v>6</v>
      </c>
      <c r="G722" s="51"/>
      <c r="H722" s="51"/>
      <c r="I722" s="54"/>
      <c r="J722" s="54"/>
      <c r="K722" s="51"/>
    </row>
    <row r="723" spans="1:60" ht="25.5">
      <c r="A723" s="44" t="s">
        <v>1328</v>
      </c>
      <c r="B723" s="44"/>
      <c r="C723" s="44" t="s">
        <v>1329</v>
      </c>
      <c r="D723" s="45" t="s">
        <v>1330</v>
      </c>
      <c r="E723" s="44" t="s">
        <v>469</v>
      </c>
      <c r="F723" s="46">
        <v>1</v>
      </c>
      <c r="G723" s="423"/>
      <c r="H723" s="47">
        <f>F723*G723</f>
        <v>0</v>
      </c>
      <c r="I723" s="48">
        <v>1.15</v>
      </c>
      <c r="J723" s="48">
        <f>F723*I723</f>
        <v>1.15</v>
      </c>
      <c r="K723" s="49" t="s">
        <v>226</v>
      </c>
      <c r="X723" s="37">
        <f>IF(AO723="5",BH723,0)</f>
        <v>0</v>
      </c>
      <c r="Z723" s="37">
        <f>IF(AO723="1",BF723,0)</f>
        <v>0</v>
      </c>
      <c r="AA723" s="37">
        <f>IF(AO723="1",BG723,0)</f>
        <v>0</v>
      </c>
      <c r="AB723" s="37">
        <f>IF(AO723="7",BF723,0)</f>
        <v>0</v>
      </c>
      <c r="AC723" s="37">
        <f>IF(AO723="7",BG723,0)</f>
        <v>0</v>
      </c>
      <c r="AD723" s="37">
        <f>IF(AO723="2",BF723,0)</f>
        <v>0</v>
      </c>
      <c r="AE723" s="37">
        <f>IF(AO723="2",BG723,0)</f>
        <v>0</v>
      </c>
      <c r="AF723" s="37">
        <f>IF(AO723="0",BH723,0)</f>
        <v>0</v>
      </c>
      <c r="AG723" s="23"/>
      <c r="AH723" s="37">
        <f>IF(AL723=0,H723,0)</f>
        <v>0</v>
      </c>
      <c r="AI723" s="37">
        <f>IF(AL723=15,H723,0)</f>
        <v>0</v>
      </c>
      <c r="AJ723" s="37">
        <f>IF(AL723=21,H723,0)</f>
        <v>0</v>
      </c>
      <c r="AL723" s="37">
        <v>21</v>
      </c>
      <c r="AM723" s="37">
        <f>G723*0.794702005141388</f>
        <v>0</v>
      </c>
      <c r="AN723" s="37">
        <f>G723*(1-0.794702005141388)</f>
        <v>0</v>
      </c>
      <c r="AO723" s="38" t="s">
        <v>136</v>
      </c>
      <c r="AT723" s="37">
        <f>AU723+AV723</f>
        <v>0</v>
      </c>
      <c r="AU723" s="37">
        <f>F723*AM723</f>
        <v>0</v>
      </c>
      <c r="AV723" s="37">
        <f>F723*AN723</f>
        <v>0</v>
      </c>
      <c r="AW723" s="38" t="s">
        <v>1131</v>
      </c>
      <c r="AX723" s="38" t="s">
        <v>1075</v>
      </c>
      <c r="AY723" s="23" t="s">
        <v>97</v>
      </c>
      <c r="BA723" s="37">
        <f>AU723+AV723</f>
        <v>0</v>
      </c>
      <c r="BB723" s="37">
        <f>G723/(100-BC723)*100</f>
        <v>0</v>
      </c>
      <c r="BC723" s="37">
        <v>0</v>
      </c>
      <c r="BD723" s="37">
        <f>J723</f>
        <v>1.15</v>
      </c>
      <c r="BF723" s="37">
        <f>F723*AM723</f>
        <v>0</v>
      </c>
      <c r="BG723" s="37">
        <f>F723*AN723</f>
        <v>0</v>
      </c>
      <c r="BH723" s="37">
        <f>F723*G723</f>
        <v>0</v>
      </c>
    </row>
    <row r="724" spans="1:11" ht="12.75">
      <c r="A724" s="50"/>
      <c r="B724" s="51"/>
      <c r="C724" s="51"/>
      <c r="D724" s="52" t="s">
        <v>1331</v>
      </c>
      <c r="E724" s="51"/>
      <c r="F724" s="53">
        <v>1</v>
      </c>
      <c r="G724" s="51"/>
      <c r="H724" s="51"/>
      <c r="I724" s="54"/>
      <c r="J724" s="54"/>
      <c r="K724" s="51"/>
    </row>
    <row r="725" spans="1:60" ht="12.75">
      <c r="A725" s="44" t="s">
        <v>1332</v>
      </c>
      <c r="B725" s="44"/>
      <c r="C725" s="44" t="s">
        <v>1333</v>
      </c>
      <c r="D725" s="45" t="s">
        <v>1334</v>
      </c>
      <c r="E725" s="44" t="s">
        <v>225</v>
      </c>
      <c r="F725" s="46">
        <v>1</v>
      </c>
      <c r="G725" s="423"/>
      <c r="H725" s="47">
        <f>F725*G725</f>
        <v>0</v>
      </c>
      <c r="I725" s="48">
        <v>0.045</v>
      </c>
      <c r="J725" s="48">
        <f>F725*I725</f>
        <v>0.045</v>
      </c>
      <c r="K725" s="49" t="s">
        <v>226</v>
      </c>
      <c r="X725" s="37">
        <f>IF(AO725="5",BH725,0)</f>
        <v>0</v>
      </c>
      <c r="Z725" s="37">
        <f>IF(AO725="1",BF725,0)</f>
        <v>0</v>
      </c>
      <c r="AA725" s="37">
        <f>IF(AO725="1",BG725,0)</f>
        <v>0</v>
      </c>
      <c r="AB725" s="37">
        <f>IF(AO725="7",BF725,0)</f>
        <v>0</v>
      </c>
      <c r="AC725" s="37">
        <f>IF(AO725="7",BG725,0)</f>
        <v>0</v>
      </c>
      <c r="AD725" s="37">
        <f>IF(AO725="2",BF725,0)</f>
        <v>0</v>
      </c>
      <c r="AE725" s="37">
        <f>IF(AO725="2",BG725,0)</f>
        <v>0</v>
      </c>
      <c r="AF725" s="37">
        <f>IF(AO725="0",BH725,0)</f>
        <v>0</v>
      </c>
      <c r="AG725" s="23"/>
      <c r="AH725" s="37">
        <f>IF(AL725=0,H725,0)</f>
        <v>0</v>
      </c>
      <c r="AI725" s="37">
        <f>IF(AL725=15,H725,0)</f>
        <v>0</v>
      </c>
      <c r="AJ725" s="37">
        <f>IF(AL725=21,H725,0)</f>
        <v>0</v>
      </c>
      <c r="AL725" s="37">
        <v>21</v>
      </c>
      <c r="AM725" s="37">
        <f>G725*0.0323775</f>
        <v>0</v>
      </c>
      <c r="AN725" s="37">
        <f>G725*(1-0.0323775)</f>
        <v>0</v>
      </c>
      <c r="AO725" s="38" t="s">
        <v>136</v>
      </c>
      <c r="AT725" s="37">
        <f>AU725+AV725</f>
        <v>0</v>
      </c>
      <c r="AU725" s="37">
        <f>F725*AM725</f>
        <v>0</v>
      </c>
      <c r="AV725" s="37">
        <f>F725*AN725</f>
        <v>0</v>
      </c>
      <c r="AW725" s="38" t="s">
        <v>1131</v>
      </c>
      <c r="AX725" s="38" t="s">
        <v>1075</v>
      </c>
      <c r="AY725" s="23" t="s">
        <v>97</v>
      </c>
      <c r="BA725" s="37">
        <f>AU725+AV725</f>
        <v>0</v>
      </c>
      <c r="BB725" s="37">
        <f>G725/(100-BC725)*100</f>
        <v>0</v>
      </c>
      <c r="BC725" s="37">
        <v>0</v>
      </c>
      <c r="BD725" s="37">
        <f>J725</f>
        <v>0.045</v>
      </c>
      <c r="BF725" s="37">
        <f>F725*AM725</f>
        <v>0</v>
      </c>
      <c r="BG725" s="37">
        <f>F725*AN725</f>
        <v>0</v>
      </c>
      <c r="BH725" s="37">
        <f>F725*G725</f>
        <v>0</v>
      </c>
    </row>
    <row r="726" spans="1:11" ht="12.75">
      <c r="A726" s="50"/>
      <c r="B726" s="51"/>
      <c r="C726" s="51"/>
      <c r="D726" s="52" t="s">
        <v>1335</v>
      </c>
      <c r="E726" s="51"/>
      <c r="F726" s="53">
        <v>1</v>
      </c>
      <c r="G726" s="51"/>
      <c r="H726" s="51"/>
      <c r="I726" s="54"/>
      <c r="J726" s="54"/>
      <c r="K726" s="51"/>
    </row>
    <row r="727" spans="1:60" ht="25.5">
      <c r="A727" s="44" t="s">
        <v>1336</v>
      </c>
      <c r="B727" s="44"/>
      <c r="C727" s="44" t="s">
        <v>1337</v>
      </c>
      <c r="D727" s="45" t="s">
        <v>1338</v>
      </c>
      <c r="E727" s="44" t="s">
        <v>225</v>
      </c>
      <c r="F727" s="46">
        <v>1</v>
      </c>
      <c r="G727" s="423"/>
      <c r="H727" s="47">
        <f>F727*G727</f>
        <v>0</v>
      </c>
      <c r="I727" s="48">
        <v>0.045</v>
      </c>
      <c r="J727" s="48">
        <f>F727*I727</f>
        <v>0.045</v>
      </c>
      <c r="K727" s="49" t="s">
        <v>226</v>
      </c>
      <c r="X727" s="37">
        <f>IF(AO727="5",BH727,0)</f>
        <v>0</v>
      </c>
      <c r="Z727" s="37">
        <f>IF(AO727="1",BF727,0)</f>
        <v>0</v>
      </c>
      <c r="AA727" s="37">
        <f>IF(AO727="1",BG727,0)</f>
        <v>0</v>
      </c>
      <c r="AB727" s="37">
        <f>IF(AO727="7",BF727,0)</f>
        <v>0</v>
      </c>
      <c r="AC727" s="37">
        <f>IF(AO727="7",BG727,0)</f>
        <v>0</v>
      </c>
      <c r="AD727" s="37">
        <f>IF(AO727="2",BF727,0)</f>
        <v>0</v>
      </c>
      <c r="AE727" s="37">
        <f>IF(AO727="2",BG727,0)</f>
        <v>0</v>
      </c>
      <c r="AF727" s="37">
        <f>IF(AO727="0",BH727,0)</f>
        <v>0</v>
      </c>
      <c r="AG727" s="23"/>
      <c r="AH727" s="37">
        <f>IF(AL727=0,H727,0)</f>
        <v>0</v>
      </c>
      <c r="AI727" s="37">
        <f>IF(AL727=15,H727,0)</f>
        <v>0</v>
      </c>
      <c r="AJ727" s="37">
        <f>IF(AL727=21,H727,0)</f>
        <v>0</v>
      </c>
      <c r="AL727" s="37">
        <v>21</v>
      </c>
      <c r="AM727" s="37">
        <f>G727*0.0323776162790698</f>
        <v>0</v>
      </c>
      <c r="AN727" s="37">
        <f>G727*(1-0.0323776162790698)</f>
        <v>0</v>
      </c>
      <c r="AO727" s="38" t="s">
        <v>136</v>
      </c>
      <c r="AT727" s="37">
        <f>AU727+AV727</f>
        <v>0</v>
      </c>
      <c r="AU727" s="37">
        <f>F727*AM727</f>
        <v>0</v>
      </c>
      <c r="AV727" s="37">
        <f>F727*AN727</f>
        <v>0</v>
      </c>
      <c r="AW727" s="38" t="s">
        <v>1131</v>
      </c>
      <c r="AX727" s="38" t="s">
        <v>1075</v>
      </c>
      <c r="AY727" s="23" t="s">
        <v>97</v>
      </c>
      <c r="BA727" s="37">
        <f>AU727+AV727</f>
        <v>0</v>
      </c>
      <c r="BB727" s="37">
        <f>G727/(100-BC727)*100</f>
        <v>0</v>
      </c>
      <c r="BC727" s="37">
        <v>0</v>
      </c>
      <c r="BD727" s="37">
        <f>J727</f>
        <v>0.045</v>
      </c>
      <c r="BF727" s="37">
        <f>F727*AM727</f>
        <v>0</v>
      </c>
      <c r="BG727" s="37">
        <f>F727*AN727</f>
        <v>0</v>
      </c>
      <c r="BH727" s="37">
        <f>F727*G727</f>
        <v>0</v>
      </c>
    </row>
    <row r="728" spans="1:11" ht="12.75">
      <c r="A728" s="50"/>
      <c r="B728" s="51"/>
      <c r="C728" s="51"/>
      <c r="D728" s="52" t="s">
        <v>1339</v>
      </c>
      <c r="E728" s="51"/>
      <c r="F728" s="53">
        <v>1</v>
      </c>
      <c r="G728" s="51"/>
      <c r="H728" s="51"/>
      <c r="I728" s="54"/>
      <c r="J728" s="54"/>
      <c r="K728" s="51"/>
    </row>
    <row r="729" spans="1:60" ht="25.5">
      <c r="A729" s="44" t="s">
        <v>1340</v>
      </c>
      <c r="B729" s="44"/>
      <c r="C729" s="44" t="s">
        <v>1341</v>
      </c>
      <c r="D729" s="45" t="s">
        <v>1342</v>
      </c>
      <c r="E729" s="44" t="s">
        <v>225</v>
      </c>
      <c r="F729" s="46">
        <v>1</v>
      </c>
      <c r="G729" s="423"/>
      <c r="H729" s="47">
        <f>F729*G729</f>
        <v>0</v>
      </c>
      <c r="I729" s="48">
        <v>0.045</v>
      </c>
      <c r="J729" s="48">
        <f>F729*I729</f>
        <v>0.045</v>
      </c>
      <c r="K729" s="49" t="s">
        <v>226</v>
      </c>
      <c r="X729" s="37">
        <f>IF(AO729="5",BH729,0)</f>
        <v>0</v>
      </c>
      <c r="Z729" s="37">
        <f>IF(AO729="1",BF729,0)</f>
        <v>0</v>
      </c>
      <c r="AA729" s="37">
        <f>IF(AO729="1",BG729,0)</f>
        <v>0</v>
      </c>
      <c r="AB729" s="37">
        <f>IF(AO729="7",BF729,0)</f>
        <v>0</v>
      </c>
      <c r="AC729" s="37">
        <f>IF(AO729="7",BG729,0)</f>
        <v>0</v>
      </c>
      <c r="AD729" s="37">
        <f>IF(AO729="2",BF729,0)</f>
        <v>0</v>
      </c>
      <c r="AE729" s="37">
        <f>IF(AO729="2",BG729,0)</f>
        <v>0</v>
      </c>
      <c r="AF729" s="37">
        <f>IF(AO729="0",BH729,0)</f>
        <v>0</v>
      </c>
      <c r="AG729" s="23"/>
      <c r="AH729" s="37">
        <f>IF(AL729=0,H729,0)</f>
        <v>0</v>
      </c>
      <c r="AI729" s="37">
        <f>IF(AL729=15,H729,0)</f>
        <v>0</v>
      </c>
      <c r="AJ729" s="37">
        <f>IF(AL729=21,H729,0)</f>
        <v>0</v>
      </c>
      <c r="AL729" s="37">
        <v>21</v>
      </c>
      <c r="AM729" s="37">
        <f>G729*0.0323775675675676</f>
        <v>0</v>
      </c>
      <c r="AN729" s="37">
        <f>G729*(1-0.0323775675675676)</f>
        <v>0</v>
      </c>
      <c r="AO729" s="38" t="s">
        <v>136</v>
      </c>
      <c r="AT729" s="37">
        <f>AU729+AV729</f>
        <v>0</v>
      </c>
      <c r="AU729" s="37">
        <f>F729*AM729</f>
        <v>0</v>
      </c>
      <c r="AV729" s="37">
        <f>F729*AN729</f>
        <v>0</v>
      </c>
      <c r="AW729" s="38" t="s">
        <v>1131</v>
      </c>
      <c r="AX729" s="38" t="s">
        <v>1075</v>
      </c>
      <c r="AY729" s="23" t="s">
        <v>97</v>
      </c>
      <c r="BA729" s="37">
        <f>AU729+AV729</f>
        <v>0</v>
      </c>
      <c r="BB729" s="37">
        <f>G729/(100-BC729)*100</f>
        <v>0</v>
      </c>
      <c r="BC729" s="37">
        <v>0</v>
      </c>
      <c r="BD729" s="37">
        <f>J729</f>
        <v>0.045</v>
      </c>
      <c r="BF729" s="37">
        <f>F729*AM729</f>
        <v>0</v>
      </c>
      <c r="BG729" s="37">
        <f>F729*AN729</f>
        <v>0</v>
      </c>
      <c r="BH729" s="37">
        <f>F729*G729</f>
        <v>0</v>
      </c>
    </row>
    <row r="730" spans="1:11" ht="12.75">
      <c r="A730" s="50"/>
      <c r="B730" s="51"/>
      <c r="C730" s="51"/>
      <c r="D730" s="52" t="s">
        <v>1343</v>
      </c>
      <c r="E730" s="51"/>
      <c r="F730" s="53">
        <v>1</v>
      </c>
      <c r="G730" s="51"/>
      <c r="H730" s="51"/>
      <c r="I730" s="54"/>
      <c r="J730" s="54"/>
      <c r="K730" s="51"/>
    </row>
    <row r="731" spans="1:60" ht="25.5">
      <c r="A731" s="44" t="s">
        <v>1344</v>
      </c>
      <c r="B731" s="44"/>
      <c r="C731" s="44" t="s">
        <v>1345</v>
      </c>
      <c r="D731" s="45" t="s">
        <v>1346</v>
      </c>
      <c r="E731" s="44" t="s">
        <v>225</v>
      </c>
      <c r="F731" s="46">
        <v>4</v>
      </c>
      <c r="G731" s="423"/>
      <c r="H731" s="47">
        <f>F731*G731</f>
        <v>0</v>
      </c>
      <c r="I731" s="48">
        <v>0.045</v>
      </c>
      <c r="J731" s="48">
        <f>F731*I731</f>
        <v>0.18</v>
      </c>
      <c r="K731" s="49" t="s">
        <v>226</v>
      </c>
      <c r="X731" s="37">
        <f>IF(AO731="5",BH731,0)</f>
        <v>0</v>
      </c>
      <c r="Z731" s="37">
        <f>IF(AO731="1",BF731,0)</f>
        <v>0</v>
      </c>
      <c r="AA731" s="37">
        <f>IF(AO731="1",BG731,0)</f>
        <v>0</v>
      </c>
      <c r="AB731" s="37">
        <f>IF(AO731="7",BF731,0)</f>
        <v>0</v>
      </c>
      <c r="AC731" s="37">
        <f>IF(AO731="7",BG731,0)</f>
        <v>0</v>
      </c>
      <c r="AD731" s="37">
        <f>IF(AO731="2",BF731,0)</f>
        <v>0</v>
      </c>
      <c r="AE731" s="37">
        <f>IF(AO731="2",BG731,0)</f>
        <v>0</v>
      </c>
      <c r="AF731" s="37">
        <f>IF(AO731="0",BH731,0)</f>
        <v>0</v>
      </c>
      <c r="AG731" s="23"/>
      <c r="AH731" s="37">
        <f>IF(AL731=0,H731,0)</f>
        <v>0</v>
      </c>
      <c r="AI731" s="37">
        <f>IF(AL731=15,H731,0)</f>
        <v>0</v>
      </c>
      <c r="AJ731" s="37">
        <f>IF(AL731=21,H731,0)</f>
        <v>0</v>
      </c>
      <c r="AL731" s="37">
        <v>21</v>
      </c>
      <c r="AM731" s="37">
        <f>G731*0.0323775362318841</f>
        <v>0</v>
      </c>
      <c r="AN731" s="37">
        <f>G731*(1-0.0323775362318841)</f>
        <v>0</v>
      </c>
      <c r="AO731" s="38" t="s">
        <v>136</v>
      </c>
      <c r="AT731" s="37">
        <f>AU731+AV731</f>
        <v>0</v>
      </c>
      <c r="AU731" s="37">
        <f>F731*AM731</f>
        <v>0</v>
      </c>
      <c r="AV731" s="37">
        <f>F731*AN731</f>
        <v>0</v>
      </c>
      <c r="AW731" s="38" t="s">
        <v>1131</v>
      </c>
      <c r="AX731" s="38" t="s">
        <v>1075</v>
      </c>
      <c r="AY731" s="23" t="s">
        <v>97</v>
      </c>
      <c r="BA731" s="37">
        <f>AU731+AV731</f>
        <v>0</v>
      </c>
      <c r="BB731" s="37">
        <f>G731/(100-BC731)*100</f>
        <v>0</v>
      </c>
      <c r="BC731" s="37">
        <v>0</v>
      </c>
      <c r="BD731" s="37">
        <f>J731</f>
        <v>0.18</v>
      </c>
      <c r="BF731" s="37">
        <f>F731*AM731</f>
        <v>0</v>
      </c>
      <c r="BG731" s="37">
        <f>F731*AN731</f>
        <v>0</v>
      </c>
      <c r="BH731" s="37">
        <f>F731*G731</f>
        <v>0</v>
      </c>
    </row>
    <row r="732" spans="1:11" ht="12.75">
      <c r="A732" s="50"/>
      <c r="B732" s="51"/>
      <c r="C732" s="51"/>
      <c r="D732" s="52" t="s">
        <v>1347</v>
      </c>
      <c r="E732" s="51"/>
      <c r="F732" s="53">
        <v>4</v>
      </c>
      <c r="G732" s="51"/>
      <c r="H732" s="51"/>
      <c r="I732" s="54"/>
      <c r="J732" s="54"/>
      <c r="K732" s="51"/>
    </row>
    <row r="733" spans="1:60" ht="25.5">
      <c r="A733" s="44" t="s">
        <v>1348</v>
      </c>
      <c r="B733" s="44"/>
      <c r="C733" s="44" t="s">
        <v>1349</v>
      </c>
      <c r="D733" s="45" t="s">
        <v>1350</v>
      </c>
      <c r="E733" s="44" t="s">
        <v>225</v>
      </c>
      <c r="F733" s="46">
        <v>4</v>
      </c>
      <c r="G733" s="423"/>
      <c r="H733" s="47">
        <f>F733*G733</f>
        <v>0</v>
      </c>
      <c r="I733" s="48">
        <v>0.045</v>
      </c>
      <c r="J733" s="48">
        <f>F733*I733</f>
        <v>0.18</v>
      </c>
      <c r="K733" s="49" t="s">
        <v>226</v>
      </c>
      <c r="X733" s="37">
        <f>IF(AO733="5",BH733,0)</f>
        <v>0</v>
      </c>
      <c r="Z733" s="37">
        <f>IF(AO733="1",BF733,0)</f>
        <v>0</v>
      </c>
      <c r="AA733" s="37">
        <f>IF(AO733="1",BG733,0)</f>
        <v>0</v>
      </c>
      <c r="AB733" s="37">
        <f>IF(AO733="7",BF733,0)</f>
        <v>0</v>
      </c>
      <c r="AC733" s="37">
        <f>IF(AO733="7",BG733,0)</f>
        <v>0</v>
      </c>
      <c r="AD733" s="37">
        <f>IF(AO733="2",BF733,0)</f>
        <v>0</v>
      </c>
      <c r="AE733" s="37">
        <f>IF(AO733="2",BG733,0)</f>
        <v>0</v>
      </c>
      <c r="AF733" s="37">
        <f>IF(AO733="0",BH733,0)</f>
        <v>0</v>
      </c>
      <c r="AG733" s="23"/>
      <c r="AH733" s="37">
        <f>IF(AL733=0,H733,0)</f>
        <v>0</v>
      </c>
      <c r="AI733" s="37">
        <f>IF(AL733=15,H733,0)</f>
        <v>0</v>
      </c>
      <c r="AJ733" s="37">
        <f>IF(AL733=21,H733,0)</f>
        <v>0</v>
      </c>
      <c r="AL733" s="37">
        <v>21</v>
      </c>
      <c r="AM733" s="37">
        <f>G733*0.0323775</f>
        <v>0</v>
      </c>
      <c r="AN733" s="37">
        <f>G733*(1-0.0323775)</f>
        <v>0</v>
      </c>
      <c r="AO733" s="38" t="s">
        <v>136</v>
      </c>
      <c r="AT733" s="37">
        <f>AU733+AV733</f>
        <v>0</v>
      </c>
      <c r="AU733" s="37">
        <f>F733*AM733</f>
        <v>0</v>
      </c>
      <c r="AV733" s="37">
        <f>F733*AN733</f>
        <v>0</v>
      </c>
      <c r="AW733" s="38" t="s">
        <v>1131</v>
      </c>
      <c r="AX733" s="38" t="s">
        <v>1075</v>
      </c>
      <c r="AY733" s="23" t="s">
        <v>97</v>
      </c>
      <c r="BA733" s="37">
        <f>AU733+AV733</f>
        <v>0</v>
      </c>
      <c r="BB733" s="37">
        <f>G733/(100-BC733)*100</f>
        <v>0</v>
      </c>
      <c r="BC733" s="37">
        <v>0</v>
      </c>
      <c r="BD733" s="37">
        <f>J733</f>
        <v>0.18</v>
      </c>
      <c r="BF733" s="37">
        <f>F733*AM733</f>
        <v>0</v>
      </c>
      <c r="BG733" s="37">
        <f>F733*AN733</f>
        <v>0</v>
      </c>
      <c r="BH733" s="37">
        <f>F733*G733</f>
        <v>0</v>
      </c>
    </row>
    <row r="734" spans="1:11" ht="12.75">
      <c r="A734" s="50"/>
      <c r="B734" s="51"/>
      <c r="C734" s="51"/>
      <c r="D734" s="52" t="s">
        <v>1351</v>
      </c>
      <c r="E734" s="51"/>
      <c r="F734" s="53">
        <v>4</v>
      </c>
      <c r="G734" s="51"/>
      <c r="H734" s="51"/>
      <c r="I734" s="54"/>
      <c r="J734" s="54"/>
      <c r="K734" s="51"/>
    </row>
    <row r="735" spans="1:60" ht="25.5">
      <c r="A735" s="44" t="s">
        <v>1352</v>
      </c>
      <c r="B735" s="44"/>
      <c r="C735" s="44" t="s">
        <v>1353</v>
      </c>
      <c r="D735" s="45" t="s">
        <v>1354</v>
      </c>
      <c r="E735" s="44" t="s">
        <v>225</v>
      </c>
      <c r="F735" s="46">
        <v>2</v>
      </c>
      <c r="G735" s="423"/>
      <c r="H735" s="47">
        <f>F735*G735</f>
        <v>0</v>
      </c>
      <c r="I735" s="48">
        <v>0.045</v>
      </c>
      <c r="J735" s="48">
        <f>F735*I735</f>
        <v>0.09</v>
      </c>
      <c r="K735" s="49" t="s">
        <v>226</v>
      </c>
      <c r="X735" s="37">
        <f>IF(AO735="5",BH735,0)</f>
        <v>0</v>
      </c>
      <c r="Z735" s="37">
        <f>IF(AO735="1",BF735,0)</f>
        <v>0</v>
      </c>
      <c r="AA735" s="37">
        <f>IF(AO735="1",BG735,0)</f>
        <v>0</v>
      </c>
      <c r="AB735" s="37">
        <f>IF(AO735="7",BF735,0)</f>
        <v>0</v>
      </c>
      <c r="AC735" s="37">
        <f>IF(AO735="7",BG735,0)</f>
        <v>0</v>
      </c>
      <c r="AD735" s="37">
        <f>IF(AO735="2",BF735,0)</f>
        <v>0</v>
      </c>
      <c r="AE735" s="37">
        <f>IF(AO735="2",BG735,0)</f>
        <v>0</v>
      </c>
      <c r="AF735" s="37">
        <f>IF(AO735="0",BH735,0)</f>
        <v>0</v>
      </c>
      <c r="AG735" s="23"/>
      <c r="AH735" s="37">
        <f>IF(AL735=0,H735,0)</f>
        <v>0</v>
      </c>
      <c r="AI735" s="37">
        <f>IF(AL735=15,H735,0)</f>
        <v>0</v>
      </c>
      <c r="AJ735" s="37">
        <f>IF(AL735=21,H735,0)</f>
        <v>0</v>
      </c>
      <c r="AL735" s="37">
        <v>21</v>
      </c>
      <c r="AM735" s="37">
        <f>G735*0.0323775531914894</f>
        <v>0</v>
      </c>
      <c r="AN735" s="37">
        <f>G735*(1-0.0323775531914894)</f>
        <v>0</v>
      </c>
      <c r="AO735" s="38" t="s">
        <v>136</v>
      </c>
      <c r="AT735" s="37">
        <f>AU735+AV735</f>
        <v>0</v>
      </c>
      <c r="AU735" s="37">
        <f>F735*AM735</f>
        <v>0</v>
      </c>
      <c r="AV735" s="37">
        <f>F735*AN735</f>
        <v>0</v>
      </c>
      <c r="AW735" s="38" t="s">
        <v>1131</v>
      </c>
      <c r="AX735" s="38" t="s">
        <v>1075</v>
      </c>
      <c r="AY735" s="23" t="s">
        <v>97</v>
      </c>
      <c r="BA735" s="37">
        <f>AU735+AV735</f>
        <v>0</v>
      </c>
      <c r="BB735" s="37">
        <f>G735/(100-BC735)*100</f>
        <v>0</v>
      </c>
      <c r="BC735" s="37">
        <v>0</v>
      </c>
      <c r="BD735" s="37">
        <f>J735</f>
        <v>0.09</v>
      </c>
      <c r="BF735" s="37">
        <f>F735*AM735</f>
        <v>0</v>
      </c>
      <c r="BG735" s="37">
        <f>F735*AN735</f>
        <v>0</v>
      </c>
      <c r="BH735" s="37">
        <f>F735*G735</f>
        <v>0</v>
      </c>
    </row>
    <row r="736" spans="1:11" ht="12.75">
      <c r="A736" s="50"/>
      <c r="B736" s="51"/>
      <c r="C736" s="51"/>
      <c r="D736" s="52" t="s">
        <v>1355</v>
      </c>
      <c r="E736" s="51"/>
      <c r="F736" s="53">
        <v>2</v>
      </c>
      <c r="G736" s="51"/>
      <c r="H736" s="51"/>
      <c r="I736" s="54"/>
      <c r="J736" s="54"/>
      <c r="K736" s="51"/>
    </row>
    <row r="737" spans="1:60" ht="25.5">
      <c r="A737" s="44" t="s">
        <v>1356</v>
      </c>
      <c r="B737" s="44"/>
      <c r="C737" s="44" t="s">
        <v>1357</v>
      </c>
      <c r="D737" s="45" t="s">
        <v>1358</v>
      </c>
      <c r="E737" s="44" t="s">
        <v>225</v>
      </c>
      <c r="F737" s="46">
        <v>9</v>
      </c>
      <c r="G737" s="423"/>
      <c r="H737" s="47">
        <f>F737*G737</f>
        <v>0</v>
      </c>
      <c r="I737" s="48">
        <v>0.09</v>
      </c>
      <c r="J737" s="48">
        <f>F737*I737</f>
        <v>0.8099999999999999</v>
      </c>
      <c r="K737" s="49" t="s">
        <v>226</v>
      </c>
      <c r="X737" s="37">
        <f>IF(AO737="5",BH737,0)</f>
        <v>0</v>
      </c>
      <c r="Z737" s="37">
        <f>IF(AO737="1",BF737,0)</f>
        <v>0</v>
      </c>
      <c r="AA737" s="37">
        <f>IF(AO737="1",BG737,0)</f>
        <v>0</v>
      </c>
      <c r="AB737" s="37">
        <f>IF(AO737="7",BF737,0)</f>
        <v>0</v>
      </c>
      <c r="AC737" s="37">
        <f>IF(AO737="7",BG737,0)</f>
        <v>0</v>
      </c>
      <c r="AD737" s="37">
        <f>IF(AO737="2",BF737,0)</f>
        <v>0</v>
      </c>
      <c r="AE737" s="37">
        <f>IF(AO737="2",BG737,0)</f>
        <v>0</v>
      </c>
      <c r="AF737" s="37">
        <f>IF(AO737="0",BH737,0)</f>
        <v>0</v>
      </c>
      <c r="AG737" s="23"/>
      <c r="AH737" s="37">
        <f>IF(AL737=0,H737,0)</f>
        <v>0</v>
      </c>
      <c r="AI737" s="37">
        <f>IF(AL737=15,H737,0)</f>
        <v>0</v>
      </c>
      <c r="AJ737" s="37">
        <f>IF(AL737=21,H737,0)</f>
        <v>0</v>
      </c>
      <c r="AL737" s="37">
        <v>21</v>
      </c>
      <c r="AM737" s="37">
        <f>G737*0.0323777777777778</f>
        <v>0</v>
      </c>
      <c r="AN737" s="37">
        <f>G737*(1-0.0323777777777778)</f>
        <v>0</v>
      </c>
      <c r="AO737" s="38" t="s">
        <v>136</v>
      </c>
      <c r="AT737" s="37">
        <f>AU737+AV737</f>
        <v>0</v>
      </c>
      <c r="AU737" s="37">
        <f>F737*AM737</f>
        <v>0</v>
      </c>
      <c r="AV737" s="37">
        <f>F737*AN737</f>
        <v>0</v>
      </c>
      <c r="AW737" s="38" t="s">
        <v>1131</v>
      </c>
      <c r="AX737" s="38" t="s">
        <v>1075</v>
      </c>
      <c r="AY737" s="23" t="s">
        <v>97</v>
      </c>
      <c r="BA737" s="37">
        <f>AU737+AV737</f>
        <v>0</v>
      </c>
      <c r="BB737" s="37">
        <f>G737/(100-BC737)*100</f>
        <v>0</v>
      </c>
      <c r="BC737" s="37">
        <v>0</v>
      </c>
      <c r="BD737" s="37">
        <f>J737</f>
        <v>0.8099999999999999</v>
      </c>
      <c r="BF737" s="37">
        <f>F737*AM737</f>
        <v>0</v>
      </c>
      <c r="BG737" s="37">
        <f>F737*AN737</f>
        <v>0</v>
      </c>
      <c r="BH737" s="37">
        <f>F737*G737</f>
        <v>0</v>
      </c>
    </row>
    <row r="738" spans="1:11" ht="12.75">
      <c r="A738" s="50"/>
      <c r="B738" s="51"/>
      <c r="C738" s="51"/>
      <c r="D738" s="52" t="s">
        <v>1359</v>
      </c>
      <c r="E738" s="51"/>
      <c r="F738" s="53">
        <v>9</v>
      </c>
      <c r="G738" s="51"/>
      <c r="H738" s="51"/>
      <c r="I738" s="54"/>
      <c r="J738" s="54"/>
      <c r="K738" s="51"/>
    </row>
    <row r="739" spans="1:60" ht="12.75">
      <c r="A739" s="44" t="s">
        <v>1360</v>
      </c>
      <c r="B739" s="44"/>
      <c r="C739" s="44" t="s">
        <v>1361</v>
      </c>
      <c r="D739" s="45" t="s">
        <v>1362</v>
      </c>
      <c r="E739" s="44" t="s">
        <v>225</v>
      </c>
      <c r="F739" s="46">
        <v>6</v>
      </c>
      <c r="G739" s="423"/>
      <c r="H739" s="47">
        <f>F739*G739</f>
        <v>0</v>
      </c>
      <c r="I739" s="48">
        <v>0.09</v>
      </c>
      <c r="J739" s="48">
        <f>F739*I739</f>
        <v>0.54</v>
      </c>
      <c r="K739" s="49" t="s">
        <v>226</v>
      </c>
      <c r="X739" s="37">
        <f>IF(AO739="5",BH739,0)</f>
        <v>0</v>
      </c>
      <c r="Z739" s="37">
        <f>IF(AO739="1",BF739,0)</f>
        <v>0</v>
      </c>
      <c r="AA739" s="37">
        <f>IF(AO739="1",BG739,0)</f>
        <v>0</v>
      </c>
      <c r="AB739" s="37">
        <f>IF(AO739="7",BF739,0)</f>
        <v>0</v>
      </c>
      <c r="AC739" s="37">
        <f>IF(AO739="7",BG739,0)</f>
        <v>0</v>
      </c>
      <c r="AD739" s="37">
        <f>IF(AO739="2",BF739,0)</f>
        <v>0</v>
      </c>
      <c r="AE739" s="37">
        <f>IF(AO739="2",BG739,0)</f>
        <v>0</v>
      </c>
      <c r="AF739" s="37">
        <f>IF(AO739="0",BH739,0)</f>
        <v>0</v>
      </c>
      <c r="AG739" s="23"/>
      <c r="AH739" s="37">
        <f>IF(AL739=0,H739,0)</f>
        <v>0</v>
      </c>
      <c r="AI739" s="37">
        <f>IF(AL739=15,H739,0)</f>
        <v>0</v>
      </c>
      <c r="AJ739" s="37">
        <f>IF(AL739=21,H739,0)</f>
        <v>0</v>
      </c>
      <c r="AL739" s="37">
        <v>21</v>
      </c>
      <c r="AM739" s="37">
        <f>G739*0.0323777777777778</f>
        <v>0</v>
      </c>
      <c r="AN739" s="37">
        <f>G739*(1-0.0323777777777778)</f>
        <v>0</v>
      </c>
      <c r="AO739" s="38" t="s">
        <v>136</v>
      </c>
      <c r="AT739" s="37">
        <f>AU739+AV739</f>
        <v>0</v>
      </c>
      <c r="AU739" s="37">
        <f>F739*AM739</f>
        <v>0</v>
      </c>
      <c r="AV739" s="37">
        <f>F739*AN739</f>
        <v>0</v>
      </c>
      <c r="AW739" s="38" t="s">
        <v>1131</v>
      </c>
      <c r="AX739" s="38" t="s">
        <v>1075</v>
      </c>
      <c r="AY739" s="23" t="s">
        <v>97</v>
      </c>
      <c r="BA739" s="37">
        <f>AU739+AV739</f>
        <v>0</v>
      </c>
      <c r="BB739" s="37">
        <f>G739/(100-BC739)*100</f>
        <v>0</v>
      </c>
      <c r="BC739" s="37">
        <v>0</v>
      </c>
      <c r="BD739" s="37">
        <f>J739</f>
        <v>0.54</v>
      </c>
      <c r="BF739" s="37">
        <f>F739*AM739</f>
        <v>0</v>
      </c>
      <c r="BG739" s="37">
        <f>F739*AN739</f>
        <v>0</v>
      </c>
      <c r="BH739" s="37">
        <f>F739*G739</f>
        <v>0</v>
      </c>
    </row>
    <row r="740" spans="1:11" ht="12.75">
      <c r="A740" s="50"/>
      <c r="B740" s="51"/>
      <c r="C740" s="51"/>
      <c r="D740" s="52" t="s">
        <v>1363</v>
      </c>
      <c r="E740" s="51"/>
      <c r="F740" s="53">
        <v>6</v>
      </c>
      <c r="G740" s="51"/>
      <c r="H740" s="51"/>
      <c r="I740" s="54"/>
      <c r="J740" s="54"/>
      <c r="K740" s="51"/>
    </row>
    <row r="741" spans="1:60" ht="12.75">
      <c r="A741" s="44" t="s">
        <v>1364</v>
      </c>
      <c r="B741" s="44"/>
      <c r="C741" s="44" t="s">
        <v>1365</v>
      </c>
      <c r="D741" s="45" t="s">
        <v>1366</v>
      </c>
      <c r="E741" s="44" t="s">
        <v>225</v>
      </c>
      <c r="F741" s="46">
        <v>1</v>
      </c>
      <c r="G741" s="423"/>
      <c r="H741" s="47">
        <f>F741*G741</f>
        <v>0</v>
      </c>
      <c r="I741" s="48">
        <v>0.12</v>
      </c>
      <c r="J741" s="48">
        <f>F741*I741</f>
        <v>0.12</v>
      </c>
      <c r="K741" s="49" t="s">
        <v>226</v>
      </c>
      <c r="X741" s="37">
        <f>IF(AO741="5",BH741,0)</f>
        <v>0</v>
      </c>
      <c r="Z741" s="37">
        <f>IF(AO741="1",BF741,0)</f>
        <v>0</v>
      </c>
      <c r="AA741" s="37">
        <f>IF(AO741="1",BG741,0)</f>
        <v>0</v>
      </c>
      <c r="AB741" s="37">
        <f>IF(AO741="7",BF741,0)</f>
        <v>0</v>
      </c>
      <c r="AC741" s="37">
        <f>IF(AO741="7",BG741,0)</f>
        <v>0</v>
      </c>
      <c r="AD741" s="37">
        <f>IF(AO741="2",BF741,0)</f>
        <v>0</v>
      </c>
      <c r="AE741" s="37">
        <f>IF(AO741="2",BG741,0)</f>
        <v>0</v>
      </c>
      <c r="AF741" s="37">
        <f>IF(AO741="0",BH741,0)</f>
        <v>0</v>
      </c>
      <c r="AG741" s="23"/>
      <c r="AH741" s="37">
        <f>IF(AL741=0,H741,0)</f>
        <v>0</v>
      </c>
      <c r="AI741" s="37">
        <f>IF(AL741=15,H741,0)</f>
        <v>0</v>
      </c>
      <c r="AJ741" s="37">
        <f>IF(AL741=21,H741,0)</f>
        <v>0</v>
      </c>
      <c r="AL741" s="37">
        <v>21</v>
      </c>
      <c r="AM741" s="37">
        <f>G741*0.0323779527559055</f>
        <v>0</v>
      </c>
      <c r="AN741" s="37">
        <f>G741*(1-0.0323779527559055)</f>
        <v>0</v>
      </c>
      <c r="AO741" s="38" t="s">
        <v>136</v>
      </c>
      <c r="AT741" s="37">
        <f>AU741+AV741</f>
        <v>0</v>
      </c>
      <c r="AU741" s="37">
        <f>F741*AM741</f>
        <v>0</v>
      </c>
      <c r="AV741" s="37">
        <f>F741*AN741</f>
        <v>0</v>
      </c>
      <c r="AW741" s="38" t="s">
        <v>1131</v>
      </c>
      <c r="AX741" s="38" t="s">
        <v>1075</v>
      </c>
      <c r="AY741" s="23" t="s">
        <v>97</v>
      </c>
      <c r="BA741" s="37">
        <f>AU741+AV741</f>
        <v>0</v>
      </c>
      <c r="BB741" s="37">
        <f>G741/(100-BC741)*100</f>
        <v>0</v>
      </c>
      <c r="BC741" s="37">
        <v>0</v>
      </c>
      <c r="BD741" s="37">
        <f>J741</f>
        <v>0.12</v>
      </c>
      <c r="BF741" s="37">
        <f>F741*AM741</f>
        <v>0</v>
      </c>
      <c r="BG741" s="37">
        <f>F741*AN741</f>
        <v>0</v>
      </c>
      <c r="BH741" s="37">
        <f>F741*G741</f>
        <v>0</v>
      </c>
    </row>
    <row r="742" spans="1:11" ht="12.75">
      <c r="A742" s="50"/>
      <c r="B742" s="51"/>
      <c r="C742" s="51"/>
      <c r="D742" s="52" t="s">
        <v>1367</v>
      </c>
      <c r="E742" s="51"/>
      <c r="F742" s="53">
        <v>1</v>
      </c>
      <c r="G742" s="51"/>
      <c r="H742" s="51"/>
      <c r="I742" s="54"/>
      <c r="J742" s="54"/>
      <c r="K742" s="51"/>
    </row>
    <row r="743" spans="1:60" ht="12.75">
      <c r="A743" s="44" t="s">
        <v>1368</v>
      </c>
      <c r="B743" s="44"/>
      <c r="C743" s="44" t="s">
        <v>1369</v>
      </c>
      <c r="D743" s="45" t="s">
        <v>1370</v>
      </c>
      <c r="E743" s="44" t="s">
        <v>225</v>
      </c>
      <c r="F743" s="46">
        <v>2</v>
      </c>
      <c r="G743" s="423"/>
      <c r="H743" s="47">
        <f>F743*G743</f>
        <v>0</v>
      </c>
      <c r="I743" s="48">
        <v>0.17</v>
      </c>
      <c r="J743" s="48">
        <f>F743*I743</f>
        <v>0.34</v>
      </c>
      <c r="K743" s="49" t="s">
        <v>226</v>
      </c>
      <c r="X743" s="37">
        <f>IF(AO743="5",BH743,0)</f>
        <v>0</v>
      </c>
      <c r="Z743" s="37">
        <f>IF(AO743="1",BF743,0)</f>
        <v>0</v>
      </c>
      <c r="AA743" s="37">
        <f>IF(AO743="1",BG743,0)</f>
        <v>0</v>
      </c>
      <c r="AB743" s="37">
        <f>IF(AO743="7",BF743,0)</f>
        <v>0</v>
      </c>
      <c r="AC743" s="37">
        <f>IF(AO743="7",BG743,0)</f>
        <v>0</v>
      </c>
      <c r="AD743" s="37">
        <f>IF(AO743="2",BF743,0)</f>
        <v>0</v>
      </c>
      <c r="AE743" s="37">
        <f>IF(AO743="2",BG743,0)</f>
        <v>0</v>
      </c>
      <c r="AF743" s="37">
        <f>IF(AO743="0",BH743,0)</f>
        <v>0</v>
      </c>
      <c r="AG743" s="23"/>
      <c r="AH743" s="37">
        <f>IF(AL743=0,H743,0)</f>
        <v>0</v>
      </c>
      <c r="AI743" s="37">
        <f>IF(AL743=15,H743,0)</f>
        <v>0</v>
      </c>
      <c r="AJ743" s="37">
        <f>IF(AL743=21,H743,0)</f>
        <v>0</v>
      </c>
      <c r="AL743" s="37">
        <v>21</v>
      </c>
      <c r="AM743" s="37">
        <f>G743*0.032378</f>
        <v>0</v>
      </c>
      <c r="AN743" s="37">
        <f>G743*(1-0.032378)</f>
        <v>0</v>
      </c>
      <c r="AO743" s="38" t="s">
        <v>136</v>
      </c>
      <c r="AT743" s="37">
        <f>AU743+AV743</f>
        <v>0</v>
      </c>
      <c r="AU743" s="37">
        <f>F743*AM743</f>
        <v>0</v>
      </c>
      <c r="AV743" s="37">
        <f>F743*AN743</f>
        <v>0</v>
      </c>
      <c r="AW743" s="38" t="s">
        <v>1131</v>
      </c>
      <c r="AX743" s="38" t="s">
        <v>1075</v>
      </c>
      <c r="AY743" s="23" t="s">
        <v>97</v>
      </c>
      <c r="BA743" s="37">
        <f>AU743+AV743</f>
        <v>0</v>
      </c>
      <c r="BB743" s="37">
        <f>G743/(100-BC743)*100</f>
        <v>0</v>
      </c>
      <c r="BC743" s="37">
        <v>0</v>
      </c>
      <c r="BD743" s="37">
        <f>J743</f>
        <v>0.34</v>
      </c>
      <c r="BF743" s="37">
        <f>F743*AM743</f>
        <v>0</v>
      </c>
      <c r="BG743" s="37">
        <f>F743*AN743</f>
        <v>0</v>
      </c>
      <c r="BH743" s="37">
        <f>F743*G743</f>
        <v>0</v>
      </c>
    </row>
    <row r="744" spans="1:11" ht="12.75">
      <c r="A744" s="50"/>
      <c r="B744" s="51"/>
      <c r="C744" s="51"/>
      <c r="D744" s="52" t="s">
        <v>1371</v>
      </c>
      <c r="E744" s="51"/>
      <c r="F744" s="53">
        <v>2</v>
      </c>
      <c r="G744" s="51"/>
      <c r="H744" s="51"/>
      <c r="I744" s="54"/>
      <c r="J744" s="54"/>
      <c r="K744" s="51"/>
    </row>
    <row r="745" spans="1:60" ht="12.75">
      <c r="A745" s="44" t="s">
        <v>1372</v>
      </c>
      <c r="B745" s="44"/>
      <c r="C745" s="44" t="s">
        <v>1373</v>
      </c>
      <c r="D745" s="45" t="s">
        <v>1374</v>
      </c>
      <c r="E745" s="44" t="s">
        <v>225</v>
      </c>
      <c r="F745" s="46">
        <v>6</v>
      </c>
      <c r="G745" s="423"/>
      <c r="H745" s="47">
        <f>F745*G745</f>
        <v>0</v>
      </c>
      <c r="I745" s="48">
        <v>0.17</v>
      </c>
      <c r="J745" s="48">
        <f>F745*I745</f>
        <v>1.02</v>
      </c>
      <c r="K745" s="49" t="s">
        <v>226</v>
      </c>
      <c r="X745" s="37">
        <f>IF(AO745="5",BH745,0)</f>
        <v>0</v>
      </c>
      <c r="Z745" s="37">
        <f>IF(AO745="1",BF745,0)</f>
        <v>0</v>
      </c>
      <c r="AA745" s="37">
        <f>IF(AO745="1",BG745,0)</f>
        <v>0</v>
      </c>
      <c r="AB745" s="37">
        <f>IF(AO745="7",BF745,0)</f>
        <v>0</v>
      </c>
      <c r="AC745" s="37">
        <f>IF(AO745="7",BG745,0)</f>
        <v>0</v>
      </c>
      <c r="AD745" s="37">
        <f>IF(AO745="2",BF745,0)</f>
        <v>0</v>
      </c>
      <c r="AE745" s="37">
        <f>IF(AO745="2",BG745,0)</f>
        <v>0</v>
      </c>
      <c r="AF745" s="37">
        <f>IF(AO745="0",BH745,0)</f>
        <v>0</v>
      </c>
      <c r="AG745" s="23"/>
      <c r="AH745" s="37">
        <f>IF(AL745=0,H745,0)</f>
        <v>0</v>
      </c>
      <c r="AI745" s="37">
        <f>IF(AL745=15,H745,0)</f>
        <v>0</v>
      </c>
      <c r="AJ745" s="37">
        <f>IF(AL745=21,H745,0)</f>
        <v>0</v>
      </c>
      <c r="AL745" s="37">
        <v>21</v>
      </c>
      <c r="AM745" s="37">
        <f>G745*0.0323780423280423</f>
        <v>0</v>
      </c>
      <c r="AN745" s="37">
        <f>G745*(1-0.0323780423280423)</f>
        <v>0</v>
      </c>
      <c r="AO745" s="38" t="s">
        <v>136</v>
      </c>
      <c r="AT745" s="37">
        <f>AU745+AV745</f>
        <v>0</v>
      </c>
      <c r="AU745" s="37">
        <f>F745*AM745</f>
        <v>0</v>
      </c>
      <c r="AV745" s="37">
        <f>F745*AN745</f>
        <v>0</v>
      </c>
      <c r="AW745" s="38" t="s">
        <v>1131</v>
      </c>
      <c r="AX745" s="38" t="s">
        <v>1075</v>
      </c>
      <c r="AY745" s="23" t="s">
        <v>97</v>
      </c>
      <c r="BA745" s="37">
        <f>AU745+AV745</f>
        <v>0</v>
      </c>
      <c r="BB745" s="37">
        <f>G745/(100-BC745)*100</f>
        <v>0</v>
      </c>
      <c r="BC745" s="37">
        <v>0</v>
      </c>
      <c r="BD745" s="37">
        <f>J745</f>
        <v>1.02</v>
      </c>
      <c r="BF745" s="37">
        <f>F745*AM745</f>
        <v>0</v>
      </c>
      <c r="BG745" s="37">
        <f>F745*AN745</f>
        <v>0</v>
      </c>
      <c r="BH745" s="37">
        <f>F745*G745</f>
        <v>0</v>
      </c>
    </row>
    <row r="746" spans="1:11" ht="12.75">
      <c r="A746" s="50"/>
      <c r="B746" s="51"/>
      <c r="C746" s="51"/>
      <c r="D746" s="52" t="s">
        <v>1375</v>
      </c>
      <c r="E746" s="51"/>
      <c r="F746" s="53">
        <v>6</v>
      </c>
      <c r="G746" s="51"/>
      <c r="H746" s="51"/>
      <c r="I746" s="54"/>
      <c r="J746" s="54"/>
      <c r="K746" s="51"/>
    </row>
    <row r="747" spans="1:60" ht="12.75">
      <c r="A747" s="44" t="s">
        <v>1376</v>
      </c>
      <c r="B747" s="44"/>
      <c r="C747" s="44" t="s">
        <v>1377</v>
      </c>
      <c r="D747" s="45" t="s">
        <v>1378</v>
      </c>
      <c r="E747" s="44" t="s">
        <v>225</v>
      </c>
      <c r="F747" s="46">
        <v>2</v>
      </c>
      <c r="G747" s="423"/>
      <c r="H747" s="47">
        <f>F747*G747</f>
        <v>0</v>
      </c>
      <c r="I747" s="48">
        <v>0.12</v>
      </c>
      <c r="J747" s="48">
        <f>F747*I747</f>
        <v>0.24</v>
      </c>
      <c r="K747" s="49" t="s">
        <v>226</v>
      </c>
      <c r="X747" s="37">
        <f>IF(AO747="5",BH747,0)</f>
        <v>0</v>
      </c>
      <c r="Z747" s="37">
        <f>IF(AO747="1",BF747,0)</f>
        <v>0</v>
      </c>
      <c r="AA747" s="37">
        <f>IF(AO747="1",BG747,0)</f>
        <v>0</v>
      </c>
      <c r="AB747" s="37">
        <f>IF(AO747="7",BF747,0)</f>
        <v>0</v>
      </c>
      <c r="AC747" s="37">
        <f>IF(AO747="7",BG747,0)</f>
        <v>0</v>
      </c>
      <c r="AD747" s="37">
        <f>IF(AO747="2",BF747,0)</f>
        <v>0</v>
      </c>
      <c r="AE747" s="37">
        <f>IF(AO747="2",BG747,0)</f>
        <v>0</v>
      </c>
      <c r="AF747" s="37">
        <f>IF(AO747="0",BH747,0)</f>
        <v>0</v>
      </c>
      <c r="AG747" s="23"/>
      <c r="AH747" s="37">
        <f>IF(AL747=0,H747,0)</f>
        <v>0</v>
      </c>
      <c r="AI747" s="37">
        <f>IF(AL747=15,H747,0)</f>
        <v>0</v>
      </c>
      <c r="AJ747" s="37">
        <f>IF(AL747=21,H747,0)</f>
        <v>0</v>
      </c>
      <c r="AL747" s="37">
        <v>21</v>
      </c>
      <c r="AM747" s="37">
        <f>G747*0.0323779310344828</f>
        <v>0</v>
      </c>
      <c r="AN747" s="37">
        <f>G747*(1-0.0323779310344828)</f>
        <v>0</v>
      </c>
      <c r="AO747" s="38" t="s">
        <v>136</v>
      </c>
      <c r="AT747" s="37">
        <f>AU747+AV747</f>
        <v>0</v>
      </c>
      <c r="AU747" s="37">
        <f>F747*AM747</f>
        <v>0</v>
      </c>
      <c r="AV747" s="37">
        <f>F747*AN747</f>
        <v>0</v>
      </c>
      <c r="AW747" s="38" t="s">
        <v>1131</v>
      </c>
      <c r="AX747" s="38" t="s">
        <v>1075</v>
      </c>
      <c r="AY747" s="23" t="s">
        <v>97</v>
      </c>
      <c r="BA747" s="37">
        <f>AU747+AV747</f>
        <v>0</v>
      </c>
      <c r="BB747" s="37">
        <f>G747/(100-BC747)*100</f>
        <v>0</v>
      </c>
      <c r="BC747" s="37">
        <v>0</v>
      </c>
      <c r="BD747" s="37">
        <f>J747</f>
        <v>0.24</v>
      </c>
      <c r="BF747" s="37">
        <f>F747*AM747</f>
        <v>0</v>
      </c>
      <c r="BG747" s="37">
        <f>F747*AN747</f>
        <v>0</v>
      </c>
      <c r="BH747" s="37">
        <f>F747*G747</f>
        <v>0</v>
      </c>
    </row>
    <row r="748" spans="1:11" ht="12.75">
      <c r="A748" s="50"/>
      <c r="B748" s="51"/>
      <c r="C748" s="51"/>
      <c r="D748" s="52" t="s">
        <v>1379</v>
      </c>
      <c r="E748" s="51"/>
      <c r="F748" s="53">
        <v>2</v>
      </c>
      <c r="G748" s="51"/>
      <c r="H748" s="51"/>
      <c r="I748" s="54"/>
      <c r="J748" s="54"/>
      <c r="K748" s="51"/>
    </row>
    <row r="749" spans="1:60" ht="12.75">
      <c r="A749" s="44" t="s">
        <v>1380</v>
      </c>
      <c r="B749" s="44"/>
      <c r="C749" s="44" t="s">
        <v>1381</v>
      </c>
      <c r="D749" s="45" t="s">
        <v>1382</v>
      </c>
      <c r="E749" s="44" t="s">
        <v>225</v>
      </c>
      <c r="F749" s="46">
        <v>3</v>
      </c>
      <c r="G749" s="423"/>
      <c r="H749" s="47">
        <f>F749*G749</f>
        <v>0</v>
      </c>
      <c r="I749" s="48">
        <v>0.062</v>
      </c>
      <c r="J749" s="48">
        <f>F749*I749</f>
        <v>0.186</v>
      </c>
      <c r="K749" s="49" t="s">
        <v>226</v>
      </c>
      <c r="X749" s="37">
        <f>IF(AO749="5",BH749,0)</f>
        <v>0</v>
      </c>
      <c r="Z749" s="37">
        <f>IF(AO749="1",BF749,0)</f>
        <v>0</v>
      </c>
      <c r="AA749" s="37">
        <f>IF(AO749="1",BG749,0)</f>
        <v>0</v>
      </c>
      <c r="AB749" s="37">
        <f>IF(AO749="7",BF749,0)</f>
        <v>0</v>
      </c>
      <c r="AC749" s="37">
        <f>IF(AO749="7",BG749,0)</f>
        <v>0</v>
      </c>
      <c r="AD749" s="37">
        <f>IF(AO749="2",BF749,0)</f>
        <v>0</v>
      </c>
      <c r="AE749" s="37">
        <f>IF(AO749="2",BG749,0)</f>
        <v>0</v>
      </c>
      <c r="AF749" s="37">
        <f>IF(AO749="0",BH749,0)</f>
        <v>0</v>
      </c>
      <c r="AG749" s="23"/>
      <c r="AH749" s="37">
        <f>IF(AL749=0,H749,0)</f>
        <v>0</v>
      </c>
      <c r="AI749" s="37">
        <f>IF(AL749=15,H749,0)</f>
        <v>0</v>
      </c>
      <c r="AJ749" s="37">
        <f>IF(AL749=21,H749,0)</f>
        <v>0</v>
      </c>
      <c r="AL749" s="37">
        <v>21</v>
      </c>
      <c r="AM749" s="37">
        <f>G749*0.0323774193548387</f>
        <v>0</v>
      </c>
      <c r="AN749" s="37">
        <f>G749*(1-0.0323774193548387)</f>
        <v>0</v>
      </c>
      <c r="AO749" s="38" t="s">
        <v>136</v>
      </c>
      <c r="AT749" s="37">
        <f>AU749+AV749</f>
        <v>0</v>
      </c>
      <c r="AU749" s="37">
        <f>F749*AM749</f>
        <v>0</v>
      </c>
      <c r="AV749" s="37">
        <f>F749*AN749</f>
        <v>0</v>
      </c>
      <c r="AW749" s="38" t="s">
        <v>1131</v>
      </c>
      <c r="AX749" s="38" t="s">
        <v>1075</v>
      </c>
      <c r="AY749" s="23" t="s">
        <v>97</v>
      </c>
      <c r="BA749" s="37">
        <f>AU749+AV749</f>
        <v>0</v>
      </c>
      <c r="BB749" s="37">
        <f>G749/(100-BC749)*100</f>
        <v>0</v>
      </c>
      <c r="BC749" s="37">
        <v>0</v>
      </c>
      <c r="BD749" s="37">
        <f>J749</f>
        <v>0.186</v>
      </c>
      <c r="BF749" s="37">
        <f>F749*AM749</f>
        <v>0</v>
      </c>
      <c r="BG749" s="37">
        <f>F749*AN749</f>
        <v>0</v>
      </c>
      <c r="BH749" s="37">
        <f>F749*G749</f>
        <v>0</v>
      </c>
    </row>
    <row r="750" spans="1:11" ht="12.75">
      <c r="A750" s="50"/>
      <c r="B750" s="51"/>
      <c r="C750" s="51"/>
      <c r="D750" s="52" t="s">
        <v>1383</v>
      </c>
      <c r="E750" s="51"/>
      <c r="F750" s="53">
        <v>3</v>
      </c>
      <c r="G750" s="51"/>
      <c r="H750" s="51"/>
      <c r="I750" s="54"/>
      <c r="J750" s="54"/>
      <c r="K750" s="51"/>
    </row>
    <row r="751" spans="1:60" ht="12.75">
      <c r="A751" s="44" t="s">
        <v>1384</v>
      </c>
      <c r="B751" s="44"/>
      <c r="C751" s="44" t="s">
        <v>1385</v>
      </c>
      <c r="D751" s="45" t="s">
        <v>1386</v>
      </c>
      <c r="E751" s="44" t="s">
        <v>225</v>
      </c>
      <c r="F751" s="46">
        <v>7</v>
      </c>
      <c r="G751" s="423"/>
      <c r="H751" s="47">
        <f>F751*G751</f>
        <v>0</v>
      </c>
      <c r="I751" s="48">
        <v>0.09</v>
      </c>
      <c r="J751" s="48">
        <f>F751*I751</f>
        <v>0.63</v>
      </c>
      <c r="K751" s="49" t="s">
        <v>226</v>
      </c>
      <c r="X751" s="37">
        <f>IF(AO751="5",BH751,0)</f>
        <v>0</v>
      </c>
      <c r="Z751" s="37">
        <f>IF(AO751="1",BF751,0)</f>
        <v>0</v>
      </c>
      <c r="AA751" s="37">
        <f>IF(AO751="1",BG751,0)</f>
        <v>0</v>
      </c>
      <c r="AB751" s="37">
        <f>IF(AO751="7",BF751,0)</f>
        <v>0</v>
      </c>
      <c r="AC751" s="37">
        <f>IF(AO751="7",BG751,0)</f>
        <v>0</v>
      </c>
      <c r="AD751" s="37">
        <f>IF(AO751="2",BF751,0)</f>
        <v>0</v>
      </c>
      <c r="AE751" s="37">
        <f>IF(AO751="2",BG751,0)</f>
        <v>0</v>
      </c>
      <c r="AF751" s="37">
        <f>IF(AO751="0",BH751,0)</f>
        <v>0</v>
      </c>
      <c r="AG751" s="23"/>
      <c r="AH751" s="37">
        <f>IF(AL751=0,H751,0)</f>
        <v>0</v>
      </c>
      <c r="AI751" s="37">
        <f>IF(AL751=15,H751,0)</f>
        <v>0</v>
      </c>
      <c r="AJ751" s="37">
        <f>IF(AL751=21,H751,0)</f>
        <v>0</v>
      </c>
      <c r="AL751" s="37">
        <v>21</v>
      </c>
      <c r="AM751" s="37">
        <f>G751*0.0323772727272727</f>
        <v>0</v>
      </c>
      <c r="AN751" s="37">
        <f>G751*(1-0.0323772727272727)</f>
        <v>0</v>
      </c>
      <c r="AO751" s="38" t="s">
        <v>136</v>
      </c>
      <c r="AT751" s="37">
        <f>AU751+AV751</f>
        <v>0</v>
      </c>
      <c r="AU751" s="37">
        <f>F751*AM751</f>
        <v>0</v>
      </c>
      <c r="AV751" s="37">
        <f>F751*AN751</f>
        <v>0</v>
      </c>
      <c r="AW751" s="38" t="s">
        <v>1131</v>
      </c>
      <c r="AX751" s="38" t="s">
        <v>1075</v>
      </c>
      <c r="AY751" s="23" t="s">
        <v>97</v>
      </c>
      <c r="BA751" s="37">
        <f>AU751+AV751</f>
        <v>0</v>
      </c>
      <c r="BB751" s="37">
        <f>G751/(100-BC751)*100</f>
        <v>0</v>
      </c>
      <c r="BC751" s="37">
        <v>0</v>
      </c>
      <c r="BD751" s="37">
        <f>J751</f>
        <v>0.63</v>
      </c>
      <c r="BF751" s="37">
        <f>F751*AM751</f>
        <v>0</v>
      </c>
      <c r="BG751" s="37">
        <f>F751*AN751</f>
        <v>0</v>
      </c>
      <c r="BH751" s="37">
        <f>F751*G751</f>
        <v>0</v>
      </c>
    </row>
    <row r="752" spans="1:11" ht="12.75">
      <c r="A752" s="50"/>
      <c r="B752" s="51"/>
      <c r="C752" s="51"/>
      <c r="D752" s="52" t="s">
        <v>1387</v>
      </c>
      <c r="E752" s="51"/>
      <c r="F752" s="53">
        <v>7</v>
      </c>
      <c r="G752" s="51"/>
      <c r="H752" s="51"/>
      <c r="I752" s="54"/>
      <c r="J752" s="54"/>
      <c r="K752" s="51"/>
    </row>
    <row r="753" spans="1:60" ht="12.75">
      <c r="A753" s="44" t="s">
        <v>1388</v>
      </c>
      <c r="B753" s="44"/>
      <c r="C753" s="44" t="s">
        <v>1389</v>
      </c>
      <c r="D753" s="45" t="s">
        <v>1390</v>
      </c>
      <c r="E753" s="44" t="s">
        <v>225</v>
      </c>
      <c r="F753" s="46">
        <v>6</v>
      </c>
      <c r="G753" s="423"/>
      <c r="H753" s="47">
        <f>F753*G753</f>
        <v>0</v>
      </c>
      <c r="I753" s="48">
        <v>0.03</v>
      </c>
      <c r="J753" s="48">
        <f>F753*I753</f>
        <v>0.18</v>
      </c>
      <c r="K753" s="49" t="s">
        <v>226</v>
      </c>
      <c r="X753" s="37">
        <f>IF(AO753="5",BH753,0)</f>
        <v>0</v>
      </c>
      <c r="Z753" s="37">
        <f>IF(AO753="1",BF753,0)</f>
        <v>0</v>
      </c>
      <c r="AA753" s="37">
        <f>IF(AO753="1",BG753,0)</f>
        <v>0</v>
      </c>
      <c r="AB753" s="37">
        <f>IF(AO753="7",BF753,0)</f>
        <v>0</v>
      </c>
      <c r="AC753" s="37">
        <f>IF(AO753="7",BG753,0)</f>
        <v>0</v>
      </c>
      <c r="AD753" s="37">
        <f>IF(AO753="2",BF753,0)</f>
        <v>0</v>
      </c>
      <c r="AE753" s="37">
        <f>IF(AO753="2",BG753,0)</f>
        <v>0</v>
      </c>
      <c r="AF753" s="37">
        <f>IF(AO753="0",BH753,0)</f>
        <v>0</v>
      </c>
      <c r="AG753" s="23"/>
      <c r="AH753" s="37">
        <f>IF(AL753=0,H753,0)</f>
        <v>0</v>
      </c>
      <c r="AI753" s="37">
        <f>IF(AL753=15,H753,0)</f>
        <v>0</v>
      </c>
      <c r="AJ753" s="37">
        <f>IF(AL753=21,H753,0)</f>
        <v>0</v>
      </c>
      <c r="AL753" s="37">
        <v>21</v>
      </c>
      <c r="AM753" s="37">
        <f>G753*0.0323766666666667</f>
        <v>0</v>
      </c>
      <c r="AN753" s="37">
        <f>G753*(1-0.0323766666666667)</f>
        <v>0</v>
      </c>
      <c r="AO753" s="38" t="s">
        <v>136</v>
      </c>
      <c r="AT753" s="37">
        <f>AU753+AV753</f>
        <v>0</v>
      </c>
      <c r="AU753" s="37">
        <f>F753*AM753</f>
        <v>0</v>
      </c>
      <c r="AV753" s="37">
        <f>F753*AN753</f>
        <v>0</v>
      </c>
      <c r="AW753" s="38" t="s">
        <v>1131</v>
      </c>
      <c r="AX753" s="38" t="s">
        <v>1075</v>
      </c>
      <c r="AY753" s="23" t="s">
        <v>97</v>
      </c>
      <c r="BA753" s="37">
        <f>AU753+AV753</f>
        <v>0</v>
      </c>
      <c r="BB753" s="37">
        <f>G753/(100-BC753)*100</f>
        <v>0</v>
      </c>
      <c r="BC753" s="37">
        <v>0</v>
      </c>
      <c r="BD753" s="37">
        <f>J753</f>
        <v>0.18</v>
      </c>
      <c r="BF753" s="37">
        <f>F753*AM753</f>
        <v>0</v>
      </c>
      <c r="BG753" s="37">
        <f>F753*AN753</f>
        <v>0</v>
      </c>
      <c r="BH753" s="37">
        <f>F753*G753</f>
        <v>0</v>
      </c>
    </row>
    <row r="754" spans="1:11" ht="12.75">
      <c r="A754" s="50"/>
      <c r="B754" s="51"/>
      <c r="C754" s="51"/>
      <c r="D754" s="52" t="s">
        <v>1391</v>
      </c>
      <c r="E754" s="51"/>
      <c r="F754" s="53">
        <v>6</v>
      </c>
      <c r="G754" s="51"/>
      <c r="H754" s="51"/>
      <c r="I754" s="54"/>
      <c r="J754" s="54"/>
      <c r="K754" s="51"/>
    </row>
    <row r="755" spans="1:11" ht="12.75">
      <c r="A755" s="58" t="s">
        <v>1392</v>
      </c>
      <c r="B755" s="51"/>
      <c r="C755" s="44" t="s">
        <v>1393</v>
      </c>
      <c r="D755" s="45" t="s">
        <v>1394</v>
      </c>
      <c r="E755" s="44" t="s">
        <v>469</v>
      </c>
      <c r="F755" s="46">
        <v>1</v>
      </c>
      <c r="G755" s="423"/>
      <c r="H755" s="47">
        <f>F755*G755</f>
        <v>0</v>
      </c>
      <c r="I755" s="48">
        <v>0.03</v>
      </c>
      <c r="J755" s="48">
        <f>F755*I755</f>
        <v>0.03</v>
      </c>
      <c r="K755" s="49" t="s">
        <v>226</v>
      </c>
    </row>
    <row r="756" spans="1:11" ht="12.75">
      <c r="A756" s="50"/>
      <c r="B756" s="51"/>
      <c r="C756" s="51"/>
      <c r="D756" s="52" t="s">
        <v>90</v>
      </c>
      <c r="E756" s="51"/>
      <c r="F756" s="53">
        <v>1</v>
      </c>
      <c r="G756" s="51"/>
      <c r="H756" s="51"/>
      <c r="I756" s="54"/>
      <c r="J756" s="54"/>
      <c r="K756" s="51"/>
    </row>
    <row r="757" spans="1:60" ht="12.75">
      <c r="A757" s="44" t="s">
        <v>1395</v>
      </c>
      <c r="B757" s="44"/>
      <c r="C757" s="44" t="s">
        <v>1396</v>
      </c>
      <c r="D757" s="45" t="s">
        <v>1397</v>
      </c>
      <c r="E757" s="44" t="s">
        <v>239</v>
      </c>
      <c r="F757" s="46">
        <v>18.57</v>
      </c>
      <c r="G757" s="423"/>
      <c r="H757" s="47">
        <f>F757*G757</f>
        <v>0</v>
      </c>
      <c r="I757" s="48">
        <v>0</v>
      </c>
      <c r="J757" s="48">
        <f>F757*I757</f>
        <v>0</v>
      </c>
      <c r="K757" s="49" t="s">
        <v>94</v>
      </c>
      <c r="X757" s="37">
        <f>IF(AO757="5",BH757,0)</f>
        <v>0</v>
      </c>
      <c r="Z757" s="37">
        <f>IF(AO757="1",BF757,0)</f>
        <v>0</v>
      </c>
      <c r="AA757" s="37">
        <f>IF(AO757="1",BG757,0)</f>
        <v>0</v>
      </c>
      <c r="AB757" s="37">
        <f>IF(AO757="7",BF757,0)</f>
        <v>0</v>
      </c>
      <c r="AC757" s="37">
        <f>IF(AO757="7",BG757,0)</f>
        <v>0</v>
      </c>
      <c r="AD757" s="37">
        <f>IF(AO757="2",BF757,0)</f>
        <v>0</v>
      </c>
      <c r="AE757" s="37">
        <f>IF(AO757="2",BG757,0)</f>
        <v>0</v>
      </c>
      <c r="AF757" s="37">
        <f>IF(AO757="0",BH757,0)</f>
        <v>0</v>
      </c>
      <c r="AG757" s="23"/>
      <c r="AH757" s="37">
        <f>IF(AL757=0,H757,0)</f>
        <v>0</v>
      </c>
      <c r="AI757" s="37">
        <f>IF(AL757=15,H757,0)</f>
        <v>0</v>
      </c>
      <c r="AJ757" s="37">
        <f>IF(AL757=21,H757,0)</f>
        <v>0</v>
      </c>
      <c r="AL757" s="37">
        <v>21</v>
      </c>
      <c r="AM757" s="37">
        <f>G757*0</f>
        <v>0</v>
      </c>
      <c r="AN757" s="37">
        <f>G757*(1-0)</f>
        <v>0</v>
      </c>
      <c r="AO757" s="38" t="s">
        <v>118</v>
      </c>
      <c r="AT757" s="37">
        <f>AU757+AV757</f>
        <v>0</v>
      </c>
      <c r="AU757" s="37">
        <f>F757*AM757</f>
        <v>0</v>
      </c>
      <c r="AV757" s="37">
        <f>F757*AN757</f>
        <v>0</v>
      </c>
      <c r="AW757" s="38" t="s">
        <v>1131</v>
      </c>
      <c r="AX757" s="38" t="s">
        <v>1075</v>
      </c>
      <c r="AY757" s="23" t="s">
        <v>97</v>
      </c>
      <c r="BA757" s="37">
        <f>AU757+AV757</f>
        <v>0</v>
      </c>
      <c r="BB757" s="37">
        <f>G757/(100-BC757)*100</f>
        <v>0</v>
      </c>
      <c r="BC757" s="37">
        <v>0</v>
      </c>
      <c r="BD757" s="37">
        <f>J757</f>
        <v>0</v>
      </c>
      <c r="BF757" s="37">
        <f>F757*AM757</f>
        <v>0</v>
      </c>
      <c r="BG757" s="37">
        <f>F757*AN757</f>
        <v>0</v>
      </c>
      <c r="BH757" s="37">
        <f>F757*G757</f>
        <v>0</v>
      </c>
    </row>
    <row r="758" spans="1:11" ht="12.75">
      <c r="A758" s="50"/>
      <c r="B758" s="51"/>
      <c r="C758" s="51"/>
      <c r="D758" s="52" t="s">
        <v>1398</v>
      </c>
      <c r="E758" s="51"/>
      <c r="F758" s="53">
        <v>18.57</v>
      </c>
      <c r="G758" s="51"/>
      <c r="H758" s="51"/>
      <c r="I758" s="54"/>
      <c r="J758" s="54"/>
      <c r="K758" s="51"/>
    </row>
    <row r="759" spans="1:45" ht="12.75">
      <c r="A759" s="24"/>
      <c r="B759" s="25"/>
      <c r="C759" s="25" t="s">
        <v>1399</v>
      </c>
      <c r="D759" s="26" t="s">
        <v>1400</v>
      </c>
      <c r="E759" s="24" t="s">
        <v>54</v>
      </c>
      <c r="F759" s="24" t="s">
        <v>54</v>
      </c>
      <c r="G759" s="24"/>
      <c r="H759" s="27">
        <f>SUM(H760:H835)</f>
        <v>0</v>
      </c>
      <c r="I759" s="28"/>
      <c r="J759" s="28">
        <f>SUM(J760:J835)</f>
        <v>85.32606287</v>
      </c>
      <c r="K759" s="29"/>
      <c r="AG759" s="23"/>
      <c r="AQ759" s="31">
        <f>SUM(AH760:AH835)</f>
        <v>0</v>
      </c>
      <c r="AR759" s="31">
        <f>SUM(AI760:AI835)</f>
        <v>0</v>
      </c>
      <c r="AS759" s="31">
        <f>SUM(AJ760:AJ835)</f>
        <v>0</v>
      </c>
    </row>
    <row r="760" spans="1:60" ht="12.75">
      <c r="A760" s="16" t="s">
        <v>1401</v>
      </c>
      <c r="B760" s="16"/>
      <c r="C760" s="16" t="s">
        <v>1402</v>
      </c>
      <c r="D760" s="32" t="s">
        <v>1403</v>
      </c>
      <c r="E760" s="16" t="s">
        <v>192</v>
      </c>
      <c r="F760" s="33">
        <v>262.71</v>
      </c>
      <c r="G760" s="422"/>
      <c r="H760" s="34">
        <f>F760*G760</f>
        <v>0</v>
      </c>
      <c r="I760" s="35">
        <v>0.02094</v>
      </c>
      <c r="J760" s="35">
        <f>F760*I760</f>
        <v>5.5011474</v>
      </c>
      <c r="K760" s="36" t="s">
        <v>94</v>
      </c>
      <c r="X760" s="37">
        <f>IF(AO760="5",BH760,0)</f>
        <v>0</v>
      </c>
      <c r="Z760" s="37">
        <f>IF(AO760="1",BF760,0)</f>
        <v>0</v>
      </c>
      <c r="AA760" s="37">
        <f>IF(AO760="1",BG760,0)</f>
        <v>0</v>
      </c>
      <c r="AB760" s="37">
        <f>IF(AO760="7",BF760,0)</f>
        <v>0</v>
      </c>
      <c r="AC760" s="37">
        <f>IF(AO760="7",BG760,0)</f>
        <v>0</v>
      </c>
      <c r="AD760" s="37">
        <f>IF(AO760="2",BF760,0)</f>
        <v>0</v>
      </c>
      <c r="AE760" s="37">
        <f>IF(AO760="2",BG760,0)</f>
        <v>0</v>
      </c>
      <c r="AF760" s="37">
        <f>IF(AO760="0",BH760,0)</f>
        <v>0</v>
      </c>
      <c r="AG760" s="23"/>
      <c r="AH760" s="37">
        <f>IF(AL760=0,H760,0)</f>
        <v>0</v>
      </c>
      <c r="AI760" s="37">
        <f>IF(AL760=15,H760,0)</f>
        <v>0</v>
      </c>
      <c r="AJ760" s="37">
        <f>IF(AL760=21,H760,0)</f>
        <v>0</v>
      </c>
      <c r="AL760" s="37">
        <v>21</v>
      </c>
      <c r="AM760" s="37">
        <f>G760*0.804371136785649</f>
        <v>0</v>
      </c>
      <c r="AN760" s="37">
        <f>G760*(1-0.804371136785649)</f>
        <v>0</v>
      </c>
      <c r="AO760" s="38" t="s">
        <v>136</v>
      </c>
      <c r="AT760" s="37">
        <f>AU760+AV760</f>
        <v>0</v>
      </c>
      <c r="AU760" s="37">
        <f>F760*AM760</f>
        <v>0</v>
      </c>
      <c r="AV760" s="37">
        <f>F760*AN760</f>
        <v>0</v>
      </c>
      <c r="AW760" s="38" t="s">
        <v>1404</v>
      </c>
      <c r="AX760" s="38" t="s">
        <v>1075</v>
      </c>
      <c r="AY760" s="23" t="s">
        <v>97</v>
      </c>
      <c r="BA760" s="37">
        <f>AU760+AV760</f>
        <v>0</v>
      </c>
      <c r="BB760" s="37">
        <f>G760/(100-BC760)*100</f>
        <v>0</v>
      </c>
      <c r="BC760" s="37">
        <v>0</v>
      </c>
      <c r="BD760" s="37">
        <f>J760</f>
        <v>5.5011474</v>
      </c>
      <c r="BF760" s="37">
        <f>F760*AM760</f>
        <v>0</v>
      </c>
      <c r="BG760" s="37">
        <f>F760*AN760</f>
        <v>0</v>
      </c>
      <c r="BH760" s="37">
        <f>F760*G760</f>
        <v>0</v>
      </c>
    </row>
    <row r="761" spans="1:11" ht="12.75">
      <c r="A761" s="39"/>
      <c r="B761" s="40"/>
      <c r="C761" s="40"/>
      <c r="D761" s="41" t="s">
        <v>1405</v>
      </c>
      <c r="E761" s="40"/>
      <c r="F761" s="42">
        <v>255.01</v>
      </c>
      <c r="G761" s="40"/>
      <c r="H761" s="40"/>
      <c r="I761" s="43"/>
      <c r="J761" s="43"/>
      <c r="K761" s="40"/>
    </row>
    <row r="762" spans="1:11" ht="12.75">
      <c r="A762" s="39"/>
      <c r="B762" s="40"/>
      <c r="C762" s="40"/>
      <c r="D762" s="41" t="s">
        <v>1406</v>
      </c>
      <c r="E762" s="40"/>
      <c r="F762" s="42">
        <v>7.7</v>
      </c>
      <c r="G762" s="40"/>
      <c r="H762" s="40"/>
      <c r="I762" s="43"/>
      <c r="J762" s="43"/>
      <c r="K762" s="40"/>
    </row>
    <row r="763" spans="1:60" ht="12.75">
      <c r="A763" s="44" t="s">
        <v>1407</v>
      </c>
      <c r="B763" s="44"/>
      <c r="C763" s="16" t="s">
        <v>1408</v>
      </c>
      <c r="D763" s="32" t="s">
        <v>1409</v>
      </c>
      <c r="E763" s="16" t="s">
        <v>395</v>
      </c>
      <c r="F763" s="33">
        <v>105</v>
      </c>
      <c r="G763" s="422"/>
      <c r="H763" s="34">
        <f>F763*G763</f>
        <v>0</v>
      </c>
      <c r="I763" s="48">
        <v>0.00278</v>
      </c>
      <c r="J763" s="48">
        <f>F763*I763</f>
        <v>0.2919</v>
      </c>
      <c r="K763" s="49" t="s">
        <v>94</v>
      </c>
      <c r="X763" s="37">
        <f>IF(AO763="5",BH763,0)</f>
        <v>0</v>
      </c>
      <c r="Z763" s="37">
        <f>IF(AO763="1",BF763,0)</f>
        <v>0</v>
      </c>
      <c r="AA763" s="37">
        <f>IF(AO763="1",BG763,0)</f>
        <v>0</v>
      </c>
      <c r="AB763" s="37">
        <f>IF(AO763="7",BF763,0)</f>
        <v>0</v>
      </c>
      <c r="AC763" s="37">
        <f>IF(AO763="7",BG763,0)</f>
        <v>0</v>
      </c>
      <c r="AD763" s="37">
        <f>IF(AO763="2",BF763,0)</f>
        <v>0</v>
      </c>
      <c r="AE763" s="37">
        <f>IF(AO763="2",BG763,0)</f>
        <v>0</v>
      </c>
      <c r="AF763" s="37">
        <f>IF(AO763="0",BH763,0)</f>
        <v>0</v>
      </c>
      <c r="AG763" s="23"/>
      <c r="AH763" s="37">
        <f>IF(AL763=0,H763,0)</f>
        <v>0</v>
      </c>
      <c r="AI763" s="37">
        <f>IF(AL763=15,H763,0)</f>
        <v>0</v>
      </c>
      <c r="AJ763" s="37">
        <f>IF(AL763=21,H763,0)</f>
        <v>0</v>
      </c>
      <c r="AL763" s="37">
        <v>21</v>
      </c>
      <c r="AM763" s="37">
        <f>G763*0.356085825747724</f>
        <v>0</v>
      </c>
      <c r="AN763" s="37">
        <f>G763*(1-0.356085825747724)</f>
        <v>0</v>
      </c>
      <c r="AO763" s="38" t="s">
        <v>136</v>
      </c>
      <c r="AT763" s="37">
        <f>AU763+AV763</f>
        <v>0</v>
      </c>
      <c r="AU763" s="37">
        <f>F763*AM763</f>
        <v>0</v>
      </c>
      <c r="AV763" s="37">
        <f>F763*AN763</f>
        <v>0</v>
      </c>
      <c r="AW763" s="38" t="s">
        <v>1404</v>
      </c>
      <c r="AX763" s="38" t="s">
        <v>1075</v>
      </c>
      <c r="AY763" s="23" t="s">
        <v>97</v>
      </c>
      <c r="BA763" s="37">
        <f>AU763+AV763</f>
        <v>0</v>
      </c>
      <c r="BB763" s="37">
        <f>G763/(100-BC763)*100</f>
        <v>0</v>
      </c>
      <c r="BC763" s="37">
        <v>0</v>
      </c>
      <c r="BD763" s="37">
        <f>J763</f>
        <v>0.2919</v>
      </c>
      <c r="BF763" s="37">
        <f>F763*AM763</f>
        <v>0</v>
      </c>
      <c r="BG763" s="37">
        <f>F763*AN763</f>
        <v>0</v>
      </c>
      <c r="BH763" s="37">
        <f>F763*G763</f>
        <v>0</v>
      </c>
    </row>
    <row r="764" spans="1:11" ht="12.75">
      <c r="A764" s="50"/>
      <c r="B764" s="51"/>
      <c r="C764" s="55"/>
      <c r="D764" s="41" t="s">
        <v>1410</v>
      </c>
      <c r="E764" s="55"/>
      <c r="F764" s="42">
        <v>105</v>
      </c>
      <c r="G764" s="55"/>
      <c r="H764" s="55"/>
      <c r="I764" s="54"/>
      <c r="J764" s="54"/>
      <c r="K764" s="51"/>
    </row>
    <row r="765" spans="1:60" ht="12.75">
      <c r="A765" s="16" t="s">
        <v>1411</v>
      </c>
      <c r="B765" s="16"/>
      <c r="C765" s="16" t="s">
        <v>1412</v>
      </c>
      <c r="D765" s="32" t="s">
        <v>1413</v>
      </c>
      <c r="E765" s="16" t="s">
        <v>192</v>
      </c>
      <c r="F765" s="33">
        <v>429</v>
      </c>
      <c r="G765" s="422"/>
      <c r="H765" s="34">
        <f>F765*G765</f>
        <v>0</v>
      </c>
      <c r="I765" s="35">
        <v>2E-05</v>
      </c>
      <c r="J765" s="35">
        <f>F765*I765</f>
        <v>0.00858</v>
      </c>
      <c r="K765" s="36" t="s">
        <v>226</v>
      </c>
      <c r="X765" s="37">
        <f>IF(AO765="5",BH765,0)</f>
        <v>0</v>
      </c>
      <c r="Z765" s="37">
        <f>IF(AO765="1",BF765,0)</f>
        <v>0</v>
      </c>
      <c r="AA765" s="37">
        <f>IF(AO765="1",BG765,0)</f>
        <v>0</v>
      </c>
      <c r="AB765" s="37">
        <f>IF(AO765="7",BF765,0)</f>
        <v>0</v>
      </c>
      <c r="AC765" s="37">
        <f>IF(AO765="7",BG765,0)</f>
        <v>0</v>
      </c>
      <c r="AD765" s="37">
        <f>IF(AO765="2",BF765,0)</f>
        <v>0</v>
      </c>
      <c r="AE765" s="37">
        <f>IF(AO765="2",BG765,0)</f>
        <v>0</v>
      </c>
      <c r="AF765" s="37">
        <f>IF(AO765="0",BH765,0)</f>
        <v>0</v>
      </c>
      <c r="AG765" s="23"/>
      <c r="AH765" s="37">
        <f>IF(AL765=0,H765,0)</f>
        <v>0</v>
      </c>
      <c r="AI765" s="37">
        <f>IF(AL765=15,H765,0)</f>
        <v>0</v>
      </c>
      <c r="AJ765" s="37">
        <f>IF(AL765=21,H765,0)</f>
        <v>0</v>
      </c>
      <c r="AL765" s="37">
        <v>21</v>
      </c>
      <c r="AM765" s="37">
        <f>G765*0.392580640839827</f>
        <v>0</v>
      </c>
      <c r="AN765" s="37">
        <f>G765*(1-0.392580640839827)</f>
        <v>0</v>
      </c>
      <c r="AO765" s="38" t="s">
        <v>136</v>
      </c>
      <c r="AT765" s="37">
        <f>AU765+AV765</f>
        <v>0</v>
      </c>
      <c r="AU765" s="37">
        <f>F765*AM765</f>
        <v>0</v>
      </c>
      <c r="AV765" s="37">
        <f>F765*AN765</f>
        <v>0</v>
      </c>
      <c r="AW765" s="38" t="s">
        <v>1404</v>
      </c>
      <c r="AX765" s="38" t="s">
        <v>1075</v>
      </c>
      <c r="AY765" s="23" t="s">
        <v>97</v>
      </c>
      <c r="BA765" s="37">
        <f>AU765+AV765</f>
        <v>0</v>
      </c>
      <c r="BB765" s="37">
        <f>G765/(100-BC765)*100</f>
        <v>0</v>
      </c>
      <c r="BC765" s="37">
        <v>0</v>
      </c>
      <c r="BD765" s="37">
        <f>J765</f>
        <v>0.00858</v>
      </c>
      <c r="BF765" s="37">
        <f>F765*AM765</f>
        <v>0</v>
      </c>
      <c r="BG765" s="37">
        <f>F765*AN765</f>
        <v>0</v>
      </c>
      <c r="BH765" s="37">
        <f>F765*G765</f>
        <v>0</v>
      </c>
    </row>
    <row r="766" spans="1:11" ht="12.75">
      <c r="A766" s="39"/>
      <c r="B766" s="40"/>
      <c r="C766" s="40"/>
      <c r="D766" s="41" t="s">
        <v>1414</v>
      </c>
      <c r="E766" s="40"/>
      <c r="F766" s="42">
        <v>429</v>
      </c>
      <c r="G766" s="40"/>
      <c r="H766" s="40"/>
      <c r="I766" s="43"/>
      <c r="J766" s="43"/>
      <c r="K766" s="40"/>
    </row>
    <row r="767" spans="1:60" ht="25.5">
      <c r="A767" s="16" t="s">
        <v>1415</v>
      </c>
      <c r="B767" s="16"/>
      <c r="C767" s="16" t="s">
        <v>1416</v>
      </c>
      <c r="D767" s="32" t="s">
        <v>1417</v>
      </c>
      <c r="E767" s="16" t="s">
        <v>192</v>
      </c>
      <c r="F767" s="33">
        <v>120</v>
      </c>
      <c r="G767" s="422"/>
      <c r="H767" s="34">
        <f>F767*G767</f>
        <v>0</v>
      </c>
      <c r="I767" s="35">
        <v>0.02094</v>
      </c>
      <c r="J767" s="35">
        <f>F767*I767</f>
        <v>2.5128</v>
      </c>
      <c r="K767" s="36" t="s">
        <v>226</v>
      </c>
      <c r="X767" s="37">
        <f>IF(AO767="5",BH767,0)</f>
        <v>0</v>
      </c>
      <c r="Z767" s="37">
        <f>IF(AO767="1",BF767,0)</f>
        <v>0</v>
      </c>
      <c r="AA767" s="37">
        <f>IF(AO767="1",BG767,0)</f>
        <v>0</v>
      </c>
      <c r="AB767" s="37">
        <f>IF(AO767="7",BF767,0)</f>
        <v>0</v>
      </c>
      <c r="AC767" s="37">
        <f>IF(AO767="7",BG767,0)</f>
        <v>0</v>
      </c>
      <c r="AD767" s="37">
        <f>IF(AO767="2",BF767,0)</f>
        <v>0</v>
      </c>
      <c r="AE767" s="37">
        <f>IF(AO767="2",BG767,0)</f>
        <v>0</v>
      </c>
      <c r="AF767" s="37">
        <f>IF(AO767="0",BH767,0)</f>
        <v>0</v>
      </c>
      <c r="AG767" s="23"/>
      <c r="AH767" s="37">
        <f>IF(AL767=0,H767,0)</f>
        <v>0</v>
      </c>
      <c r="AI767" s="37">
        <f>IF(AL767=15,H767,0)</f>
        <v>0</v>
      </c>
      <c r="AJ767" s="37">
        <f>IF(AL767=21,H767,0)</f>
        <v>0</v>
      </c>
      <c r="AL767" s="37">
        <v>21</v>
      </c>
      <c r="AM767" s="37">
        <f>G767*0.808063492063492</f>
        <v>0</v>
      </c>
      <c r="AN767" s="37">
        <f>G767*(1-0.808063492063492)</f>
        <v>0</v>
      </c>
      <c r="AO767" s="38" t="s">
        <v>136</v>
      </c>
      <c r="AT767" s="37">
        <f>AU767+AV767</f>
        <v>0</v>
      </c>
      <c r="AU767" s="37">
        <f>F767*AM767</f>
        <v>0</v>
      </c>
      <c r="AV767" s="37">
        <f>F767*AN767</f>
        <v>0</v>
      </c>
      <c r="AW767" s="38" t="s">
        <v>1404</v>
      </c>
      <c r="AX767" s="38" t="s">
        <v>1075</v>
      </c>
      <c r="AY767" s="23" t="s">
        <v>97</v>
      </c>
      <c r="BA767" s="37">
        <f>AU767+AV767</f>
        <v>0</v>
      </c>
      <c r="BB767" s="37">
        <f>G767/(100-BC767)*100</f>
        <v>0</v>
      </c>
      <c r="BC767" s="37">
        <v>0</v>
      </c>
      <c r="BD767" s="37">
        <f>J767</f>
        <v>2.5128</v>
      </c>
      <c r="BF767" s="37">
        <f>F767*AM767</f>
        <v>0</v>
      </c>
      <c r="BG767" s="37">
        <f>F767*AN767</f>
        <v>0</v>
      </c>
      <c r="BH767" s="37">
        <f>F767*G767</f>
        <v>0</v>
      </c>
    </row>
    <row r="768" spans="1:11" ht="12.75">
      <c r="A768" s="39"/>
      <c r="B768" s="40"/>
      <c r="C768" s="40"/>
      <c r="D768" s="41" t="s">
        <v>1418</v>
      </c>
      <c r="E768" s="40"/>
      <c r="F768" s="42">
        <v>120</v>
      </c>
      <c r="G768" s="40"/>
      <c r="H768" s="40"/>
      <c r="I768" s="43"/>
      <c r="J768" s="43"/>
      <c r="K768" s="40"/>
    </row>
    <row r="769" spans="1:60" ht="25.5">
      <c r="A769" s="44" t="s">
        <v>1419</v>
      </c>
      <c r="B769" s="44"/>
      <c r="C769" s="16" t="s">
        <v>1416</v>
      </c>
      <c r="D769" s="32" t="s">
        <v>1420</v>
      </c>
      <c r="E769" s="16" t="s">
        <v>395</v>
      </c>
      <c r="F769" s="33">
        <v>156.98</v>
      </c>
      <c r="G769" s="422"/>
      <c r="H769" s="34">
        <f>F769*G769</f>
        <v>0</v>
      </c>
      <c r="I769" s="48">
        <v>0.00278</v>
      </c>
      <c r="J769" s="48">
        <f>F769*I769</f>
        <v>0.43640439999999997</v>
      </c>
      <c r="K769" s="49" t="s">
        <v>1421</v>
      </c>
      <c r="X769" s="37">
        <f>IF(AO769="5",BH769,0)</f>
        <v>0</v>
      </c>
      <c r="Z769" s="37">
        <f>IF(AO769="1",BF769,0)</f>
        <v>0</v>
      </c>
      <c r="AA769" s="37">
        <f>IF(AO769="1",BG769,0)</f>
        <v>0</v>
      </c>
      <c r="AB769" s="37">
        <f>IF(AO769="7",BF769,0)</f>
        <v>0</v>
      </c>
      <c r="AC769" s="37">
        <f>IF(AO769="7",BG769,0)</f>
        <v>0</v>
      </c>
      <c r="AD769" s="37">
        <f>IF(AO769="2",BF769,0)</f>
        <v>0</v>
      </c>
      <c r="AE769" s="37">
        <f>IF(AO769="2",BG769,0)</f>
        <v>0</v>
      </c>
      <c r="AF769" s="37">
        <f>IF(AO769="0",BH769,0)</f>
        <v>0</v>
      </c>
      <c r="AG769" s="23"/>
      <c r="AH769" s="37">
        <f>IF(AL769=0,H769,0)</f>
        <v>0</v>
      </c>
      <c r="AI769" s="37">
        <f>IF(AL769=15,H769,0)</f>
        <v>0</v>
      </c>
      <c r="AJ769" s="37">
        <f>IF(AL769=21,H769,0)</f>
        <v>0</v>
      </c>
      <c r="AL769" s="37">
        <v>21</v>
      </c>
      <c r="AM769" s="37">
        <f>G769*0.359800268504776</f>
        <v>0</v>
      </c>
      <c r="AN769" s="37">
        <f>G769*(1-0.359800268504776)</f>
        <v>0</v>
      </c>
      <c r="AO769" s="38" t="s">
        <v>136</v>
      </c>
      <c r="AT769" s="37">
        <f>AU769+AV769</f>
        <v>0</v>
      </c>
      <c r="AU769" s="37">
        <f>F769*AM769</f>
        <v>0</v>
      </c>
      <c r="AV769" s="37">
        <f>F769*AN769</f>
        <v>0</v>
      </c>
      <c r="AW769" s="38" t="s">
        <v>1404</v>
      </c>
      <c r="AX769" s="38" t="s">
        <v>1075</v>
      </c>
      <c r="AY769" s="23" t="s">
        <v>97</v>
      </c>
      <c r="BA769" s="37">
        <f>AU769+AV769</f>
        <v>0</v>
      </c>
      <c r="BB769" s="37">
        <f>G769/(100-BC769)*100</f>
        <v>0</v>
      </c>
      <c r="BC769" s="37">
        <v>0</v>
      </c>
      <c r="BD769" s="37">
        <f>J769</f>
        <v>0.43640439999999997</v>
      </c>
      <c r="BF769" s="37">
        <f>F769*AM769</f>
        <v>0</v>
      </c>
      <c r="BG769" s="37">
        <f>F769*AN769</f>
        <v>0</v>
      </c>
      <c r="BH769" s="37">
        <f>F769*G769</f>
        <v>0</v>
      </c>
    </row>
    <row r="770" spans="1:11" ht="12.75">
      <c r="A770" s="50"/>
      <c r="B770" s="51"/>
      <c r="C770" s="55"/>
      <c r="D770" s="41" t="s">
        <v>1422</v>
      </c>
      <c r="E770" s="55"/>
      <c r="F770" s="42">
        <v>156.98</v>
      </c>
      <c r="G770" s="55"/>
      <c r="H770" s="55"/>
      <c r="I770" s="54"/>
      <c r="J770" s="54"/>
      <c r="K770" s="51"/>
    </row>
    <row r="771" spans="1:60" ht="25.5">
      <c r="A771" s="16" t="s">
        <v>1423</v>
      </c>
      <c r="B771" s="16"/>
      <c r="C771" s="16" t="s">
        <v>1424</v>
      </c>
      <c r="D771" s="32" t="s">
        <v>1417</v>
      </c>
      <c r="E771" s="16" t="s">
        <v>192</v>
      </c>
      <c r="F771" s="33">
        <v>524</v>
      </c>
      <c r="G771" s="422"/>
      <c r="H771" s="34">
        <f>F771*G771</f>
        <v>0</v>
      </c>
      <c r="I771" s="35">
        <v>0.02094</v>
      </c>
      <c r="J771" s="35">
        <f>F771*I771</f>
        <v>10.97256</v>
      </c>
      <c r="K771" s="36" t="s">
        <v>226</v>
      </c>
      <c r="X771" s="37">
        <f>IF(AO771="5",BH771,0)</f>
        <v>0</v>
      </c>
      <c r="Z771" s="37">
        <f>IF(AO771="1",BF771,0)</f>
        <v>0</v>
      </c>
      <c r="AA771" s="37">
        <f>IF(AO771="1",BG771,0)</f>
        <v>0</v>
      </c>
      <c r="AB771" s="37">
        <f>IF(AO771="7",BF771,0)</f>
        <v>0</v>
      </c>
      <c r="AC771" s="37">
        <f>IF(AO771="7",BG771,0)</f>
        <v>0</v>
      </c>
      <c r="AD771" s="37">
        <f>IF(AO771="2",BF771,0)</f>
        <v>0</v>
      </c>
      <c r="AE771" s="37">
        <f>IF(AO771="2",BG771,0)</f>
        <v>0</v>
      </c>
      <c r="AF771" s="37">
        <f>IF(AO771="0",BH771,0)</f>
        <v>0</v>
      </c>
      <c r="AG771" s="23"/>
      <c r="AH771" s="37">
        <f>IF(AL771=0,H771,0)</f>
        <v>0</v>
      </c>
      <c r="AI771" s="37">
        <f>IF(AL771=15,H771,0)</f>
        <v>0</v>
      </c>
      <c r="AJ771" s="37">
        <f>IF(AL771=21,H771,0)</f>
        <v>0</v>
      </c>
      <c r="AL771" s="37">
        <v>21</v>
      </c>
      <c r="AM771" s="37">
        <f>G771*0.808062814070352</f>
        <v>0</v>
      </c>
      <c r="AN771" s="37">
        <f>G771*(1-0.808062814070352)</f>
        <v>0</v>
      </c>
      <c r="AO771" s="38" t="s">
        <v>136</v>
      </c>
      <c r="AT771" s="37">
        <f>AU771+AV771</f>
        <v>0</v>
      </c>
      <c r="AU771" s="37">
        <f>F771*AM771</f>
        <v>0</v>
      </c>
      <c r="AV771" s="37">
        <f>F771*AN771</f>
        <v>0</v>
      </c>
      <c r="AW771" s="38" t="s">
        <v>1404</v>
      </c>
      <c r="AX771" s="38" t="s">
        <v>1075</v>
      </c>
      <c r="AY771" s="23" t="s">
        <v>97</v>
      </c>
      <c r="BA771" s="37">
        <f>AU771+AV771</f>
        <v>0</v>
      </c>
      <c r="BB771" s="37">
        <f>G771/(100-BC771)*100</f>
        <v>0</v>
      </c>
      <c r="BC771" s="37">
        <v>0</v>
      </c>
      <c r="BD771" s="37">
        <f>J771</f>
        <v>10.97256</v>
      </c>
      <c r="BF771" s="37">
        <f>F771*AM771</f>
        <v>0</v>
      </c>
      <c r="BG771" s="37">
        <f>F771*AN771</f>
        <v>0</v>
      </c>
      <c r="BH771" s="37">
        <f>F771*G771</f>
        <v>0</v>
      </c>
    </row>
    <row r="772" spans="1:11" ht="12.75">
      <c r="A772" s="39"/>
      <c r="B772" s="40"/>
      <c r="C772" s="40"/>
      <c r="D772" s="41" t="s">
        <v>1425</v>
      </c>
      <c r="E772" s="40"/>
      <c r="F772" s="42">
        <v>524</v>
      </c>
      <c r="G772" s="40"/>
      <c r="H772" s="40"/>
      <c r="I772" s="43"/>
      <c r="J772" s="43"/>
      <c r="K772" s="40"/>
    </row>
    <row r="773" spans="1:60" ht="25.5">
      <c r="A773" s="16" t="s">
        <v>1426</v>
      </c>
      <c r="B773" s="16"/>
      <c r="C773" s="16" t="s">
        <v>1427</v>
      </c>
      <c r="D773" s="32" t="s">
        <v>1428</v>
      </c>
      <c r="E773" s="16" t="s">
        <v>239</v>
      </c>
      <c r="F773" s="33">
        <v>37.587</v>
      </c>
      <c r="G773" s="422"/>
      <c r="H773" s="34">
        <f>F773*G773</f>
        <v>0</v>
      </c>
      <c r="I773" s="35">
        <v>1.005</v>
      </c>
      <c r="J773" s="35">
        <f>F773*I773</f>
        <v>37.774935</v>
      </c>
      <c r="K773" s="36" t="s">
        <v>226</v>
      </c>
      <c r="X773" s="37">
        <f>IF(AO773="5",BH773,0)</f>
        <v>0</v>
      </c>
      <c r="Z773" s="37">
        <f>IF(AO773="1",BF773,0)</f>
        <v>0</v>
      </c>
      <c r="AA773" s="37">
        <f>IF(AO773="1",BG773,0)</f>
        <v>0</v>
      </c>
      <c r="AB773" s="37">
        <f>IF(AO773="7",BF773,0)</f>
        <v>0</v>
      </c>
      <c r="AC773" s="37">
        <f>IF(AO773="7",BG773,0)</f>
        <v>0</v>
      </c>
      <c r="AD773" s="37">
        <f>IF(AO773="2",BF773,0)</f>
        <v>0</v>
      </c>
      <c r="AE773" s="37">
        <f>IF(AO773="2",BG773,0)</f>
        <v>0</v>
      </c>
      <c r="AF773" s="37">
        <f>IF(AO773="0",BH773,0)</f>
        <v>0</v>
      </c>
      <c r="AG773" s="23"/>
      <c r="AH773" s="37">
        <f>IF(AL773=0,H773,0)</f>
        <v>0</v>
      </c>
      <c r="AI773" s="37">
        <f>IF(AL773=15,H773,0)</f>
        <v>0</v>
      </c>
      <c r="AJ773" s="37">
        <f>IF(AL773=21,H773,0)</f>
        <v>0</v>
      </c>
      <c r="AL773" s="37">
        <v>21</v>
      </c>
      <c r="AM773" s="37">
        <f>G773*0.26475</f>
        <v>0</v>
      </c>
      <c r="AN773" s="37">
        <f>G773*(1-0.26475)</f>
        <v>0</v>
      </c>
      <c r="AO773" s="38" t="s">
        <v>136</v>
      </c>
      <c r="AT773" s="37">
        <f>AU773+AV773</f>
        <v>0</v>
      </c>
      <c r="AU773" s="37">
        <f>F773*AM773</f>
        <v>0</v>
      </c>
      <c r="AV773" s="37">
        <f>F773*AN773</f>
        <v>0</v>
      </c>
      <c r="AW773" s="38" t="s">
        <v>1404</v>
      </c>
      <c r="AX773" s="38" t="s">
        <v>1075</v>
      </c>
      <c r="AY773" s="23" t="s">
        <v>97</v>
      </c>
      <c r="BA773" s="37">
        <f>AU773+AV773</f>
        <v>0</v>
      </c>
      <c r="BB773" s="37">
        <f>G773/(100-BC773)*100</f>
        <v>0</v>
      </c>
      <c r="BC773" s="37">
        <v>0</v>
      </c>
      <c r="BD773" s="37">
        <f>J773</f>
        <v>37.774935</v>
      </c>
      <c r="BF773" s="37">
        <f>F773*AM773</f>
        <v>0</v>
      </c>
      <c r="BG773" s="37">
        <f>F773*AN773</f>
        <v>0</v>
      </c>
      <c r="BH773" s="37">
        <f>F773*G773</f>
        <v>0</v>
      </c>
    </row>
    <row r="774" spans="1:11" ht="12.75">
      <c r="A774" s="39"/>
      <c r="B774" s="40"/>
      <c r="C774" s="40"/>
      <c r="D774" s="41" t="s">
        <v>1429</v>
      </c>
      <c r="E774" s="40"/>
      <c r="F774" s="42">
        <v>26.121</v>
      </c>
      <c r="G774" s="40"/>
      <c r="H774" s="40"/>
      <c r="I774" s="43"/>
      <c r="J774" s="43"/>
      <c r="K774" s="40"/>
    </row>
    <row r="775" spans="1:11" ht="12.75">
      <c r="A775" s="39"/>
      <c r="B775" s="40"/>
      <c r="C775" s="40"/>
      <c r="D775" s="41" t="s">
        <v>1430</v>
      </c>
      <c r="E775" s="40"/>
      <c r="F775" s="42">
        <v>11.466</v>
      </c>
      <c r="G775" s="40"/>
      <c r="H775" s="40"/>
      <c r="I775" s="43"/>
      <c r="J775" s="43"/>
      <c r="K775" s="40"/>
    </row>
    <row r="776" spans="1:60" ht="25.5">
      <c r="A776" s="16" t="s">
        <v>1431</v>
      </c>
      <c r="B776" s="16"/>
      <c r="C776" s="16" t="s">
        <v>1432</v>
      </c>
      <c r="D776" s="32" t="s">
        <v>1433</v>
      </c>
      <c r="E776" s="16" t="s">
        <v>395</v>
      </c>
      <c r="F776" s="33">
        <v>801.35</v>
      </c>
      <c r="G776" s="422"/>
      <c r="H776" s="34">
        <f>F776*G776</f>
        <v>0</v>
      </c>
      <c r="I776" s="35">
        <v>1E-05</v>
      </c>
      <c r="J776" s="35">
        <f>F776*I776</f>
        <v>0.008013500000000002</v>
      </c>
      <c r="K776" s="36" t="s">
        <v>94</v>
      </c>
      <c r="X776" s="37">
        <f>IF(AO776="5",BH776,0)</f>
        <v>0</v>
      </c>
      <c r="Z776" s="37">
        <f>IF(AO776="1",BF776,0)</f>
        <v>0</v>
      </c>
      <c r="AA776" s="37">
        <f>IF(AO776="1",BG776,0)</f>
        <v>0</v>
      </c>
      <c r="AB776" s="37">
        <f>IF(AO776="7",BF776,0)</f>
        <v>0</v>
      </c>
      <c r="AC776" s="37">
        <f>IF(AO776="7",BG776,0)</f>
        <v>0</v>
      </c>
      <c r="AD776" s="37">
        <f>IF(AO776="2",BF776,0)</f>
        <v>0</v>
      </c>
      <c r="AE776" s="37">
        <f>IF(AO776="2",BG776,0)</f>
        <v>0</v>
      </c>
      <c r="AF776" s="37">
        <f>IF(AO776="0",BH776,0)</f>
        <v>0</v>
      </c>
      <c r="AG776" s="23"/>
      <c r="AH776" s="37">
        <f>IF(AL776=0,H776,0)</f>
        <v>0</v>
      </c>
      <c r="AI776" s="37">
        <f>IF(AL776=15,H776,0)</f>
        <v>0</v>
      </c>
      <c r="AJ776" s="37">
        <f>IF(AL776=21,H776,0)</f>
        <v>0</v>
      </c>
      <c r="AL776" s="37">
        <v>21</v>
      </c>
      <c r="AM776" s="37">
        <f>G776*0.049</f>
        <v>0</v>
      </c>
      <c r="AN776" s="37">
        <f>G776*(1-0.049)</f>
        <v>0</v>
      </c>
      <c r="AO776" s="38" t="s">
        <v>136</v>
      </c>
      <c r="AT776" s="37">
        <f>AU776+AV776</f>
        <v>0</v>
      </c>
      <c r="AU776" s="37">
        <f>F776*AM776</f>
        <v>0</v>
      </c>
      <c r="AV776" s="37">
        <f>F776*AN776</f>
        <v>0</v>
      </c>
      <c r="AW776" s="38" t="s">
        <v>1404</v>
      </c>
      <c r="AX776" s="38" t="s">
        <v>1075</v>
      </c>
      <c r="AY776" s="23" t="s">
        <v>97</v>
      </c>
      <c r="BA776" s="37">
        <f>AU776+AV776</f>
        <v>0</v>
      </c>
      <c r="BB776" s="37">
        <f>G776/(100-BC776)*100</f>
        <v>0</v>
      </c>
      <c r="BC776" s="37">
        <v>0</v>
      </c>
      <c r="BD776" s="37">
        <f>J776</f>
        <v>0.008013500000000002</v>
      </c>
      <c r="BF776" s="37">
        <f>F776*AM776</f>
        <v>0</v>
      </c>
      <c r="BG776" s="37">
        <f>F776*AN776</f>
        <v>0</v>
      </c>
      <c r="BH776" s="37">
        <f>F776*G776</f>
        <v>0</v>
      </c>
    </row>
    <row r="777" spans="1:11" ht="12.75">
      <c r="A777" s="39"/>
      <c r="B777" s="40"/>
      <c r="C777" s="40"/>
      <c r="D777" s="41" t="s">
        <v>1434</v>
      </c>
      <c r="E777" s="40"/>
      <c r="F777" s="42">
        <v>801.35</v>
      </c>
      <c r="G777" s="40"/>
      <c r="H777" s="40"/>
      <c r="I777" s="43"/>
      <c r="J777" s="43"/>
      <c r="K777" s="40"/>
    </row>
    <row r="778" spans="1:60" ht="12.75">
      <c r="A778" s="16" t="s">
        <v>1435</v>
      </c>
      <c r="B778" s="16"/>
      <c r="C778" s="16" t="s">
        <v>1436</v>
      </c>
      <c r="D778" s="32" t="s">
        <v>1437</v>
      </c>
      <c r="E778" s="16" t="s">
        <v>192</v>
      </c>
      <c r="F778" s="33">
        <v>910.625</v>
      </c>
      <c r="G778" s="422"/>
      <c r="H778" s="34">
        <f>F778*G778</f>
        <v>0</v>
      </c>
      <c r="I778" s="35">
        <v>0.00071</v>
      </c>
      <c r="J778" s="35">
        <f>F778*I778</f>
        <v>0.64654375</v>
      </c>
      <c r="K778" s="36" t="s">
        <v>94</v>
      </c>
      <c r="X778" s="37">
        <f>IF(AO778="5",BH778,0)</f>
        <v>0</v>
      </c>
      <c r="Z778" s="37">
        <f>IF(AO778="1",BF778,0)</f>
        <v>0</v>
      </c>
      <c r="AA778" s="37">
        <f>IF(AO778="1",BG778,0)</f>
        <v>0</v>
      </c>
      <c r="AB778" s="37">
        <f>IF(AO778="7",BF778,0)</f>
        <v>0</v>
      </c>
      <c r="AC778" s="37">
        <f>IF(AO778="7",BG778,0)</f>
        <v>0</v>
      </c>
      <c r="AD778" s="37">
        <f>IF(AO778="2",BF778,0)</f>
        <v>0</v>
      </c>
      <c r="AE778" s="37">
        <f>IF(AO778="2",BG778,0)</f>
        <v>0</v>
      </c>
      <c r="AF778" s="37">
        <f>IF(AO778="0",BH778,0)</f>
        <v>0</v>
      </c>
      <c r="AG778" s="23"/>
      <c r="AH778" s="37">
        <f>IF(AL778=0,H778,0)</f>
        <v>0</v>
      </c>
      <c r="AI778" s="37">
        <f>IF(AL778=15,H778,0)</f>
        <v>0</v>
      </c>
      <c r="AJ778" s="37">
        <f>IF(AL778=21,H778,0)</f>
        <v>0</v>
      </c>
      <c r="AL778" s="37">
        <v>21</v>
      </c>
      <c r="AM778" s="37">
        <f>G778*0.193227391433834</f>
        <v>0</v>
      </c>
      <c r="AN778" s="37">
        <f>G778*(1-0.193227391433834)</f>
        <v>0</v>
      </c>
      <c r="AO778" s="38" t="s">
        <v>136</v>
      </c>
      <c r="AT778" s="37">
        <f>AU778+AV778</f>
        <v>0</v>
      </c>
      <c r="AU778" s="37">
        <f>F778*AM778</f>
        <v>0</v>
      </c>
      <c r="AV778" s="37">
        <f>F778*AN778</f>
        <v>0</v>
      </c>
      <c r="AW778" s="38" t="s">
        <v>1404</v>
      </c>
      <c r="AX778" s="38" t="s">
        <v>1075</v>
      </c>
      <c r="AY778" s="23" t="s">
        <v>97</v>
      </c>
      <c r="BA778" s="37">
        <f>AU778+AV778</f>
        <v>0</v>
      </c>
      <c r="BB778" s="37">
        <f>G778/(100-BC778)*100</f>
        <v>0</v>
      </c>
      <c r="BC778" s="37">
        <v>0</v>
      </c>
      <c r="BD778" s="37">
        <f>J778</f>
        <v>0.64654375</v>
      </c>
      <c r="BF778" s="37">
        <f>F778*AM778</f>
        <v>0</v>
      </c>
      <c r="BG778" s="37">
        <f>F778*AN778</f>
        <v>0</v>
      </c>
      <c r="BH778" s="37">
        <f>F778*G778</f>
        <v>0</v>
      </c>
    </row>
    <row r="779" spans="1:11" ht="12.75">
      <c r="A779" s="39"/>
      <c r="B779" s="40"/>
      <c r="C779" s="40"/>
      <c r="D779" s="41" t="s">
        <v>1438</v>
      </c>
      <c r="E779" s="40"/>
      <c r="F779" s="42">
        <v>910.625</v>
      </c>
      <c r="G779" s="40"/>
      <c r="H779" s="40"/>
      <c r="I779" s="43"/>
      <c r="J779" s="43"/>
      <c r="K779" s="40"/>
    </row>
    <row r="780" spans="1:60" ht="12.75">
      <c r="A780" s="16" t="s">
        <v>1439</v>
      </c>
      <c r="B780" s="16"/>
      <c r="C780" s="16" t="s">
        <v>1440</v>
      </c>
      <c r="D780" s="32" t="s">
        <v>1441</v>
      </c>
      <c r="E780" s="16" t="s">
        <v>192</v>
      </c>
      <c r="F780" s="33">
        <v>1047.219</v>
      </c>
      <c r="G780" s="422"/>
      <c r="H780" s="34">
        <f>F780*G780</f>
        <v>0</v>
      </c>
      <c r="I780" s="35">
        <v>0.01278</v>
      </c>
      <c r="J780" s="35">
        <f>F780*I780</f>
        <v>13.38345882</v>
      </c>
      <c r="K780" s="36" t="s">
        <v>94</v>
      </c>
      <c r="X780" s="37">
        <f>IF(AO780="5",BH780,0)</f>
        <v>0</v>
      </c>
      <c r="Z780" s="37">
        <f>IF(AO780="1",BF780,0)</f>
        <v>0</v>
      </c>
      <c r="AA780" s="37">
        <f>IF(AO780="1",BG780,0)</f>
        <v>0</v>
      </c>
      <c r="AB780" s="37">
        <f>IF(AO780="7",BF780,0)</f>
        <v>0</v>
      </c>
      <c r="AC780" s="37">
        <f>IF(AO780="7",BG780,0)</f>
        <v>0</v>
      </c>
      <c r="AD780" s="37">
        <f>IF(AO780="2",BF780,0)</f>
        <v>0</v>
      </c>
      <c r="AE780" s="37">
        <f>IF(AO780="2",BG780,0)</f>
        <v>0</v>
      </c>
      <c r="AF780" s="37">
        <f>IF(AO780="0",BH780,0)</f>
        <v>0</v>
      </c>
      <c r="AG780" s="23"/>
      <c r="AH780" s="37">
        <f>IF(AL780=0,H780,0)</f>
        <v>0</v>
      </c>
      <c r="AI780" s="37">
        <f>IF(AL780=15,H780,0)</f>
        <v>0</v>
      </c>
      <c r="AJ780" s="37">
        <f>IF(AL780=21,H780,0)</f>
        <v>0</v>
      </c>
      <c r="AL780" s="37">
        <v>21</v>
      </c>
      <c r="AM780" s="37">
        <f>G780*1</f>
        <v>0</v>
      </c>
      <c r="AN780" s="37">
        <f>G780*(1-1)</f>
        <v>0</v>
      </c>
      <c r="AO780" s="38" t="s">
        <v>136</v>
      </c>
      <c r="AT780" s="37">
        <f>AU780+AV780</f>
        <v>0</v>
      </c>
      <c r="AU780" s="37">
        <f>F780*AM780</f>
        <v>0</v>
      </c>
      <c r="AV780" s="37">
        <f>F780*AN780</f>
        <v>0</v>
      </c>
      <c r="AW780" s="38" t="s">
        <v>1404</v>
      </c>
      <c r="AX780" s="38" t="s">
        <v>1075</v>
      </c>
      <c r="AY780" s="23" t="s">
        <v>97</v>
      </c>
      <c r="BA780" s="37">
        <f>AU780+AV780</f>
        <v>0</v>
      </c>
      <c r="BB780" s="37">
        <f>G780/(100-BC780)*100</f>
        <v>0</v>
      </c>
      <c r="BC780" s="37">
        <v>0</v>
      </c>
      <c r="BD780" s="37">
        <f>J780</f>
        <v>13.38345882</v>
      </c>
      <c r="BF780" s="37">
        <f>F780*AM780</f>
        <v>0</v>
      </c>
      <c r="BG780" s="37">
        <f>F780*AN780</f>
        <v>0</v>
      </c>
      <c r="BH780" s="37">
        <f>F780*G780</f>
        <v>0</v>
      </c>
    </row>
    <row r="781" spans="1:11" ht="12.75">
      <c r="A781" s="39"/>
      <c r="B781" s="40"/>
      <c r="C781" s="40"/>
      <c r="D781" s="41" t="s">
        <v>1442</v>
      </c>
      <c r="E781" s="40"/>
      <c r="F781" s="42">
        <v>1047.219</v>
      </c>
      <c r="G781" s="40"/>
      <c r="H781" s="40"/>
      <c r="I781" s="43"/>
      <c r="J781" s="43"/>
      <c r="K781" s="40"/>
    </row>
    <row r="782" spans="1:60" ht="12.75">
      <c r="A782" s="16" t="s">
        <v>1443</v>
      </c>
      <c r="B782" s="16"/>
      <c r="C782" s="16" t="s">
        <v>1444</v>
      </c>
      <c r="D782" s="32" t="s">
        <v>1445</v>
      </c>
      <c r="E782" s="16" t="s">
        <v>192</v>
      </c>
      <c r="F782" s="33">
        <v>524</v>
      </c>
      <c r="G782" s="422"/>
      <c r="H782" s="34">
        <f>F782*G782</f>
        <v>0</v>
      </c>
      <c r="I782" s="35">
        <v>3E-05</v>
      </c>
      <c r="J782" s="35">
        <f>F782*I782</f>
        <v>0.01572</v>
      </c>
      <c r="K782" s="36" t="s">
        <v>94</v>
      </c>
      <c r="X782" s="37">
        <f>IF(AO782="5",BH782,0)</f>
        <v>0</v>
      </c>
      <c r="Z782" s="37">
        <f>IF(AO782="1",BF782,0)</f>
        <v>0</v>
      </c>
      <c r="AA782" s="37">
        <f>IF(AO782="1",BG782,0)</f>
        <v>0</v>
      </c>
      <c r="AB782" s="37">
        <f>IF(AO782="7",BF782,0)</f>
        <v>0</v>
      </c>
      <c r="AC782" s="37">
        <f>IF(AO782="7",BG782,0)</f>
        <v>0</v>
      </c>
      <c r="AD782" s="37">
        <f>IF(AO782="2",BF782,0)</f>
        <v>0</v>
      </c>
      <c r="AE782" s="37">
        <f>IF(AO782="2",BG782,0)</f>
        <v>0</v>
      </c>
      <c r="AF782" s="37">
        <f>IF(AO782="0",BH782,0)</f>
        <v>0</v>
      </c>
      <c r="AG782" s="23"/>
      <c r="AH782" s="37">
        <f>IF(AL782=0,H782,0)</f>
        <v>0</v>
      </c>
      <c r="AI782" s="37">
        <f>IF(AL782=15,H782,0)</f>
        <v>0</v>
      </c>
      <c r="AJ782" s="37">
        <f>IF(AL782=21,H782,0)</f>
        <v>0</v>
      </c>
      <c r="AL782" s="37">
        <v>21</v>
      </c>
      <c r="AM782" s="37">
        <f>G782*0.00823809523809524</f>
        <v>0</v>
      </c>
      <c r="AN782" s="37">
        <f>G782*(1-0.00823809523809524)</f>
        <v>0</v>
      </c>
      <c r="AO782" s="38" t="s">
        <v>136</v>
      </c>
      <c r="AT782" s="37">
        <f>AU782+AV782</f>
        <v>0</v>
      </c>
      <c r="AU782" s="37">
        <f>F782*AM782</f>
        <v>0</v>
      </c>
      <c r="AV782" s="37">
        <f>F782*AN782</f>
        <v>0</v>
      </c>
      <c r="AW782" s="38" t="s">
        <v>1404</v>
      </c>
      <c r="AX782" s="38" t="s">
        <v>1075</v>
      </c>
      <c r="AY782" s="23" t="s">
        <v>97</v>
      </c>
      <c r="BA782" s="37">
        <f>AU782+AV782</f>
        <v>0</v>
      </c>
      <c r="BB782" s="37">
        <f>G782/(100-BC782)*100</f>
        <v>0</v>
      </c>
      <c r="BC782" s="37">
        <v>0</v>
      </c>
      <c r="BD782" s="37">
        <f>J782</f>
        <v>0.01572</v>
      </c>
      <c r="BF782" s="37">
        <f>F782*AM782</f>
        <v>0</v>
      </c>
      <c r="BG782" s="37">
        <f>F782*AN782</f>
        <v>0</v>
      </c>
      <c r="BH782" s="37">
        <f>F782*G782</f>
        <v>0</v>
      </c>
    </row>
    <row r="783" spans="1:11" ht="12.75">
      <c r="A783" s="39"/>
      <c r="B783" s="40"/>
      <c r="C783" s="40"/>
      <c r="D783" s="41" t="s">
        <v>1446</v>
      </c>
      <c r="E783" s="40"/>
      <c r="F783" s="42">
        <v>524</v>
      </c>
      <c r="G783" s="40"/>
      <c r="H783" s="40"/>
      <c r="I783" s="43"/>
      <c r="J783" s="43"/>
      <c r="K783" s="40"/>
    </row>
    <row r="784" spans="1:60" ht="25.5">
      <c r="A784" s="44" t="s">
        <v>1447</v>
      </c>
      <c r="B784" s="44"/>
      <c r="C784" s="16" t="s">
        <v>1448</v>
      </c>
      <c r="D784" s="32" t="s">
        <v>1449</v>
      </c>
      <c r="E784" s="16" t="s">
        <v>225</v>
      </c>
      <c r="F784" s="33">
        <v>1</v>
      </c>
      <c r="G784" s="422"/>
      <c r="H784" s="34">
        <f>F784*G784</f>
        <v>0</v>
      </c>
      <c r="I784" s="48">
        <v>0.12</v>
      </c>
      <c r="J784" s="48">
        <f>F784*I784</f>
        <v>0.12</v>
      </c>
      <c r="K784" s="49" t="s">
        <v>226</v>
      </c>
      <c r="X784" s="37">
        <f>IF(AO784="5",BH784,0)</f>
        <v>0</v>
      </c>
      <c r="Z784" s="37">
        <f>IF(AO784="1",BF784,0)</f>
        <v>0</v>
      </c>
      <c r="AA784" s="37">
        <f>IF(AO784="1",BG784,0)</f>
        <v>0</v>
      </c>
      <c r="AB784" s="37">
        <f>IF(AO784="7",BF784,0)</f>
        <v>0</v>
      </c>
      <c r="AC784" s="37">
        <f>IF(AO784="7",BG784,0)</f>
        <v>0</v>
      </c>
      <c r="AD784" s="37">
        <f>IF(AO784="2",BF784,0)</f>
        <v>0</v>
      </c>
      <c r="AE784" s="37">
        <f>IF(AO784="2",BG784,0)</f>
        <v>0</v>
      </c>
      <c r="AF784" s="37">
        <f>IF(AO784="0",BH784,0)</f>
        <v>0</v>
      </c>
      <c r="AG784" s="23"/>
      <c r="AH784" s="37">
        <f>IF(AL784=0,H784,0)</f>
        <v>0</v>
      </c>
      <c r="AI784" s="37">
        <f>IF(AL784=15,H784,0)</f>
        <v>0</v>
      </c>
      <c r="AJ784" s="37">
        <f>IF(AL784=21,H784,0)</f>
        <v>0</v>
      </c>
      <c r="AL784" s="37">
        <v>21</v>
      </c>
      <c r="AM784" s="37">
        <f>G784*0.0415573333333333</f>
        <v>0</v>
      </c>
      <c r="AN784" s="37">
        <f>G784*(1-0.0415573333333333)</f>
        <v>0</v>
      </c>
      <c r="AO784" s="38" t="s">
        <v>136</v>
      </c>
      <c r="AT784" s="37">
        <f>AU784+AV784</f>
        <v>0</v>
      </c>
      <c r="AU784" s="37">
        <f>F784*AM784</f>
        <v>0</v>
      </c>
      <c r="AV784" s="37">
        <f>F784*AN784</f>
        <v>0</v>
      </c>
      <c r="AW784" s="38" t="s">
        <v>1404</v>
      </c>
      <c r="AX784" s="38" t="s">
        <v>1075</v>
      </c>
      <c r="AY784" s="23" t="s">
        <v>97</v>
      </c>
      <c r="BA784" s="37">
        <f>AU784+AV784</f>
        <v>0</v>
      </c>
      <c r="BB784" s="37">
        <f>G784/(100-BC784)*100</f>
        <v>0</v>
      </c>
      <c r="BC784" s="37">
        <v>0</v>
      </c>
      <c r="BD784" s="37">
        <f>J784</f>
        <v>0.12</v>
      </c>
      <c r="BF784" s="37">
        <f>F784*AM784</f>
        <v>0</v>
      </c>
      <c r="BG784" s="37">
        <f>F784*AN784</f>
        <v>0</v>
      </c>
      <c r="BH784" s="37">
        <f>F784*G784</f>
        <v>0</v>
      </c>
    </row>
    <row r="785" spans="1:11" ht="12.75">
      <c r="A785" s="50"/>
      <c r="B785" s="51"/>
      <c r="C785" s="55"/>
      <c r="D785" s="41" t="s">
        <v>1450</v>
      </c>
      <c r="E785" s="55"/>
      <c r="F785" s="42">
        <v>1</v>
      </c>
      <c r="G785" s="55"/>
      <c r="H785" s="55"/>
      <c r="I785" s="54"/>
      <c r="J785" s="54"/>
      <c r="K785" s="51"/>
    </row>
    <row r="786" spans="1:60" ht="25.5">
      <c r="A786" s="16" t="s">
        <v>1451</v>
      </c>
      <c r="B786" s="16"/>
      <c r="C786" s="16" t="s">
        <v>1452</v>
      </c>
      <c r="D786" s="32" t="s">
        <v>1453</v>
      </c>
      <c r="E786" s="16" t="s">
        <v>225</v>
      </c>
      <c r="F786" s="33">
        <v>1</v>
      </c>
      <c r="G786" s="422"/>
      <c r="H786" s="34">
        <f>F786*G786</f>
        <v>0</v>
      </c>
      <c r="I786" s="35">
        <v>0.15</v>
      </c>
      <c r="J786" s="35">
        <f>F786*I786</f>
        <v>0.15</v>
      </c>
      <c r="K786" s="36" t="s">
        <v>226</v>
      </c>
      <c r="X786" s="37">
        <f>IF(AO786="5",BH786,0)</f>
        <v>0</v>
      </c>
      <c r="Z786" s="37">
        <f>IF(AO786="1",BF786,0)</f>
        <v>0</v>
      </c>
      <c r="AA786" s="37">
        <f>IF(AO786="1",BG786,0)</f>
        <v>0</v>
      </c>
      <c r="AB786" s="37">
        <f>IF(AO786="7",BF786,0)</f>
        <v>0</v>
      </c>
      <c r="AC786" s="37">
        <f>IF(AO786="7",BG786,0)</f>
        <v>0</v>
      </c>
      <c r="AD786" s="37">
        <f>IF(AO786="2",BF786,0)</f>
        <v>0</v>
      </c>
      <c r="AE786" s="37">
        <f>IF(AO786="2",BG786,0)</f>
        <v>0</v>
      </c>
      <c r="AF786" s="37">
        <f>IF(AO786="0",BH786,0)</f>
        <v>0</v>
      </c>
      <c r="AG786" s="23"/>
      <c r="AH786" s="37">
        <f>IF(AL786=0,H786,0)</f>
        <v>0</v>
      </c>
      <c r="AI786" s="37">
        <f>IF(AL786=15,H786,0)</f>
        <v>0</v>
      </c>
      <c r="AJ786" s="37">
        <f>IF(AL786=21,H786,0)</f>
        <v>0</v>
      </c>
      <c r="AL786" s="37">
        <v>21</v>
      </c>
      <c r="AM786" s="37">
        <f>G786*0.928906181818182</f>
        <v>0</v>
      </c>
      <c r="AN786" s="37">
        <f>G786*(1-0.928906181818182)</f>
        <v>0</v>
      </c>
      <c r="AO786" s="38" t="s">
        <v>136</v>
      </c>
      <c r="AT786" s="37">
        <f>AU786+AV786</f>
        <v>0</v>
      </c>
      <c r="AU786" s="37">
        <f>F786*AM786</f>
        <v>0</v>
      </c>
      <c r="AV786" s="37">
        <f>F786*AN786</f>
        <v>0</v>
      </c>
      <c r="AW786" s="38" t="s">
        <v>1404</v>
      </c>
      <c r="AX786" s="38" t="s">
        <v>1075</v>
      </c>
      <c r="AY786" s="23" t="s">
        <v>97</v>
      </c>
      <c r="BA786" s="37">
        <f>AU786+AV786</f>
        <v>0</v>
      </c>
      <c r="BB786" s="37">
        <f>G786/(100-BC786)*100</f>
        <v>0</v>
      </c>
      <c r="BC786" s="37">
        <v>0</v>
      </c>
      <c r="BD786" s="37">
        <f>J786</f>
        <v>0.15</v>
      </c>
      <c r="BF786" s="37">
        <f>F786*AM786</f>
        <v>0</v>
      </c>
      <c r="BG786" s="37">
        <f>F786*AN786</f>
        <v>0</v>
      </c>
      <c r="BH786" s="37">
        <f>F786*G786</f>
        <v>0</v>
      </c>
    </row>
    <row r="787" spans="1:11" ht="12.75">
      <c r="A787" s="39"/>
      <c r="B787" s="40"/>
      <c r="C787" s="40"/>
      <c r="D787" s="41" t="s">
        <v>1454</v>
      </c>
      <c r="E787" s="40"/>
      <c r="F787" s="42">
        <v>1</v>
      </c>
      <c r="G787" s="40"/>
      <c r="H787" s="40"/>
      <c r="I787" s="43"/>
      <c r="J787" s="43"/>
      <c r="K787" s="40"/>
    </row>
    <row r="788" spans="1:60" ht="25.5">
      <c r="A788" s="16" t="s">
        <v>1455</v>
      </c>
      <c r="B788" s="16"/>
      <c r="C788" s="16" t="s">
        <v>1456</v>
      </c>
      <c r="D788" s="32" t="s">
        <v>1457</v>
      </c>
      <c r="E788" s="16" t="s">
        <v>225</v>
      </c>
      <c r="F788" s="33">
        <v>18</v>
      </c>
      <c r="G788" s="422"/>
      <c r="H788" s="34">
        <f>F788*G788</f>
        <v>0</v>
      </c>
      <c r="I788" s="35">
        <v>0.075</v>
      </c>
      <c r="J788" s="35">
        <f>F788*I788</f>
        <v>1.3499999999999999</v>
      </c>
      <c r="K788" s="36" t="s">
        <v>226</v>
      </c>
      <c r="X788" s="37">
        <f>IF(AO788="5",BH788,0)</f>
        <v>0</v>
      </c>
      <c r="Z788" s="37">
        <f>IF(AO788="1",BF788,0)</f>
        <v>0</v>
      </c>
      <c r="AA788" s="37">
        <f>IF(AO788="1",BG788,0)</f>
        <v>0</v>
      </c>
      <c r="AB788" s="37">
        <f>IF(AO788="7",BF788,0)</f>
        <v>0</v>
      </c>
      <c r="AC788" s="37">
        <f>IF(AO788="7",BG788,0)</f>
        <v>0</v>
      </c>
      <c r="AD788" s="37">
        <f>IF(AO788="2",BF788,0)</f>
        <v>0</v>
      </c>
      <c r="AE788" s="37">
        <f>IF(AO788="2",BG788,0)</f>
        <v>0</v>
      </c>
      <c r="AF788" s="37">
        <f>IF(AO788="0",BH788,0)</f>
        <v>0</v>
      </c>
      <c r="AG788" s="23"/>
      <c r="AH788" s="37">
        <f>IF(AL788=0,H788,0)</f>
        <v>0</v>
      </c>
      <c r="AI788" s="37">
        <f>IF(AL788=15,H788,0)</f>
        <v>0</v>
      </c>
      <c r="AJ788" s="37">
        <f>IF(AL788=21,H788,0)</f>
        <v>0</v>
      </c>
      <c r="AL788" s="37">
        <v>21</v>
      </c>
      <c r="AM788" s="37">
        <f>G788*0.928906153846154</f>
        <v>0</v>
      </c>
      <c r="AN788" s="37">
        <f>G788*(1-0.928906153846154)</f>
        <v>0</v>
      </c>
      <c r="AO788" s="38" t="s">
        <v>136</v>
      </c>
      <c r="AT788" s="37">
        <f>AU788+AV788</f>
        <v>0</v>
      </c>
      <c r="AU788" s="37">
        <f>F788*AM788</f>
        <v>0</v>
      </c>
      <c r="AV788" s="37">
        <f>F788*AN788</f>
        <v>0</v>
      </c>
      <c r="AW788" s="38" t="s">
        <v>1404</v>
      </c>
      <c r="AX788" s="38" t="s">
        <v>1075</v>
      </c>
      <c r="AY788" s="23" t="s">
        <v>97</v>
      </c>
      <c r="BA788" s="37">
        <f>AU788+AV788</f>
        <v>0</v>
      </c>
      <c r="BB788" s="37">
        <f>G788/(100-BC788)*100</f>
        <v>0</v>
      </c>
      <c r="BC788" s="37">
        <v>0</v>
      </c>
      <c r="BD788" s="37">
        <f>J788</f>
        <v>1.3499999999999999</v>
      </c>
      <c r="BF788" s="37">
        <f>F788*AM788</f>
        <v>0</v>
      </c>
      <c r="BG788" s="37">
        <f>F788*AN788</f>
        <v>0</v>
      </c>
      <c r="BH788" s="37">
        <f>F788*G788</f>
        <v>0</v>
      </c>
    </row>
    <row r="789" spans="1:11" ht="12.75">
      <c r="A789" s="39"/>
      <c r="B789" s="40"/>
      <c r="C789" s="40"/>
      <c r="D789" s="41" t="s">
        <v>1458</v>
      </c>
      <c r="E789" s="40"/>
      <c r="F789" s="42">
        <v>18</v>
      </c>
      <c r="G789" s="40"/>
      <c r="H789" s="40"/>
      <c r="I789" s="43"/>
      <c r="J789" s="43"/>
      <c r="K789" s="40"/>
    </row>
    <row r="790" spans="1:60" ht="25.5">
      <c r="A790" s="16" t="s">
        <v>1459</v>
      </c>
      <c r="B790" s="16"/>
      <c r="C790" s="16" t="s">
        <v>1456</v>
      </c>
      <c r="D790" s="32" t="s">
        <v>1460</v>
      </c>
      <c r="E790" s="16" t="s">
        <v>225</v>
      </c>
      <c r="F790" s="33">
        <v>6</v>
      </c>
      <c r="G790" s="422"/>
      <c r="H790" s="34">
        <f>F790*G790</f>
        <v>0</v>
      </c>
      <c r="I790" s="35">
        <v>0.07</v>
      </c>
      <c r="J790" s="35">
        <f>F790*I790</f>
        <v>0.42000000000000004</v>
      </c>
      <c r="K790" s="36" t="s">
        <v>226</v>
      </c>
      <c r="X790" s="37">
        <f>IF(AO790="5",BH790,0)</f>
        <v>0</v>
      </c>
      <c r="Z790" s="37">
        <f>IF(AO790="1",BF790,0)</f>
        <v>0</v>
      </c>
      <c r="AA790" s="37">
        <f>IF(AO790="1",BG790,0)</f>
        <v>0</v>
      </c>
      <c r="AB790" s="37">
        <f>IF(AO790="7",BF790,0)</f>
        <v>0</v>
      </c>
      <c r="AC790" s="37">
        <f>IF(AO790="7",BG790,0)</f>
        <v>0</v>
      </c>
      <c r="AD790" s="37">
        <f>IF(AO790="2",BF790,0)</f>
        <v>0</v>
      </c>
      <c r="AE790" s="37">
        <f>IF(AO790="2",BG790,0)</f>
        <v>0</v>
      </c>
      <c r="AF790" s="37">
        <f>IF(AO790="0",BH790,0)</f>
        <v>0</v>
      </c>
      <c r="AG790" s="23"/>
      <c r="AH790" s="37">
        <f>IF(AL790=0,H790,0)</f>
        <v>0</v>
      </c>
      <c r="AI790" s="37">
        <f>IF(AL790=15,H790,0)</f>
        <v>0</v>
      </c>
      <c r="AJ790" s="37">
        <f>IF(AL790=21,H790,0)</f>
        <v>0</v>
      </c>
      <c r="AL790" s="37">
        <v>21</v>
      </c>
      <c r="AM790" s="37">
        <f>G790*0.928904761904762</f>
        <v>0</v>
      </c>
      <c r="AN790" s="37">
        <f>G790*(1-0.928904761904762)</f>
        <v>0</v>
      </c>
      <c r="AO790" s="38" t="s">
        <v>136</v>
      </c>
      <c r="AT790" s="37">
        <f>AU790+AV790</f>
        <v>0</v>
      </c>
      <c r="AU790" s="37">
        <f>F790*AM790</f>
        <v>0</v>
      </c>
      <c r="AV790" s="37">
        <f>F790*AN790</f>
        <v>0</v>
      </c>
      <c r="AW790" s="38" t="s">
        <v>1404</v>
      </c>
      <c r="AX790" s="38" t="s">
        <v>1075</v>
      </c>
      <c r="AY790" s="23" t="s">
        <v>97</v>
      </c>
      <c r="BA790" s="37">
        <f>AU790+AV790</f>
        <v>0</v>
      </c>
      <c r="BB790" s="37">
        <f>G790/(100-BC790)*100</f>
        <v>0</v>
      </c>
      <c r="BC790" s="37">
        <v>0</v>
      </c>
      <c r="BD790" s="37">
        <f>J790</f>
        <v>0.42000000000000004</v>
      </c>
      <c r="BF790" s="37">
        <f>F790*AM790</f>
        <v>0</v>
      </c>
      <c r="BG790" s="37">
        <f>F790*AN790</f>
        <v>0</v>
      </c>
      <c r="BH790" s="37">
        <f>F790*G790</f>
        <v>0</v>
      </c>
    </row>
    <row r="791" spans="1:11" ht="12.75">
      <c r="A791" s="39"/>
      <c r="B791" s="40"/>
      <c r="C791" s="40"/>
      <c r="D791" s="41" t="s">
        <v>1461</v>
      </c>
      <c r="E791" s="40"/>
      <c r="F791" s="42">
        <v>6</v>
      </c>
      <c r="G791" s="40"/>
      <c r="H791" s="40"/>
      <c r="I791" s="43"/>
      <c r="J791" s="43"/>
      <c r="K791" s="40"/>
    </row>
    <row r="792" spans="1:60" ht="25.5">
      <c r="A792" s="16" t="s">
        <v>1462</v>
      </c>
      <c r="B792" s="16"/>
      <c r="C792" s="16" t="s">
        <v>1456</v>
      </c>
      <c r="D792" s="32" t="s">
        <v>1463</v>
      </c>
      <c r="E792" s="16" t="s">
        <v>469</v>
      </c>
      <c r="F792" s="33">
        <v>1</v>
      </c>
      <c r="G792" s="422"/>
      <c r="H792" s="34">
        <f>F792*G792</f>
        <v>0</v>
      </c>
      <c r="I792" s="35">
        <v>0.11</v>
      </c>
      <c r="J792" s="35">
        <f>F792*I792</f>
        <v>0.11</v>
      </c>
      <c r="K792" s="36" t="s">
        <v>226</v>
      </c>
      <c r="X792" s="37">
        <f>IF(AO792="5",BH792,0)</f>
        <v>0</v>
      </c>
      <c r="Z792" s="37">
        <f>IF(AO792="1",BF792,0)</f>
        <v>0</v>
      </c>
      <c r="AA792" s="37">
        <f>IF(AO792="1",BG792,0)</f>
        <v>0</v>
      </c>
      <c r="AB792" s="37">
        <f>IF(AO792="7",BF792,0)</f>
        <v>0</v>
      </c>
      <c r="AC792" s="37">
        <f>IF(AO792="7",BG792,0)</f>
        <v>0</v>
      </c>
      <c r="AD792" s="37">
        <f>IF(AO792="2",BF792,0)</f>
        <v>0</v>
      </c>
      <c r="AE792" s="37">
        <f>IF(AO792="2",BG792,0)</f>
        <v>0</v>
      </c>
      <c r="AF792" s="37">
        <f>IF(AO792="0",BH792,0)</f>
        <v>0</v>
      </c>
      <c r="AG792" s="23"/>
      <c r="AH792" s="37">
        <f>IF(AL792=0,H792,0)</f>
        <v>0</v>
      </c>
      <c r="AI792" s="37">
        <f>IF(AL792=15,H792,0)</f>
        <v>0</v>
      </c>
      <c r="AJ792" s="37">
        <f>IF(AL792=21,H792,0)</f>
        <v>0</v>
      </c>
      <c r="AL792" s="37">
        <v>21</v>
      </c>
      <c r="AM792" s="37">
        <f>G792*0.928904848484849</f>
        <v>0</v>
      </c>
      <c r="AN792" s="37">
        <f>G792*(1-0.928904848484849)</f>
        <v>0</v>
      </c>
      <c r="AO792" s="38" t="s">
        <v>136</v>
      </c>
      <c r="AT792" s="37">
        <f>AU792+AV792</f>
        <v>0</v>
      </c>
      <c r="AU792" s="37">
        <f>F792*AM792</f>
        <v>0</v>
      </c>
      <c r="AV792" s="37">
        <f>F792*AN792</f>
        <v>0</v>
      </c>
      <c r="AW792" s="38" t="s">
        <v>1404</v>
      </c>
      <c r="AX792" s="38" t="s">
        <v>1075</v>
      </c>
      <c r="AY792" s="23" t="s">
        <v>97</v>
      </c>
      <c r="BA792" s="37">
        <f>AU792+AV792</f>
        <v>0</v>
      </c>
      <c r="BB792" s="37">
        <f>G792/(100-BC792)*100</f>
        <v>0</v>
      </c>
      <c r="BC792" s="37">
        <v>0</v>
      </c>
      <c r="BD792" s="37">
        <f>J792</f>
        <v>0.11</v>
      </c>
      <c r="BF792" s="37">
        <f>F792*AM792</f>
        <v>0</v>
      </c>
      <c r="BG792" s="37">
        <f>F792*AN792</f>
        <v>0</v>
      </c>
      <c r="BH792" s="37">
        <f>F792*G792</f>
        <v>0</v>
      </c>
    </row>
    <row r="793" spans="1:11" ht="12.75">
      <c r="A793" s="39"/>
      <c r="B793" s="40"/>
      <c r="C793" s="40"/>
      <c r="D793" s="41" t="s">
        <v>1464</v>
      </c>
      <c r="E793" s="40"/>
      <c r="F793" s="42">
        <v>1</v>
      </c>
      <c r="G793" s="40"/>
      <c r="H793" s="40"/>
      <c r="I793" s="43"/>
      <c r="J793" s="43"/>
      <c r="K793" s="40"/>
    </row>
    <row r="794" spans="1:60" ht="25.5">
      <c r="A794" s="16" t="s">
        <v>1465</v>
      </c>
      <c r="B794" s="16"/>
      <c r="C794" s="16" t="s">
        <v>1466</v>
      </c>
      <c r="D794" s="32" t="s">
        <v>1467</v>
      </c>
      <c r="E794" s="16" t="s">
        <v>225</v>
      </c>
      <c r="F794" s="33">
        <v>2</v>
      </c>
      <c r="G794" s="422"/>
      <c r="H794" s="34">
        <f>F794*G794</f>
        <v>0</v>
      </c>
      <c r="I794" s="35">
        <v>0.28</v>
      </c>
      <c r="J794" s="35">
        <f>F794*I794</f>
        <v>0.56</v>
      </c>
      <c r="K794" s="36" t="s">
        <v>226</v>
      </c>
      <c r="X794" s="37">
        <f>IF(AO794="5",BH794,0)</f>
        <v>0</v>
      </c>
      <c r="Z794" s="37">
        <f>IF(AO794="1",BF794,0)</f>
        <v>0</v>
      </c>
      <c r="AA794" s="37">
        <f>IF(AO794="1",BG794,0)</f>
        <v>0</v>
      </c>
      <c r="AB794" s="37">
        <f>IF(AO794="7",BF794,0)</f>
        <v>0</v>
      </c>
      <c r="AC794" s="37">
        <f>IF(AO794="7",BG794,0)</f>
        <v>0</v>
      </c>
      <c r="AD794" s="37">
        <f>IF(AO794="2",BF794,0)</f>
        <v>0</v>
      </c>
      <c r="AE794" s="37">
        <f>IF(AO794="2",BG794,0)</f>
        <v>0</v>
      </c>
      <c r="AF794" s="37">
        <f>IF(AO794="0",BH794,0)</f>
        <v>0</v>
      </c>
      <c r="AG794" s="23"/>
      <c r="AH794" s="37">
        <f>IF(AL794=0,H794,0)</f>
        <v>0</v>
      </c>
      <c r="AI794" s="37">
        <f>IF(AL794=15,H794,0)</f>
        <v>0</v>
      </c>
      <c r="AJ794" s="37">
        <f>IF(AL794=21,H794,0)</f>
        <v>0</v>
      </c>
      <c r="AL794" s="37">
        <v>21</v>
      </c>
      <c r="AM794" s="37">
        <f>G794*0.928904861111111</f>
        <v>0</v>
      </c>
      <c r="AN794" s="37">
        <f>G794*(1-0.928904861111111)</f>
        <v>0</v>
      </c>
      <c r="AO794" s="38" t="s">
        <v>136</v>
      </c>
      <c r="AT794" s="37">
        <f>AU794+AV794</f>
        <v>0</v>
      </c>
      <c r="AU794" s="37">
        <f>F794*AM794</f>
        <v>0</v>
      </c>
      <c r="AV794" s="37">
        <f>F794*AN794</f>
        <v>0</v>
      </c>
      <c r="AW794" s="38" t="s">
        <v>1404</v>
      </c>
      <c r="AX794" s="38" t="s">
        <v>1075</v>
      </c>
      <c r="AY794" s="23" t="s">
        <v>97</v>
      </c>
      <c r="BA794" s="37">
        <f>AU794+AV794</f>
        <v>0</v>
      </c>
      <c r="BB794" s="37">
        <f>G794/(100-BC794)*100</f>
        <v>0</v>
      </c>
      <c r="BC794" s="37">
        <v>0</v>
      </c>
      <c r="BD794" s="37">
        <f>J794</f>
        <v>0.56</v>
      </c>
      <c r="BF794" s="37">
        <f>F794*AM794</f>
        <v>0</v>
      </c>
      <c r="BG794" s="37">
        <f>F794*AN794</f>
        <v>0</v>
      </c>
      <c r="BH794" s="37">
        <f>F794*G794</f>
        <v>0</v>
      </c>
    </row>
    <row r="795" spans="1:11" ht="12.75">
      <c r="A795" s="39"/>
      <c r="B795" s="40"/>
      <c r="C795" s="40"/>
      <c r="D795" s="41" t="s">
        <v>1468</v>
      </c>
      <c r="E795" s="40"/>
      <c r="F795" s="42">
        <v>2</v>
      </c>
      <c r="G795" s="40"/>
      <c r="H795" s="40"/>
      <c r="I795" s="43"/>
      <c r="J795" s="43"/>
      <c r="K795" s="40"/>
    </row>
    <row r="796" spans="1:60" ht="25.5">
      <c r="A796" s="16" t="s">
        <v>1469</v>
      </c>
      <c r="B796" s="16"/>
      <c r="C796" s="16" t="s">
        <v>1466</v>
      </c>
      <c r="D796" s="32" t="s">
        <v>1470</v>
      </c>
      <c r="E796" s="16" t="s">
        <v>225</v>
      </c>
      <c r="F796" s="33">
        <v>2</v>
      </c>
      <c r="G796" s="422"/>
      <c r="H796" s="34">
        <f>F796*G796</f>
        <v>0</v>
      </c>
      <c r="I796" s="35">
        <v>0.248</v>
      </c>
      <c r="J796" s="35">
        <f>F796*I796</f>
        <v>0.496</v>
      </c>
      <c r="K796" s="36" t="s">
        <v>226</v>
      </c>
      <c r="X796" s="37">
        <f>IF(AO796="5",BH796,0)</f>
        <v>0</v>
      </c>
      <c r="Z796" s="37">
        <f>IF(AO796="1",BF796,0)</f>
        <v>0</v>
      </c>
      <c r="AA796" s="37">
        <f>IF(AO796="1",BG796,0)</f>
        <v>0</v>
      </c>
      <c r="AB796" s="37">
        <f>IF(AO796="7",BF796,0)</f>
        <v>0</v>
      </c>
      <c r="AC796" s="37">
        <f>IF(AO796="7",BG796,0)</f>
        <v>0</v>
      </c>
      <c r="AD796" s="37">
        <f>IF(AO796="2",BF796,0)</f>
        <v>0</v>
      </c>
      <c r="AE796" s="37">
        <f>IF(AO796="2",BG796,0)</f>
        <v>0</v>
      </c>
      <c r="AF796" s="37">
        <f>IF(AO796="0",BH796,0)</f>
        <v>0</v>
      </c>
      <c r="AG796" s="23"/>
      <c r="AH796" s="37">
        <f>IF(AL796=0,H796,0)</f>
        <v>0</v>
      </c>
      <c r="AI796" s="37">
        <f>IF(AL796=15,H796,0)</f>
        <v>0</v>
      </c>
      <c r="AJ796" s="37">
        <f>IF(AL796=21,H796,0)</f>
        <v>0</v>
      </c>
      <c r="AL796" s="37">
        <v>21</v>
      </c>
      <c r="AM796" s="37">
        <f>G796*0.928905029427501</f>
        <v>0</v>
      </c>
      <c r="AN796" s="37">
        <f>G796*(1-0.928905029427501)</f>
        <v>0</v>
      </c>
      <c r="AO796" s="38" t="s">
        <v>136</v>
      </c>
      <c r="AT796" s="37">
        <f>AU796+AV796</f>
        <v>0</v>
      </c>
      <c r="AU796" s="37">
        <f>F796*AM796</f>
        <v>0</v>
      </c>
      <c r="AV796" s="37">
        <f>F796*AN796</f>
        <v>0</v>
      </c>
      <c r="AW796" s="38" t="s">
        <v>1404</v>
      </c>
      <c r="AX796" s="38" t="s">
        <v>1075</v>
      </c>
      <c r="AY796" s="23" t="s">
        <v>97</v>
      </c>
      <c r="BA796" s="37">
        <f>AU796+AV796</f>
        <v>0</v>
      </c>
      <c r="BB796" s="37">
        <f>G796/(100-BC796)*100</f>
        <v>0</v>
      </c>
      <c r="BC796" s="37">
        <v>0</v>
      </c>
      <c r="BD796" s="37">
        <f>J796</f>
        <v>0.496</v>
      </c>
      <c r="BF796" s="37">
        <f>F796*AM796</f>
        <v>0</v>
      </c>
      <c r="BG796" s="37">
        <f>F796*AN796</f>
        <v>0</v>
      </c>
      <c r="BH796" s="37">
        <f>F796*G796</f>
        <v>0</v>
      </c>
    </row>
    <row r="797" spans="1:11" ht="12.75">
      <c r="A797" s="39"/>
      <c r="B797" s="40"/>
      <c r="C797" s="40"/>
      <c r="D797" s="41" t="s">
        <v>1471</v>
      </c>
      <c r="E797" s="40"/>
      <c r="F797" s="42">
        <v>2</v>
      </c>
      <c r="G797" s="40"/>
      <c r="H797" s="40"/>
      <c r="I797" s="43"/>
      <c r="J797" s="43"/>
      <c r="K797" s="40"/>
    </row>
    <row r="798" spans="1:60" ht="25.5">
      <c r="A798" s="16" t="s">
        <v>1472</v>
      </c>
      <c r="B798" s="16"/>
      <c r="C798" s="16" t="s">
        <v>1466</v>
      </c>
      <c r="D798" s="32" t="s">
        <v>1473</v>
      </c>
      <c r="E798" s="16" t="s">
        <v>225</v>
      </c>
      <c r="F798" s="33">
        <v>1</v>
      </c>
      <c r="G798" s="422"/>
      <c r="H798" s="34">
        <f>F798*G798</f>
        <v>0</v>
      </c>
      <c r="I798" s="35">
        <v>0.148</v>
      </c>
      <c r="J798" s="35">
        <f>F798*I798</f>
        <v>0.148</v>
      </c>
      <c r="K798" s="36" t="s">
        <v>226</v>
      </c>
      <c r="X798" s="37">
        <f>IF(AO798="5",BH798,0)</f>
        <v>0</v>
      </c>
      <c r="Z798" s="37">
        <f>IF(AO798="1",BF798,0)</f>
        <v>0</v>
      </c>
      <c r="AA798" s="37">
        <f>IF(AO798="1",BG798,0)</f>
        <v>0</v>
      </c>
      <c r="AB798" s="37">
        <f>IF(AO798="7",BF798,0)</f>
        <v>0</v>
      </c>
      <c r="AC798" s="37">
        <f>IF(AO798="7",BG798,0)</f>
        <v>0</v>
      </c>
      <c r="AD798" s="37">
        <f>IF(AO798="2",BF798,0)</f>
        <v>0</v>
      </c>
      <c r="AE798" s="37">
        <f>IF(AO798="2",BG798,0)</f>
        <v>0</v>
      </c>
      <c r="AF798" s="37">
        <f>IF(AO798="0",BH798,0)</f>
        <v>0</v>
      </c>
      <c r="AG798" s="23"/>
      <c r="AH798" s="37">
        <f>IF(AL798=0,H798,0)</f>
        <v>0</v>
      </c>
      <c r="AI798" s="37">
        <f>IF(AL798=15,H798,0)</f>
        <v>0</v>
      </c>
      <c r="AJ798" s="37">
        <f>IF(AL798=21,H798,0)</f>
        <v>0</v>
      </c>
      <c r="AL798" s="37">
        <v>21</v>
      </c>
      <c r="AM798" s="37">
        <f>G798*0.928905083220873</f>
        <v>0</v>
      </c>
      <c r="AN798" s="37">
        <f>G798*(1-0.928905083220873)</f>
        <v>0</v>
      </c>
      <c r="AO798" s="38" t="s">
        <v>136</v>
      </c>
      <c r="AT798" s="37">
        <f>AU798+AV798</f>
        <v>0</v>
      </c>
      <c r="AU798" s="37">
        <f>F798*AM798</f>
        <v>0</v>
      </c>
      <c r="AV798" s="37">
        <f>F798*AN798</f>
        <v>0</v>
      </c>
      <c r="AW798" s="38" t="s">
        <v>1404</v>
      </c>
      <c r="AX798" s="38" t="s">
        <v>1075</v>
      </c>
      <c r="AY798" s="23" t="s">
        <v>97</v>
      </c>
      <c r="BA798" s="37">
        <f>AU798+AV798</f>
        <v>0</v>
      </c>
      <c r="BB798" s="37">
        <f>G798/(100-BC798)*100</f>
        <v>0</v>
      </c>
      <c r="BC798" s="37">
        <v>0</v>
      </c>
      <c r="BD798" s="37">
        <f>J798</f>
        <v>0.148</v>
      </c>
      <c r="BF798" s="37">
        <f>F798*AM798</f>
        <v>0</v>
      </c>
      <c r="BG798" s="37">
        <f>F798*AN798</f>
        <v>0</v>
      </c>
      <c r="BH798" s="37">
        <f>F798*G798</f>
        <v>0</v>
      </c>
    </row>
    <row r="799" spans="1:11" ht="12.75">
      <c r="A799" s="39"/>
      <c r="B799" s="40"/>
      <c r="C799" s="40"/>
      <c r="D799" s="41" t="s">
        <v>1474</v>
      </c>
      <c r="E799" s="40"/>
      <c r="F799" s="42">
        <v>1</v>
      </c>
      <c r="G799" s="40"/>
      <c r="H799" s="40"/>
      <c r="I799" s="43"/>
      <c r="J799" s="43"/>
      <c r="K799" s="40"/>
    </row>
    <row r="800" spans="1:60" ht="25.5">
      <c r="A800" s="16" t="s">
        <v>1475</v>
      </c>
      <c r="B800" s="16"/>
      <c r="C800" s="16" t="s">
        <v>1466</v>
      </c>
      <c r="D800" s="32" t="s">
        <v>1476</v>
      </c>
      <c r="E800" s="16" t="s">
        <v>225</v>
      </c>
      <c r="F800" s="33">
        <v>1</v>
      </c>
      <c r="G800" s="422"/>
      <c r="H800" s="34">
        <f>F800*G800</f>
        <v>0</v>
      </c>
      <c r="I800" s="35">
        <v>0.11</v>
      </c>
      <c r="J800" s="35">
        <f>F800*I800</f>
        <v>0.11</v>
      </c>
      <c r="K800" s="36" t="s">
        <v>226</v>
      </c>
      <c r="X800" s="37">
        <f>IF(AO800="5",BH800,0)</f>
        <v>0</v>
      </c>
      <c r="Z800" s="37">
        <f>IF(AO800="1",BF800,0)</f>
        <v>0</v>
      </c>
      <c r="AA800" s="37">
        <f>IF(AO800="1",BG800,0)</f>
        <v>0</v>
      </c>
      <c r="AB800" s="37">
        <f>IF(AO800="7",BF800,0)</f>
        <v>0</v>
      </c>
      <c r="AC800" s="37">
        <f>IF(AO800="7",BG800,0)</f>
        <v>0</v>
      </c>
      <c r="AD800" s="37">
        <f>IF(AO800="2",BF800,0)</f>
        <v>0</v>
      </c>
      <c r="AE800" s="37">
        <f>IF(AO800="2",BG800,0)</f>
        <v>0</v>
      </c>
      <c r="AF800" s="37">
        <f>IF(AO800="0",BH800,0)</f>
        <v>0</v>
      </c>
      <c r="AG800" s="23"/>
      <c r="AH800" s="37">
        <f>IF(AL800=0,H800,0)</f>
        <v>0</v>
      </c>
      <c r="AI800" s="37">
        <f>IF(AL800=15,H800,0)</f>
        <v>0</v>
      </c>
      <c r="AJ800" s="37">
        <f>IF(AL800=21,H800,0)</f>
        <v>0</v>
      </c>
      <c r="AL800" s="37">
        <v>21</v>
      </c>
      <c r="AM800" s="37">
        <f>G800*0.928904846335697</f>
        <v>0</v>
      </c>
      <c r="AN800" s="37">
        <f>G800*(1-0.928904846335697)</f>
        <v>0</v>
      </c>
      <c r="AO800" s="38" t="s">
        <v>136</v>
      </c>
      <c r="AT800" s="37">
        <f>AU800+AV800</f>
        <v>0</v>
      </c>
      <c r="AU800" s="37">
        <f>F800*AM800</f>
        <v>0</v>
      </c>
      <c r="AV800" s="37">
        <f>F800*AN800</f>
        <v>0</v>
      </c>
      <c r="AW800" s="38" t="s">
        <v>1404</v>
      </c>
      <c r="AX800" s="38" t="s">
        <v>1075</v>
      </c>
      <c r="AY800" s="23" t="s">
        <v>97</v>
      </c>
      <c r="BA800" s="37">
        <f>AU800+AV800</f>
        <v>0</v>
      </c>
      <c r="BB800" s="37">
        <f>G800/(100-BC800)*100</f>
        <v>0</v>
      </c>
      <c r="BC800" s="37">
        <v>0</v>
      </c>
      <c r="BD800" s="37">
        <f>J800</f>
        <v>0.11</v>
      </c>
      <c r="BF800" s="37">
        <f>F800*AM800</f>
        <v>0</v>
      </c>
      <c r="BG800" s="37">
        <f>F800*AN800</f>
        <v>0</v>
      </c>
      <c r="BH800" s="37">
        <f>F800*G800</f>
        <v>0</v>
      </c>
    </row>
    <row r="801" spans="1:11" ht="12.75">
      <c r="A801" s="39"/>
      <c r="B801" s="40"/>
      <c r="C801" s="40"/>
      <c r="D801" s="41" t="s">
        <v>1477</v>
      </c>
      <c r="E801" s="40"/>
      <c r="F801" s="42">
        <v>1</v>
      </c>
      <c r="G801" s="40"/>
      <c r="H801" s="40"/>
      <c r="I801" s="43"/>
      <c r="J801" s="43"/>
      <c r="K801" s="40"/>
    </row>
    <row r="802" spans="1:60" ht="25.5">
      <c r="A802" s="16" t="s">
        <v>1478</v>
      </c>
      <c r="B802" s="16"/>
      <c r="C802" s="16" t="s">
        <v>1466</v>
      </c>
      <c r="D802" s="32" t="s">
        <v>1479</v>
      </c>
      <c r="E802" s="16" t="s">
        <v>225</v>
      </c>
      <c r="F802" s="33">
        <v>1</v>
      </c>
      <c r="G802" s="422"/>
      <c r="H802" s="34">
        <f>F802*G802</f>
        <v>0</v>
      </c>
      <c r="I802" s="35">
        <v>0.065</v>
      </c>
      <c r="J802" s="35">
        <f>F802*I802</f>
        <v>0.065</v>
      </c>
      <c r="K802" s="36" t="s">
        <v>226</v>
      </c>
      <c r="X802" s="37">
        <f>IF(AO802="5",BH802,0)</f>
        <v>0</v>
      </c>
      <c r="Z802" s="37">
        <f>IF(AO802="1",BF802,0)</f>
        <v>0</v>
      </c>
      <c r="AA802" s="37">
        <f>IF(AO802="1",BG802,0)</f>
        <v>0</v>
      </c>
      <c r="AB802" s="37">
        <f>IF(AO802="7",BF802,0)</f>
        <v>0</v>
      </c>
      <c r="AC802" s="37">
        <f>IF(AO802="7",BG802,0)</f>
        <v>0</v>
      </c>
      <c r="AD802" s="37">
        <f>IF(AO802="2",BF802,0)</f>
        <v>0</v>
      </c>
      <c r="AE802" s="37">
        <f>IF(AO802="2",BG802,0)</f>
        <v>0</v>
      </c>
      <c r="AF802" s="37">
        <f>IF(AO802="0",BH802,0)</f>
        <v>0</v>
      </c>
      <c r="AG802" s="23"/>
      <c r="AH802" s="37">
        <f>IF(AL802=0,H802,0)</f>
        <v>0</v>
      </c>
      <c r="AI802" s="37">
        <f>IF(AL802=15,H802,0)</f>
        <v>0</v>
      </c>
      <c r="AJ802" s="37">
        <f>IF(AL802=21,H802,0)</f>
        <v>0</v>
      </c>
      <c r="AL802" s="37">
        <v>21</v>
      </c>
      <c r="AM802" s="37">
        <f>G802*0.928904399323181</f>
        <v>0</v>
      </c>
      <c r="AN802" s="37">
        <f>G802*(1-0.928904399323181)</f>
        <v>0</v>
      </c>
      <c r="AO802" s="38" t="s">
        <v>136</v>
      </c>
      <c r="AT802" s="37">
        <f>AU802+AV802</f>
        <v>0</v>
      </c>
      <c r="AU802" s="37">
        <f>F802*AM802</f>
        <v>0</v>
      </c>
      <c r="AV802" s="37">
        <f>F802*AN802</f>
        <v>0</v>
      </c>
      <c r="AW802" s="38" t="s">
        <v>1404</v>
      </c>
      <c r="AX802" s="38" t="s">
        <v>1075</v>
      </c>
      <c r="AY802" s="23" t="s">
        <v>97</v>
      </c>
      <c r="BA802" s="37">
        <f>AU802+AV802</f>
        <v>0</v>
      </c>
      <c r="BB802" s="37">
        <f>G802/(100-BC802)*100</f>
        <v>0</v>
      </c>
      <c r="BC802" s="37">
        <v>0</v>
      </c>
      <c r="BD802" s="37">
        <f>J802</f>
        <v>0.065</v>
      </c>
      <c r="BF802" s="37">
        <f>F802*AM802</f>
        <v>0</v>
      </c>
      <c r="BG802" s="37">
        <f>F802*AN802</f>
        <v>0</v>
      </c>
      <c r="BH802" s="37">
        <f>F802*G802</f>
        <v>0</v>
      </c>
    </row>
    <row r="803" spans="1:11" ht="12.75">
      <c r="A803" s="39"/>
      <c r="B803" s="40"/>
      <c r="C803" s="40"/>
      <c r="D803" s="41" t="s">
        <v>1480</v>
      </c>
      <c r="E803" s="40"/>
      <c r="F803" s="42">
        <v>1</v>
      </c>
      <c r="G803" s="40"/>
      <c r="H803" s="40"/>
      <c r="I803" s="43"/>
      <c r="J803" s="43"/>
      <c r="K803" s="40"/>
    </row>
    <row r="804" spans="1:60" ht="25.5">
      <c r="A804" s="16" t="s">
        <v>1481</v>
      </c>
      <c r="B804" s="16"/>
      <c r="C804" s="16" t="s">
        <v>1482</v>
      </c>
      <c r="D804" s="32" t="s">
        <v>1483</v>
      </c>
      <c r="E804" s="16" t="s">
        <v>225</v>
      </c>
      <c r="F804" s="33">
        <v>1</v>
      </c>
      <c r="G804" s="422"/>
      <c r="H804" s="34">
        <f>F804*G804</f>
        <v>0</v>
      </c>
      <c r="I804" s="35">
        <v>0.03</v>
      </c>
      <c r="J804" s="35">
        <f>F804*I804</f>
        <v>0.03</v>
      </c>
      <c r="K804" s="36" t="s">
        <v>226</v>
      </c>
      <c r="X804" s="37">
        <f>IF(AO804="5",BH804,0)</f>
        <v>0</v>
      </c>
      <c r="Z804" s="37">
        <f>IF(AO804="1",BF804,0)</f>
        <v>0</v>
      </c>
      <c r="AA804" s="37">
        <f>IF(AO804="1",BG804,0)</f>
        <v>0</v>
      </c>
      <c r="AB804" s="37">
        <f>IF(AO804="7",BF804,0)</f>
        <v>0</v>
      </c>
      <c r="AC804" s="37">
        <f>IF(AO804="7",BG804,0)</f>
        <v>0</v>
      </c>
      <c r="AD804" s="37">
        <f>IF(AO804="2",BF804,0)</f>
        <v>0</v>
      </c>
      <c r="AE804" s="37">
        <f>IF(AO804="2",BG804,0)</f>
        <v>0</v>
      </c>
      <c r="AF804" s="37">
        <f>IF(AO804="0",BH804,0)</f>
        <v>0</v>
      </c>
      <c r="AG804" s="23"/>
      <c r="AH804" s="37">
        <f>IF(AL804=0,H804,0)</f>
        <v>0</v>
      </c>
      <c r="AI804" s="37">
        <f>IF(AL804=15,H804,0)</f>
        <v>0</v>
      </c>
      <c r="AJ804" s="37">
        <f>IF(AL804=21,H804,0)</f>
        <v>0</v>
      </c>
      <c r="AL804" s="37">
        <v>21</v>
      </c>
      <c r="AM804" s="37">
        <f>G804*0.9289035639413</f>
        <v>0</v>
      </c>
      <c r="AN804" s="37">
        <f>G804*(1-0.9289035639413)</f>
        <v>0</v>
      </c>
      <c r="AO804" s="38" t="s">
        <v>136</v>
      </c>
      <c r="AT804" s="37">
        <f>AU804+AV804</f>
        <v>0</v>
      </c>
      <c r="AU804" s="37">
        <f>F804*AM804</f>
        <v>0</v>
      </c>
      <c r="AV804" s="37">
        <f>F804*AN804</f>
        <v>0</v>
      </c>
      <c r="AW804" s="38" t="s">
        <v>1404</v>
      </c>
      <c r="AX804" s="38" t="s">
        <v>1075</v>
      </c>
      <c r="AY804" s="23" t="s">
        <v>97</v>
      </c>
      <c r="BA804" s="37">
        <f>AU804+AV804</f>
        <v>0</v>
      </c>
      <c r="BB804" s="37">
        <f>G804/(100-BC804)*100</f>
        <v>0</v>
      </c>
      <c r="BC804" s="37">
        <v>0</v>
      </c>
      <c r="BD804" s="37">
        <f>J804</f>
        <v>0.03</v>
      </c>
      <c r="BF804" s="37">
        <f>F804*AM804</f>
        <v>0</v>
      </c>
      <c r="BG804" s="37">
        <f>F804*AN804</f>
        <v>0</v>
      </c>
      <c r="BH804" s="37">
        <f>F804*G804</f>
        <v>0</v>
      </c>
    </row>
    <row r="805" spans="1:11" ht="12.75">
      <c r="A805" s="39"/>
      <c r="B805" s="40"/>
      <c r="C805" s="40"/>
      <c r="D805" s="41" t="s">
        <v>1484</v>
      </c>
      <c r="E805" s="40"/>
      <c r="F805" s="42">
        <v>1</v>
      </c>
      <c r="G805" s="40"/>
      <c r="H805" s="40"/>
      <c r="I805" s="43"/>
      <c r="J805" s="43"/>
      <c r="K805" s="40"/>
    </row>
    <row r="806" spans="1:60" ht="25.5">
      <c r="A806" s="16" t="s">
        <v>1485</v>
      </c>
      <c r="B806" s="16"/>
      <c r="C806" s="16" t="s">
        <v>1482</v>
      </c>
      <c r="D806" s="32" t="s">
        <v>1486</v>
      </c>
      <c r="E806" s="16" t="s">
        <v>225</v>
      </c>
      <c r="F806" s="33">
        <v>1</v>
      </c>
      <c r="G806" s="422"/>
      <c r="H806" s="34">
        <f>F806*G806</f>
        <v>0</v>
      </c>
      <c r="I806" s="35">
        <v>0.32</v>
      </c>
      <c r="J806" s="35">
        <f>F806*I806</f>
        <v>0.32</v>
      </c>
      <c r="K806" s="36" t="s">
        <v>226</v>
      </c>
      <c r="X806" s="37">
        <f>IF(AO806="5",BH806,0)</f>
        <v>0</v>
      </c>
      <c r="Z806" s="37">
        <f>IF(AO806="1",BF806,0)</f>
        <v>0</v>
      </c>
      <c r="AA806" s="37">
        <f>IF(AO806="1",BG806,0)</f>
        <v>0</v>
      </c>
      <c r="AB806" s="37">
        <f>IF(AO806="7",BF806,0)</f>
        <v>0</v>
      </c>
      <c r="AC806" s="37">
        <f>IF(AO806="7",BG806,0)</f>
        <v>0</v>
      </c>
      <c r="AD806" s="37">
        <f>IF(AO806="2",BF806,0)</f>
        <v>0</v>
      </c>
      <c r="AE806" s="37">
        <f>IF(AO806="2",BG806,0)</f>
        <v>0</v>
      </c>
      <c r="AF806" s="37">
        <f>IF(AO806="0",BH806,0)</f>
        <v>0</v>
      </c>
      <c r="AG806" s="23"/>
      <c r="AH806" s="37">
        <f>IF(AL806=0,H806,0)</f>
        <v>0</v>
      </c>
      <c r="AI806" s="37">
        <f>IF(AL806=15,H806,0)</f>
        <v>0</v>
      </c>
      <c r="AJ806" s="37">
        <f>IF(AL806=21,H806,0)</f>
        <v>0</v>
      </c>
      <c r="AL806" s="37">
        <v>21</v>
      </c>
      <c r="AM806" s="37">
        <f>G806*0.928903571428571</f>
        <v>0</v>
      </c>
      <c r="AN806" s="37">
        <f>G806*(1-0.928903571428571)</f>
        <v>0</v>
      </c>
      <c r="AO806" s="38" t="s">
        <v>136</v>
      </c>
      <c r="AT806" s="37">
        <f>AU806+AV806</f>
        <v>0</v>
      </c>
      <c r="AU806" s="37">
        <f>F806*AM806</f>
        <v>0</v>
      </c>
      <c r="AV806" s="37">
        <f>F806*AN806</f>
        <v>0</v>
      </c>
      <c r="AW806" s="38" t="s">
        <v>1404</v>
      </c>
      <c r="AX806" s="38" t="s">
        <v>1075</v>
      </c>
      <c r="AY806" s="23" t="s">
        <v>97</v>
      </c>
      <c r="BA806" s="37">
        <f>AU806+AV806</f>
        <v>0</v>
      </c>
      <c r="BB806" s="37">
        <f>G806/(100-BC806)*100</f>
        <v>0</v>
      </c>
      <c r="BC806" s="37">
        <v>0</v>
      </c>
      <c r="BD806" s="37">
        <f>J806</f>
        <v>0.32</v>
      </c>
      <c r="BF806" s="37">
        <f>F806*AM806</f>
        <v>0</v>
      </c>
      <c r="BG806" s="37">
        <f>F806*AN806</f>
        <v>0</v>
      </c>
      <c r="BH806" s="37">
        <f>F806*G806</f>
        <v>0</v>
      </c>
    </row>
    <row r="807" spans="1:11" ht="12.75">
      <c r="A807" s="39"/>
      <c r="B807" s="40"/>
      <c r="C807" s="40"/>
      <c r="D807" s="41" t="s">
        <v>1487</v>
      </c>
      <c r="E807" s="40"/>
      <c r="F807" s="42">
        <v>1</v>
      </c>
      <c r="G807" s="40"/>
      <c r="H807" s="40"/>
      <c r="I807" s="43"/>
      <c r="J807" s="43"/>
      <c r="K807" s="40"/>
    </row>
    <row r="808" spans="1:60" ht="25.5">
      <c r="A808" s="16" t="s">
        <v>1488</v>
      </c>
      <c r="B808" s="16"/>
      <c r="C808" s="16" t="s">
        <v>1489</v>
      </c>
      <c r="D808" s="32" t="s">
        <v>1490</v>
      </c>
      <c r="E808" s="16" t="s">
        <v>225</v>
      </c>
      <c r="F808" s="33">
        <v>1</v>
      </c>
      <c r="G808" s="422"/>
      <c r="H808" s="34">
        <f>F808*G808</f>
        <v>0</v>
      </c>
      <c r="I808" s="35">
        <v>0.72</v>
      </c>
      <c r="J808" s="35">
        <f>F808*I808</f>
        <v>0.72</v>
      </c>
      <c r="K808" s="36" t="s">
        <v>226</v>
      </c>
      <c r="X808" s="37">
        <f>IF(AO808="5",BH808,0)</f>
        <v>0</v>
      </c>
      <c r="Z808" s="37">
        <f>IF(AO808="1",BF808,0)</f>
        <v>0</v>
      </c>
      <c r="AA808" s="37">
        <f>IF(AO808="1",BG808,0)</f>
        <v>0</v>
      </c>
      <c r="AB808" s="37">
        <f>IF(AO808="7",BF808,0)</f>
        <v>0</v>
      </c>
      <c r="AC808" s="37">
        <f>IF(AO808="7",BG808,0)</f>
        <v>0</v>
      </c>
      <c r="AD808" s="37">
        <f>IF(AO808="2",BF808,0)</f>
        <v>0</v>
      </c>
      <c r="AE808" s="37">
        <f>IF(AO808="2",BG808,0)</f>
        <v>0</v>
      </c>
      <c r="AF808" s="37">
        <f>IF(AO808="0",BH808,0)</f>
        <v>0</v>
      </c>
      <c r="AG808" s="23"/>
      <c r="AH808" s="37">
        <f>IF(AL808=0,H808,0)</f>
        <v>0</v>
      </c>
      <c r="AI808" s="37">
        <f>IF(AL808=15,H808,0)</f>
        <v>0</v>
      </c>
      <c r="AJ808" s="37">
        <f>IF(AL808=21,H808,0)</f>
        <v>0</v>
      </c>
      <c r="AL808" s="37">
        <v>21</v>
      </c>
      <c r="AM808" s="37">
        <f>G808*0.9289036</f>
        <v>0</v>
      </c>
      <c r="AN808" s="37">
        <f>G808*(1-0.9289036)</f>
        <v>0</v>
      </c>
      <c r="AO808" s="38" t="s">
        <v>136</v>
      </c>
      <c r="AT808" s="37">
        <f>AU808+AV808</f>
        <v>0</v>
      </c>
      <c r="AU808" s="37">
        <f>F808*AM808</f>
        <v>0</v>
      </c>
      <c r="AV808" s="37">
        <f>F808*AN808</f>
        <v>0</v>
      </c>
      <c r="AW808" s="38" t="s">
        <v>1404</v>
      </c>
      <c r="AX808" s="38" t="s">
        <v>1075</v>
      </c>
      <c r="AY808" s="23" t="s">
        <v>97</v>
      </c>
      <c r="BA808" s="37">
        <f>AU808+AV808</f>
        <v>0</v>
      </c>
      <c r="BB808" s="37">
        <f>G808/(100-BC808)*100</f>
        <v>0</v>
      </c>
      <c r="BC808" s="37">
        <v>0</v>
      </c>
      <c r="BD808" s="37">
        <f>J808</f>
        <v>0.72</v>
      </c>
      <c r="BF808" s="37">
        <f>F808*AM808</f>
        <v>0</v>
      </c>
      <c r="BG808" s="37">
        <f>F808*AN808</f>
        <v>0</v>
      </c>
      <c r="BH808" s="37">
        <f>F808*G808</f>
        <v>0</v>
      </c>
    </row>
    <row r="809" spans="1:11" ht="12.75">
      <c r="A809" s="39"/>
      <c r="B809" s="40"/>
      <c r="C809" s="40"/>
      <c r="D809" s="41" t="s">
        <v>1491</v>
      </c>
      <c r="E809" s="40"/>
      <c r="F809" s="42">
        <v>1</v>
      </c>
      <c r="G809" s="40"/>
      <c r="H809" s="40"/>
      <c r="I809" s="43"/>
      <c r="J809" s="43"/>
      <c r="K809" s="40"/>
    </row>
    <row r="810" spans="1:60" ht="25.5">
      <c r="A810" s="16" t="s">
        <v>1492</v>
      </c>
      <c r="B810" s="16"/>
      <c r="C810" s="16" t="s">
        <v>1493</v>
      </c>
      <c r="D810" s="32" t="s">
        <v>1494</v>
      </c>
      <c r="E810" s="16" t="s">
        <v>469</v>
      </c>
      <c r="F810" s="33">
        <v>1</v>
      </c>
      <c r="G810" s="422"/>
      <c r="H810" s="34">
        <f>F810*G810</f>
        <v>0</v>
      </c>
      <c r="I810" s="35">
        <v>0.3</v>
      </c>
      <c r="J810" s="35">
        <f>F810*I810</f>
        <v>0.3</v>
      </c>
      <c r="K810" s="36" t="s">
        <v>226</v>
      </c>
      <c r="X810" s="37">
        <f>IF(AO810="5",BH810,0)</f>
        <v>0</v>
      </c>
      <c r="Z810" s="37">
        <f>IF(AO810="1",BF810,0)</f>
        <v>0</v>
      </c>
      <c r="AA810" s="37">
        <f>IF(AO810="1",BG810,0)</f>
        <v>0</v>
      </c>
      <c r="AB810" s="37">
        <f>IF(AO810="7",BF810,0)</f>
        <v>0</v>
      </c>
      <c r="AC810" s="37">
        <f>IF(AO810="7",BG810,0)</f>
        <v>0</v>
      </c>
      <c r="AD810" s="37">
        <f>IF(AO810="2",BF810,0)</f>
        <v>0</v>
      </c>
      <c r="AE810" s="37">
        <f>IF(AO810="2",BG810,0)</f>
        <v>0</v>
      </c>
      <c r="AF810" s="37">
        <f>IF(AO810="0",BH810,0)</f>
        <v>0</v>
      </c>
      <c r="AG810" s="23"/>
      <c r="AH810" s="37">
        <f>IF(AL810=0,H810,0)</f>
        <v>0</v>
      </c>
      <c r="AI810" s="37">
        <f>IF(AL810=15,H810,0)</f>
        <v>0</v>
      </c>
      <c r="AJ810" s="37">
        <f>IF(AL810=21,H810,0)</f>
        <v>0</v>
      </c>
      <c r="AL810" s="37">
        <v>21</v>
      </c>
      <c r="AM810" s="37">
        <f>G810*0.928903604651163</f>
        <v>0</v>
      </c>
      <c r="AN810" s="37">
        <f>G810*(1-0.928903604651163)</f>
        <v>0</v>
      </c>
      <c r="AO810" s="38" t="s">
        <v>136</v>
      </c>
      <c r="AT810" s="37">
        <f>AU810+AV810</f>
        <v>0</v>
      </c>
      <c r="AU810" s="37">
        <f>F810*AM810</f>
        <v>0</v>
      </c>
      <c r="AV810" s="37">
        <f>F810*AN810</f>
        <v>0</v>
      </c>
      <c r="AW810" s="38" t="s">
        <v>1404</v>
      </c>
      <c r="AX810" s="38" t="s">
        <v>1075</v>
      </c>
      <c r="AY810" s="23" t="s">
        <v>97</v>
      </c>
      <c r="BA810" s="37">
        <f>AU810+AV810</f>
        <v>0</v>
      </c>
      <c r="BB810" s="37">
        <f>G810/(100-BC810)*100</f>
        <v>0</v>
      </c>
      <c r="BC810" s="37">
        <v>0</v>
      </c>
      <c r="BD810" s="37">
        <f>J810</f>
        <v>0.3</v>
      </c>
      <c r="BF810" s="37">
        <f>F810*AM810</f>
        <v>0</v>
      </c>
      <c r="BG810" s="37">
        <f>F810*AN810</f>
        <v>0</v>
      </c>
      <c r="BH810" s="37">
        <f>F810*G810</f>
        <v>0</v>
      </c>
    </row>
    <row r="811" spans="1:11" ht="12.75">
      <c r="A811" s="39"/>
      <c r="B811" s="40"/>
      <c r="C811" s="40"/>
      <c r="D811" s="41" t="s">
        <v>1495</v>
      </c>
      <c r="E811" s="40"/>
      <c r="F811" s="42">
        <v>1</v>
      </c>
      <c r="G811" s="40"/>
      <c r="H811" s="40"/>
      <c r="I811" s="43"/>
      <c r="J811" s="43"/>
      <c r="K811" s="40"/>
    </row>
    <row r="812" spans="1:60" ht="12.75">
      <c r="A812" s="16" t="s">
        <v>1496</v>
      </c>
      <c r="B812" s="16"/>
      <c r="C812" s="16" t="s">
        <v>1497</v>
      </c>
      <c r="D812" s="32" t="s">
        <v>1498</v>
      </c>
      <c r="E812" s="16" t="s">
        <v>225</v>
      </c>
      <c r="F812" s="33">
        <v>22</v>
      </c>
      <c r="G812" s="422"/>
      <c r="H812" s="34">
        <f>F812*G812</f>
        <v>0</v>
      </c>
      <c r="I812" s="35">
        <v>0.3</v>
      </c>
      <c r="J812" s="35">
        <f>F812*I812</f>
        <v>6.6</v>
      </c>
      <c r="K812" s="36" t="s">
        <v>226</v>
      </c>
      <c r="X812" s="37">
        <f>IF(AO812="5",BH812,0)</f>
        <v>0</v>
      </c>
      <c r="Z812" s="37">
        <f>IF(AO812="1",BF812,0)</f>
        <v>0</v>
      </c>
      <c r="AA812" s="37">
        <f>IF(AO812="1",BG812,0)</f>
        <v>0</v>
      </c>
      <c r="AB812" s="37">
        <f>IF(AO812="7",BF812,0)</f>
        <v>0</v>
      </c>
      <c r="AC812" s="37">
        <f>IF(AO812="7",BG812,0)</f>
        <v>0</v>
      </c>
      <c r="AD812" s="37">
        <f>IF(AO812="2",BF812,0)</f>
        <v>0</v>
      </c>
      <c r="AE812" s="37">
        <f>IF(AO812="2",BG812,0)</f>
        <v>0</v>
      </c>
      <c r="AF812" s="37">
        <f>IF(AO812="0",BH812,0)</f>
        <v>0</v>
      </c>
      <c r="AG812" s="23"/>
      <c r="AH812" s="37">
        <f>IF(AL812=0,H812,0)</f>
        <v>0</v>
      </c>
      <c r="AI812" s="37">
        <f>IF(AL812=15,H812,0)</f>
        <v>0</v>
      </c>
      <c r="AJ812" s="37">
        <f>IF(AL812=21,H812,0)</f>
        <v>0</v>
      </c>
      <c r="AL812" s="37">
        <v>21</v>
      </c>
      <c r="AM812" s="37">
        <f>G812*0.928904</f>
        <v>0</v>
      </c>
      <c r="AN812" s="37">
        <f>G812*(1-0.928904)</f>
        <v>0</v>
      </c>
      <c r="AO812" s="38" t="s">
        <v>136</v>
      </c>
      <c r="AT812" s="37">
        <f>AU812+AV812</f>
        <v>0</v>
      </c>
      <c r="AU812" s="37">
        <f>F812*AM812</f>
        <v>0</v>
      </c>
      <c r="AV812" s="37">
        <f>F812*AN812</f>
        <v>0</v>
      </c>
      <c r="AW812" s="38" t="s">
        <v>1404</v>
      </c>
      <c r="AX812" s="38" t="s">
        <v>1075</v>
      </c>
      <c r="AY812" s="23" t="s">
        <v>97</v>
      </c>
      <c r="BA812" s="37">
        <f>AU812+AV812</f>
        <v>0</v>
      </c>
      <c r="BB812" s="37">
        <f>G812/(100-BC812)*100</f>
        <v>0</v>
      </c>
      <c r="BC812" s="37">
        <v>0</v>
      </c>
      <c r="BD812" s="37">
        <f>J812</f>
        <v>6.6</v>
      </c>
      <c r="BF812" s="37">
        <f>F812*AM812</f>
        <v>0</v>
      </c>
      <c r="BG812" s="37">
        <f>F812*AN812</f>
        <v>0</v>
      </c>
      <c r="BH812" s="37">
        <f>F812*G812</f>
        <v>0</v>
      </c>
    </row>
    <row r="813" spans="1:11" ht="12.75">
      <c r="A813" s="39"/>
      <c r="B813" s="40"/>
      <c r="C813" s="40"/>
      <c r="D813" s="41" t="s">
        <v>1499</v>
      </c>
      <c r="E813" s="40"/>
      <c r="F813" s="42">
        <v>11</v>
      </c>
      <c r="G813" s="40"/>
      <c r="H813" s="40"/>
      <c r="I813" s="43"/>
      <c r="J813" s="43"/>
      <c r="K813" s="40"/>
    </row>
    <row r="814" spans="1:11" ht="12.75">
      <c r="A814" s="39"/>
      <c r="B814" s="40"/>
      <c r="C814" s="40"/>
      <c r="D814" s="41" t="s">
        <v>1500</v>
      </c>
      <c r="E814" s="40"/>
      <c r="F814" s="42">
        <v>11</v>
      </c>
      <c r="G814" s="40"/>
      <c r="H814" s="40"/>
      <c r="I814" s="43"/>
      <c r="J814" s="43"/>
      <c r="K814" s="40"/>
    </row>
    <row r="815" spans="1:60" ht="25.5">
      <c r="A815" s="16" t="s">
        <v>1501</v>
      </c>
      <c r="B815" s="16"/>
      <c r="C815" s="16" t="s">
        <v>1497</v>
      </c>
      <c r="D815" s="32" t="s">
        <v>1502</v>
      </c>
      <c r="E815" s="16" t="s">
        <v>225</v>
      </c>
      <c r="F815" s="33">
        <v>1</v>
      </c>
      <c r="G815" s="422"/>
      <c r="H815" s="34">
        <f>F815*G815</f>
        <v>0</v>
      </c>
      <c r="I815" s="35">
        <v>0.055</v>
      </c>
      <c r="J815" s="35">
        <f>F815*I815</f>
        <v>0.055</v>
      </c>
      <c r="K815" s="36" t="s">
        <v>226</v>
      </c>
      <c r="X815" s="37">
        <f>IF(AO815="5",BH815,0)</f>
        <v>0</v>
      </c>
      <c r="Z815" s="37">
        <f>IF(AO815="1",BF815,0)</f>
        <v>0</v>
      </c>
      <c r="AA815" s="37">
        <f>IF(AO815="1",BG815,0)</f>
        <v>0</v>
      </c>
      <c r="AB815" s="37">
        <f>IF(AO815="7",BF815,0)</f>
        <v>0</v>
      </c>
      <c r="AC815" s="37">
        <f>IF(AO815="7",BG815,0)</f>
        <v>0</v>
      </c>
      <c r="AD815" s="37">
        <f>IF(AO815="2",BF815,0)</f>
        <v>0</v>
      </c>
      <c r="AE815" s="37">
        <f>IF(AO815="2",BG815,0)</f>
        <v>0</v>
      </c>
      <c r="AF815" s="37">
        <f>IF(AO815="0",BH815,0)</f>
        <v>0</v>
      </c>
      <c r="AG815" s="23"/>
      <c r="AH815" s="37">
        <f>IF(AL815=0,H815,0)</f>
        <v>0</v>
      </c>
      <c r="AI815" s="37">
        <f>IF(AL815=15,H815,0)</f>
        <v>0</v>
      </c>
      <c r="AJ815" s="37">
        <f>IF(AL815=21,H815,0)</f>
        <v>0</v>
      </c>
      <c r="AL815" s="37">
        <v>21</v>
      </c>
      <c r="AM815" s="37">
        <f>G815*0.928904</f>
        <v>0</v>
      </c>
      <c r="AN815" s="37">
        <f>G815*(1-0.928904)</f>
        <v>0</v>
      </c>
      <c r="AO815" s="38" t="s">
        <v>136</v>
      </c>
      <c r="AT815" s="37">
        <f>AU815+AV815</f>
        <v>0</v>
      </c>
      <c r="AU815" s="37">
        <f>F815*AM815</f>
        <v>0</v>
      </c>
      <c r="AV815" s="37">
        <f>F815*AN815</f>
        <v>0</v>
      </c>
      <c r="AW815" s="38" t="s">
        <v>1404</v>
      </c>
      <c r="AX815" s="38" t="s">
        <v>1075</v>
      </c>
      <c r="AY815" s="23" t="s">
        <v>97</v>
      </c>
      <c r="BA815" s="37">
        <f>AU815+AV815</f>
        <v>0</v>
      </c>
      <c r="BB815" s="37">
        <f>G815/(100-BC815)*100</f>
        <v>0</v>
      </c>
      <c r="BC815" s="37">
        <v>0</v>
      </c>
      <c r="BD815" s="37">
        <f>J815</f>
        <v>0.055</v>
      </c>
      <c r="BF815" s="37">
        <f>F815*AM815</f>
        <v>0</v>
      </c>
      <c r="BG815" s="37">
        <f>F815*AN815</f>
        <v>0</v>
      </c>
      <c r="BH815" s="37">
        <f>F815*G815</f>
        <v>0</v>
      </c>
    </row>
    <row r="816" spans="1:11" ht="12.75">
      <c r="A816" s="39"/>
      <c r="B816" s="40"/>
      <c r="C816" s="40"/>
      <c r="D816" s="41" t="s">
        <v>1503</v>
      </c>
      <c r="E816" s="40"/>
      <c r="F816" s="42">
        <v>1</v>
      </c>
      <c r="G816" s="40"/>
      <c r="H816" s="40"/>
      <c r="I816" s="43"/>
      <c r="J816" s="43"/>
      <c r="K816" s="40"/>
    </row>
    <row r="817" spans="1:60" ht="12.75">
      <c r="A817" s="16" t="s">
        <v>1504</v>
      </c>
      <c r="B817" s="16"/>
      <c r="C817" s="16" t="s">
        <v>1505</v>
      </c>
      <c r="D817" s="32" t="s">
        <v>1506</v>
      </c>
      <c r="E817" s="16" t="s">
        <v>225</v>
      </c>
      <c r="F817" s="33">
        <v>1</v>
      </c>
      <c r="G817" s="422"/>
      <c r="H817" s="34">
        <f>F817*G817</f>
        <v>0</v>
      </c>
      <c r="I817" s="35">
        <v>0.035</v>
      </c>
      <c r="J817" s="35">
        <f>F817*I817</f>
        <v>0.035</v>
      </c>
      <c r="K817" s="36" t="s">
        <v>226</v>
      </c>
      <c r="X817" s="37">
        <f>IF(AO817="5",BH817,0)</f>
        <v>0</v>
      </c>
      <c r="Z817" s="37">
        <f>IF(AO817="1",BF817,0)</f>
        <v>0</v>
      </c>
      <c r="AA817" s="37">
        <f>IF(AO817="1",BG817,0)</f>
        <v>0</v>
      </c>
      <c r="AB817" s="37">
        <f>IF(AO817="7",BF817,0)</f>
        <v>0</v>
      </c>
      <c r="AC817" s="37">
        <f>IF(AO817="7",BG817,0)</f>
        <v>0</v>
      </c>
      <c r="AD817" s="37">
        <f>IF(AO817="2",BF817,0)</f>
        <v>0</v>
      </c>
      <c r="AE817" s="37">
        <f>IF(AO817="2",BG817,0)</f>
        <v>0</v>
      </c>
      <c r="AF817" s="37">
        <f>IF(AO817="0",BH817,0)</f>
        <v>0</v>
      </c>
      <c r="AG817" s="23"/>
      <c r="AH817" s="37">
        <f>IF(AL817=0,H817,0)</f>
        <v>0</v>
      </c>
      <c r="AI817" s="37">
        <f>IF(AL817=15,H817,0)</f>
        <v>0</v>
      </c>
      <c r="AJ817" s="37">
        <f>IF(AL817=21,H817,0)</f>
        <v>0</v>
      </c>
      <c r="AL817" s="37">
        <v>21</v>
      </c>
      <c r="AM817" s="37">
        <f>G817*0.928904</f>
        <v>0</v>
      </c>
      <c r="AN817" s="37">
        <f>G817*(1-0.928904)</f>
        <v>0</v>
      </c>
      <c r="AO817" s="38" t="s">
        <v>136</v>
      </c>
      <c r="AT817" s="37">
        <f>AU817+AV817</f>
        <v>0</v>
      </c>
      <c r="AU817" s="37">
        <f>F817*AM817</f>
        <v>0</v>
      </c>
      <c r="AV817" s="37">
        <f>F817*AN817</f>
        <v>0</v>
      </c>
      <c r="AW817" s="38" t="s">
        <v>1404</v>
      </c>
      <c r="AX817" s="38" t="s">
        <v>1075</v>
      </c>
      <c r="AY817" s="23" t="s">
        <v>97</v>
      </c>
      <c r="BA817" s="37">
        <f>AU817+AV817</f>
        <v>0</v>
      </c>
      <c r="BB817" s="37">
        <f>G817/(100-BC817)*100</f>
        <v>0</v>
      </c>
      <c r="BC817" s="37">
        <v>0</v>
      </c>
      <c r="BD817" s="37">
        <f>J817</f>
        <v>0.035</v>
      </c>
      <c r="BF817" s="37">
        <f>F817*AM817</f>
        <v>0</v>
      </c>
      <c r="BG817" s="37">
        <f>F817*AN817</f>
        <v>0</v>
      </c>
      <c r="BH817" s="37">
        <f>F817*G817</f>
        <v>0</v>
      </c>
    </row>
    <row r="818" spans="1:11" ht="12.75">
      <c r="A818" s="39"/>
      <c r="B818" s="40"/>
      <c r="C818" s="40"/>
      <c r="D818" s="41" t="s">
        <v>1507</v>
      </c>
      <c r="E818" s="40"/>
      <c r="F818" s="42">
        <v>1</v>
      </c>
      <c r="G818" s="40"/>
      <c r="H818" s="40"/>
      <c r="I818" s="43"/>
      <c r="J818" s="43"/>
      <c r="K818" s="40"/>
    </row>
    <row r="819" spans="1:60" ht="12.75">
      <c r="A819" s="16" t="s">
        <v>1508</v>
      </c>
      <c r="B819" s="16"/>
      <c r="C819" s="16" t="s">
        <v>1505</v>
      </c>
      <c r="D819" s="32" t="s">
        <v>1509</v>
      </c>
      <c r="E819" s="16" t="s">
        <v>225</v>
      </c>
      <c r="F819" s="33">
        <v>1</v>
      </c>
      <c r="G819" s="422"/>
      <c r="H819" s="34">
        <f>F819*G819</f>
        <v>0</v>
      </c>
      <c r="I819" s="35">
        <v>0.03</v>
      </c>
      <c r="J819" s="35">
        <f>F819*I819</f>
        <v>0.03</v>
      </c>
      <c r="K819" s="36" t="s">
        <v>226</v>
      </c>
      <c r="X819" s="37">
        <f>IF(AO819="5",BH819,0)</f>
        <v>0</v>
      </c>
      <c r="Z819" s="37">
        <f>IF(AO819="1",BF819,0)</f>
        <v>0</v>
      </c>
      <c r="AA819" s="37">
        <f>IF(AO819="1",BG819,0)</f>
        <v>0</v>
      </c>
      <c r="AB819" s="37">
        <f>IF(AO819="7",BF819,0)</f>
        <v>0</v>
      </c>
      <c r="AC819" s="37">
        <f>IF(AO819="7",BG819,0)</f>
        <v>0</v>
      </c>
      <c r="AD819" s="37">
        <f>IF(AO819="2",BF819,0)</f>
        <v>0</v>
      </c>
      <c r="AE819" s="37">
        <f>IF(AO819="2",BG819,0)</f>
        <v>0</v>
      </c>
      <c r="AF819" s="37">
        <f>IF(AO819="0",BH819,0)</f>
        <v>0</v>
      </c>
      <c r="AG819" s="23"/>
      <c r="AH819" s="37">
        <f>IF(AL819=0,H819,0)</f>
        <v>0</v>
      </c>
      <c r="AI819" s="37">
        <f>IF(AL819=15,H819,0)</f>
        <v>0</v>
      </c>
      <c r="AJ819" s="37">
        <f>IF(AL819=21,H819,0)</f>
        <v>0</v>
      </c>
      <c r="AL819" s="37">
        <v>21</v>
      </c>
      <c r="AM819" s="37">
        <f>G819*0.928905714285714</f>
        <v>0</v>
      </c>
      <c r="AN819" s="37">
        <f>G819*(1-0.928905714285714)</f>
        <v>0</v>
      </c>
      <c r="AO819" s="38" t="s">
        <v>136</v>
      </c>
      <c r="AT819" s="37">
        <f>AU819+AV819</f>
        <v>0</v>
      </c>
      <c r="AU819" s="37">
        <f>F819*AM819</f>
        <v>0</v>
      </c>
      <c r="AV819" s="37">
        <f>F819*AN819</f>
        <v>0</v>
      </c>
      <c r="AW819" s="38" t="s">
        <v>1404</v>
      </c>
      <c r="AX819" s="38" t="s">
        <v>1075</v>
      </c>
      <c r="AY819" s="23" t="s">
        <v>97</v>
      </c>
      <c r="BA819" s="37">
        <f>AU819+AV819</f>
        <v>0</v>
      </c>
      <c r="BB819" s="37">
        <f>G819/(100-BC819)*100</f>
        <v>0</v>
      </c>
      <c r="BC819" s="37">
        <v>0</v>
      </c>
      <c r="BD819" s="37">
        <f>J819</f>
        <v>0.03</v>
      </c>
      <c r="BF819" s="37">
        <f>F819*AM819</f>
        <v>0</v>
      </c>
      <c r="BG819" s="37">
        <f>F819*AN819</f>
        <v>0</v>
      </c>
      <c r="BH819" s="37">
        <f>F819*G819</f>
        <v>0</v>
      </c>
    </row>
    <row r="820" spans="1:11" ht="12.75">
      <c r="A820" s="39"/>
      <c r="B820" s="40"/>
      <c r="C820" s="40"/>
      <c r="D820" s="41" t="s">
        <v>1510</v>
      </c>
      <c r="E820" s="40"/>
      <c r="F820" s="42">
        <v>1</v>
      </c>
      <c r="G820" s="40"/>
      <c r="H820" s="40"/>
      <c r="I820" s="43"/>
      <c r="J820" s="43"/>
      <c r="K820" s="40"/>
    </row>
    <row r="821" spans="1:60" ht="25.5">
      <c r="A821" s="16" t="s">
        <v>1511</v>
      </c>
      <c r="B821" s="16"/>
      <c r="C821" s="16" t="s">
        <v>1512</v>
      </c>
      <c r="D821" s="32" t="s">
        <v>1513</v>
      </c>
      <c r="E821" s="16" t="s">
        <v>469</v>
      </c>
      <c r="F821" s="33">
        <v>1</v>
      </c>
      <c r="G821" s="422"/>
      <c r="H821" s="34">
        <f>F821*G821</f>
        <v>0</v>
      </c>
      <c r="I821" s="35">
        <v>0.36</v>
      </c>
      <c r="J821" s="35">
        <f>F821*I821</f>
        <v>0.36</v>
      </c>
      <c r="K821" s="36" t="s">
        <v>226</v>
      </c>
      <c r="X821" s="37">
        <f>IF(AO821="5",BH821,0)</f>
        <v>0</v>
      </c>
      <c r="Z821" s="37">
        <f>IF(AO821="1",BF821,0)</f>
        <v>0</v>
      </c>
      <c r="AA821" s="37">
        <f>IF(AO821="1",BG821,0)</f>
        <v>0</v>
      </c>
      <c r="AB821" s="37">
        <f>IF(AO821="7",BF821,0)</f>
        <v>0</v>
      </c>
      <c r="AC821" s="37">
        <f>IF(AO821="7",BG821,0)</f>
        <v>0</v>
      </c>
      <c r="AD821" s="37">
        <f>IF(AO821="2",BF821,0)</f>
        <v>0</v>
      </c>
      <c r="AE821" s="37">
        <f>IF(AO821="2",BG821,0)</f>
        <v>0</v>
      </c>
      <c r="AF821" s="37">
        <f>IF(AO821="0",BH821,0)</f>
        <v>0</v>
      </c>
      <c r="AG821" s="23"/>
      <c r="AH821" s="37">
        <f>IF(AL821=0,H821,0)</f>
        <v>0</v>
      </c>
      <c r="AI821" s="37">
        <f>IF(AL821=15,H821,0)</f>
        <v>0</v>
      </c>
      <c r="AJ821" s="37">
        <f>IF(AL821=21,H821,0)</f>
        <v>0</v>
      </c>
      <c r="AL821" s="37">
        <v>21</v>
      </c>
      <c r="AM821" s="37">
        <f>G821*0.9289035</f>
        <v>0</v>
      </c>
      <c r="AN821" s="37">
        <f>G821*(1-0.9289035)</f>
        <v>0</v>
      </c>
      <c r="AO821" s="38" t="s">
        <v>136</v>
      </c>
      <c r="AT821" s="37">
        <f>AU821+AV821</f>
        <v>0</v>
      </c>
      <c r="AU821" s="37">
        <f>F821*AM821</f>
        <v>0</v>
      </c>
      <c r="AV821" s="37">
        <f>F821*AN821</f>
        <v>0</v>
      </c>
      <c r="AW821" s="38" t="s">
        <v>1404</v>
      </c>
      <c r="AX821" s="38" t="s">
        <v>1075</v>
      </c>
      <c r="AY821" s="23" t="s">
        <v>97</v>
      </c>
      <c r="BA821" s="37">
        <f>AU821+AV821</f>
        <v>0</v>
      </c>
      <c r="BB821" s="37">
        <f>G821/(100-BC821)*100</f>
        <v>0</v>
      </c>
      <c r="BC821" s="37">
        <v>0</v>
      </c>
      <c r="BD821" s="37">
        <f>J821</f>
        <v>0.36</v>
      </c>
      <c r="BF821" s="37">
        <f>F821*AM821</f>
        <v>0</v>
      </c>
      <c r="BG821" s="37">
        <f>F821*AN821</f>
        <v>0</v>
      </c>
      <c r="BH821" s="37">
        <f>F821*G821</f>
        <v>0</v>
      </c>
    </row>
    <row r="822" spans="1:11" ht="25.5">
      <c r="A822" s="39"/>
      <c r="B822" s="40"/>
      <c r="C822" s="40"/>
      <c r="D822" s="41" t="s">
        <v>1514</v>
      </c>
      <c r="E822" s="40"/>
      <c r="F822" s="42">
        <v>1</v>
      </c>
      <c r="G822" s="40"/>
      <c r="H822" s="40"/>
      <c r="I822" s="43"/>
      <c r="J822" s="43"/>
      <c r="K822" s="40"/>
    </row>
    <row r="823" spans="1:60" ht="12.75">
      <c r="A823" s="16" t="s">
        <v>1515</v>
      </c>
      <c r="B823" s="16"/>
      <c r="C823" s="16" t="s">
        <v>1516</v>
      </c>
      <c r="D823" s="32" t="s">
        <v>1517</v>
      </c>
      <c r="E823" s="16" t="s">
        <v>225</v>
      </c>
      <c r="F823" s="33">
        <v>1</v>
      </c>
      <c r="G823" s="422"/>
      <c r="H823" s="34">
        <f>F823*G823</f>
        <v>0</v>
      </c>
      <c r="I823" s="35">
        <v>0.055</v>
      </c>
      <c r="J823" s="35">
        <f>F823*I823</f>
        <v>0.055</v>
      </c>
      <c r="K823" s="36" t="s">
        <v>226</v>
      </c>
      <c r="X823" s="37">
        <f>IF(AO823="5",BH823,0)</f>
        <v>0</v>
      </c>
      <c r="Z823" s="37">
        <f>IF(AO823="1",BF823,0)</f>
        <v>0</v>
      </c>
      <c r="AA823" s="37">
        <f>IF(AO823="1",BG823,0)</f>
        <v>0</v>
      </c>
      <c r="AB823" s="37">
        <f>IF(AO823="7",BF823,0)</f>
        <v>0</v>
      </c>
      <c r="AC823" s="37">
        <f>IF(AO823="7",BG823,0)</f>
        <v>0</v>
      </c>
      <c r="AD823" s="37">
        <f>IF(AO823="2",BF823,0)</f>
        <v>0</v>
      </c>
      <c r="AE823" s="37">
        <f>IF(AO823="2",BG823,0)</f>
        <v>0</v>
      </c>
      <c r="AF823" s="37">
        <f>IF(AO823="0",BH823,0)</f>
        <v>0</v>
      </c>
      <c r="AG823" s="23"/>
      <c r="AH823" s="37">
        <f>IF(AL823=0,H823,0)</f>
        <v>0</v>
      </c>
      <c r="AI823" s="37">
        <f>IF(AL823=15,H823,0)</f>
        <v>0</v>
      </c>
      <c r="AJ823" s="37">
        <f>IF(AL823=21,H823,0)</f>
        <v>0</v>
      </c>
      <c r="AL823" s="37">
        <v>21</v>
      </c>
      <c r="AM823" s="37">
        <f>G823*0.928905</f>
        <v>0</v>
      </c>
      <c r="AN823" s="37">
        <f>G823*(1-0.928905)</f>
        <v>0</v>
      </c>
      <c r="AO823" s="38" t="s">
        <v>136</v>
      </c>
      <c r="AT823" s="37">
        <f>AU823+AV823</f>
        <v>0</v>
      </c>
      <c r="AU823" s="37">
        <f>F823*AM823</f>
        <v>0</v>
      </c>
      <c r="AV823" s="37">
        <f>F823*AN823</f>
        <v>0</v>
      </c>
      <c r="AW823" s="38" t="s">
        <v>1404</v>
      </c>
      <c r="AX823" s="38" t="s">
        <v>1075</v>
      </c>
      <c r="AY823" s="23" t="s">
        <v>97</v>
      </c>
      <c r="BA823" s="37">
        <f>AU823+AV823</f>
        <v>0</v>
      </c>
      <c r="BB823" s="37">
        <f>G823/(100-BC823)*100</f>
        <v>0</v>
      </c>
      <c r="BC823" s="37">
        <v>0</v>
      </c>
      <c r="BD823" s="37">
        <f>J823</f>
        <v>0.055</v>
      </c>
      <c r="BF823" s="37">
        <f>F823*AM823</f>
        <v>0</v>
      </c>
      <c r="BG823" s="37">
        <f>F823*AN823</f>
        <v>0</v>
      </c>
      <c r="BH823" s="37">
        <f>F823*G823</f>
        <v>0</v>
      </c>
    </row>
    <row r="824" spans="1:11" ht="12.75">
      <c r="A824" s="39"/>
      <c r="B824" s="40"/>
      <c r="C824" s="40"/>
      <c r="D824" s="41" t="s">
        <v>1518</v>
      </c>
      <c r="E824" s="40"/>
      <c r="F824" s="42">
        <v>1</v>
      </c>
      <c r="G824" s="40"/>
      <c r="H824" s="40"/>
      <c r="I824" s="43"/>
      <c r="J824" s="43"/>
      <c r="K824" s="40"/>
    </row>
    <row r="825" spans="1:60" ht="25.5">
      <c r="A825" s="16" t="s">
        <v>1519</v>
      </c>
      <c r="B825" s="16"/>
      <c r="C825" s="16" t="s">
        <v>1516</v>
      </c>
      <c r="D825" s="32" t="s">
        <v>1520</v>
      </c>
      <c r="E825" s="16" t="s">
        <v>469</v>
      </c>
      <c r="F825" s="33">
        <v>1</v>
      </c>
      <c r="G825" s="422"/>
      <c r="H825" s="34">
        <f>F825*G825</f>
        <v>0</v>
      </c>
      <c r="I825" s="35">
        <v>0.42</v>
      </c>
      <c r="J825" s="35">
        <f>F825*I825</f>
        <v>0.42</v>
      </c>
      <c r="K825" s="36" t="s">
        <v>226</v>
      </c>
      <c r="X825" s="37">
        <f>IF(AO825="5",BH825,0)</f>
        <v>0</v>
      </c>
      <c r="Z825" s="37">
        <f>IF(AO825="1",BF825,0)</f>
        <v>0</v>
      </c>
      <c r="AA825" s="37">
        <f>IF(AO825="1",BG825,0)</f>
        <v>0</v>
      </c>
      <c r="AB825" s="37">
        <f>IF(AO825="7",BF825,0)</f>
        <v>0</v>
      </c>
      <c r="AC825" s="37">
        <f>IF(AO825="7",BG825,0)</f>
        <v>0</v>
      </c>
      <c r="AD825" s="37">
        <f>IF(AO825="2",BF825,0)</f>
        <v>0</v>
      </c>
      <c r="AE825" s="37">
        <f>IF(AO825="2",BG825,0)</f>
        <v>0</v>
      </c>
      <c r="AF825" s="37">
        <f>IF(AO825="0",BH825,0)</f>
        <v>0</v>
      </c>
      <c r="AG825" s="23"/>
      <c r="AH825" s="37">
        <f>IF(AL825=0,H825,0)</f>
        <v>0</v>
      </c>
      <c r="AI825" s="37">
        <f>IF(AL825=15,H825,0)</f>
        <v>0</v>
      </c>
      <c r="AJ825" s="37">
        <f>IF(AL825=21,H825,0)</f>
        <v>0</v>
      </c>
      <c r="AL825" s="37">
        <v>21</v>
      </c>
      <c r="AM825" s="37">
        <f>G825*0.9289034</f>
        <v>0</v>
      </c>
      <c r="AN825" s="37">
        <f>G825*(1-0.9289034)</f>
        <v>0</v>
      </c>
      <c r="AO825" s="38" t="s">
        <v>136</v>
      </c>
      <c r="AT825" s="37">
        <f>AU825+AV825</f>
        <v>0</v>
      </c>
      <c r="AU825" s="37">
        <f>F825*AM825</f>
        <v>0</v>
      </c>
      <c r="AV825" s="37">
        <f>F825*AN825</f>
        <v>0</v>
      </c>
      <c r="AW825" s="38" t="s">
        <v>1404</v>
      </c>
      <c r="AX825" s="38" t="s">
        <v>1075</v>
      </c>
      <c r="AY825" s="23" t="s">
        <v>97</v>
      </c>
      <c r="BA825" s="37">
        <f>AU825+AV825</f>
        <v>0</v>
      </c>
      <c r="BB825" s="37">
        <f>G825/(100-BC825)*100</f>
        <v>0</v>
      </c>
      <c r="BC825" s="37">
        <v>0</v>
      </c>
      <c r="BD825" s="37">
        <f>J825</f>
        <v>0.42</v>
      </c>
      <c r="BF825" s="37">
        <f>F825*AM825</f>
        <v>0</v>
      </c>
      <c r="BG825" s="37">
        <f>F825*AN825</f>
        <v>0</v>
      </c>
      <c r="BH825" s="37">
        <f>F825*G825</f>
        <v>0</v>
      </c>
    </row>
    <row r="826" spans="1:11" ht="12.75">
      <c r="A826" s="39"/>
      <c r="B826" s="40"/>
      <c r="C826" s="40"/>
      <c r="D826" s="41" t="s">
        <v>1521</v>
      </c>
      <c r="E826" s="40"/>
      <c r="F826" s="42">
        <v>1</v>
      </c>
      <c r="G826" s="40"/>
      <c r="H826" s="40"/>
      <c r="I826" s="43"/>
      <c r="J826" s="43"/>
      <c r="K826" s="40"/>
    </row>
    <row r="827" spans="1:60" ht="25.5">
      <c r="A827" s="16" t="s">
        <v>1522</v>
      </c>
      <c r="B827" s="16"/>
      <c r="C827" s="16" t="s">
        <v>1523</v>
      </c>
      <c r="D827" s="32" t="s">
        <v>1524</v>
      </c>
      <c r="E827" s="16" t="s">
        <v>469</v>
      </c>
      <c r="F827" s="33">
        <v>1</v>
      </c>
      <c r="G827" s="422"/>
      <c r="H827" s="34">
        <f>F827*G827</f>
        <v>0</v>
      </c>
      <c r="I827" s="35">
        <v>0.09</v>
      </c>
      <c r="J827" s="35">
        <f>F827*I827</f>
        <v>0.09</v>
      </c>
      <c r="K827" s="36" t="s">
        <v>226</v>
      </c>
      <c r="X827" s="37">
        <f>IF(AO827="5",BH827,0)</f>
        <v>0</v>
      </c>
      <c r="Z827" s="37">
        <f>IF(AO827="1",BF827,0)</f>
        <v>0</v>
      </c>
      <c r="AA827" s="37">
        <f>IF(AO827="1",BG827,0)</f>
        <v>0</v>
      </c>
      <c r="AB827" s="37">
        <f>IF(AO827="7",BF827,0)</f>
        <v>0</v>
      </c>
      <c r="AC827" s="37">
        <f>IF(AO827="7",BG827,0)</f>
        <v>0</v>
      </c>
      <c r="AD827" s="37">
        <f>IF(AO827="2",BF827,0)</f>
        <v>0</v>
      </c>
      <c r="AE827" s="37">
        <f>IF(AO827="2",BG827,0)</f>
        <v>0</v>
      </c>
      <c r="AF827" s="37">
        <f>IF(AO827="0",BH827,0)</f>
        <v>0</v>
      </c>
      <c r="AG827" s="23"/>
      <c r="AH827" s="37">
        <f>IF(AL827=0,H827,0)</f>
        <v>0</v>
      </c>
      <c r="AI827" s="37">
        <f>IF(AL827=15,H827,0)</f>
        <v>0</v>
      </c>
      <c r="AJ827" s="37">
        <f>IF(AL827=21,H827,0)</f>
        <v>0</v>
      </c>
      <c r="AL827" s="37">
        <v>21</v>
      </c>
      <c r="AM827" s="37">
        <f>G827*0.9289025</f>
        <v>0</v>
      </c>
      <c r="AN827" s="37">
        <f>G827*(1-0.9289025)</f>
        <v>0</v>
      </c>
      <c r="AO827" s="38" t="s">
        <v>136</v>
      </c>
      <c r="AT827" s="37">
        <f>AU827+AV827</f>
        <v>0</v>
      </c>
      <c r="AU827" s="37">
        <f>F827*AM827</f>
        <v>0</v>
      </c>
      <c r="AV827" s="37">
        <f>F827*AN827</f>
        <v>0</v>
      </c>
      <c r="AW827" s="38" t="s">
        <v>1404</v>
      </c>
      <c r="AX827" s="38" t="s">
        <v>1075</v>
      </c>
      <c r="AY827" s="23" t="s">
        <v>97</v>
      </c>
      <c r="BA827" s="37">
        <f>AU827+AV827</f>
        <v>0</v>
      </c>
      <c r="BB827" s="37">
        <f>G827/(100-BC827)*100</f>
        <v>0</v>
      </c>
      <c r="BC827" s="37">
        <v>0</v>
      </c>
      <c r="BD827" s="37">
        <f>J827</f>
        <v>0.09</v>
      </c>
      <c r="BF827" s="37">
        <f>F827*AM827</f>
        <v>0</v>
      </c>
      <c r="BG827" s="37">
        <f>F827*AN827</f>
        <v>0</v>
      </c>
      <c r="BH827" s="37">
        <f>F827*G827</f>
        <v>0</v>
      </c>
    </row>
    <row r="828" spans="1:11" ht="12.75">
      <c r="A828" s="39"/>
      <c r="B828" s="40"/>
      <c r="C828" s="40"/>
      <c r="D828" s="41" t="s">
        <v>1525</v>
      </c>
      <c r="E828" s="40"/>
      <c r="F828" s="42">
        <v>1</v>
      </c>
      <c r="G828" s="40"/>
      <c r="H828" s="40"/>
      <c r="I828" s="43"/>
      <c r="J828" s="43"/>
      <c r="K828" s="40"/>
    </row>
    <row r="829" spans="1:60" ht="25.5">
      <c r="A829" s="16" t="s">
        <v>1526</v>
      </c>
      <c r="B829" s="16"/>
      <c r="C829" s="16" t="s">
        <v>1523</v>
      </c>
      <c r="D829" s="32" t="s">
        <v>1527</v>
      </c>
      <c r="E829" s="16" t="s">
        <v>469</v>
      </c>
      <c r="F829" s="33">
        <v>8</v>
      </c>
      <c r="G829" s="422"/>
      <c r="H829" s="34">
        <f>F829*G829</f>
        <v>0</v>
      </c>
      <c r="I829" s="35">
        <v>0.09</v>
      </c>
      <c r="J829" s="35">
        <f>F829*I829</f>
        <v>0.72</v>
      </c>
      <c r="K829" s="36" t="s">
        <v>226</v>
      </c>
      <c r="X829" s="37">
        <f>IF(AO829="5",BH829,0)</f>
        <v>0</v>
      </c>
      <c r="Z829" s="37">
        <f>IF(AO829="1",BF829,0)</f>
        <v>0</v>
      </c>
      <c r="AA829" s="37">
        <f>IF(AO829="1",BG829,0)</f>
        <v>0</v>
      </c>
      <c r="AB829" s="37">
        <f>IF(AO829="7",BF829,0)</f>
        <v>0</v>
      </c>
      <c r="AC829" s="37">
        <f>IF(AO829="7",BG829,0)</f>
        <v>0</v>
      </c>
      <c r="AD829" s="37">
        <f>IF(AO829="2",BF829,0)</f>
        <v>0</v>
      </c>
      <c r="AE829" s="37">
        <f>IF(AO829="2",BG829,0)</f>
        <v>0</v>
      </c>
      <c r="AF829" s="37">
        <f>IF(AO829="0",BH829,0)</f>
        <v>0</v>
      </c>
      <c r="AG829" s="23"/>
      <c r="AH829" s="37">
        <f>IF(AL829=0,H829,0)</f>
        <v>0</v>
      </c>
      <c r="AI829" s="37">
        <f>IF(AL829=15,H829,0)</f>
        <v>0</v>
      </c>
      <c r="AJ829" s="37">
        <f>IF(AL829=21,H829,0)</f>
        <v>0</v>
      </c>
      <c r="AL829" s="37">
        <v>21</v>
      </c>
      <c r="AM829" s="37">
        <f>G829*0.9289</f>
        <v>0</v>
      </c>
      <c r="AN829" s="37">
        <f>G829*(1-0.9289)</f>
        <v>0</v>
      </c>
      <c r="AO829" s="38" t="s">
        <v>136</v>
      </c>
      <c r="AT829" s="37">
        <f>AU829+AV829</f>
        <v>0</v>
      </c>
      <c r="AU829" s="37">
        <f>F829*AM829</f>
        <v>0</v>
      </c>
      <c r="AV829" s="37">
        <f>F829*AN829</f>
        <v>0</v>
      </c>
      <c r="AW829" s="38" t="s">
        <v>1404</v>
      </c>
      <c r="AX829" s="38" t="s">
        <v>1075</v>
      </c>
      <c r="AY829" s="23" t="s">
        <v>97</v>
      </c>
      <c r="BA829" s="37">
        <f>AU829+AV829</f>
        <v>0</v>
      </c>
      <c r="BB829" s="37">
        <f>G829/(100-BC829)*100</f>
        <v>0</v>
      </c>
      <c r="BC829" s="37">
        <v>0</v>
      </c>
      <c r="BD829" s="37">
        <f>J829</f>
        <v>0.72</v>
      </c>
      <c r="BF829" s="37">
        <f>F829*AM829</f>
        <v>0</v>
      </c>
      <c r="BG829" s="37">
        <f>F829*AN829</f>
        <v>0</v>
      </c>
      <c r="BH829" s="37">
        <f>F829*G829</f>
        <v>0</v>
      </c>
    </row>
    <row r="830" spans="1:11" ht="12.75">
      <c r="A830" s="39"/>
      <c r="B830" s="40"/>
      <c r="C830" s="40"/>
      <c r="D830" s="41" t="s">
        <v>1528</v>
      </c>
      <c r="E830" s="40"/>
      <c r="F830" s="42">
        <v>8</v>
      </c>
      <c r="G830" s="40"/>
      <c r="H830" s="40"/>
      <c r="I830" s="43"/>
      <c r="J830" s="43"/>
      <c r="K830" s="40"/>
    </row>
    <row r="831" spans="1:60" ht="12.75">
      <c r="A831" s="16" t="s">
        <v>1529</v>
      </c>
      <c r="B831" s="16"/>
      <c r="C831" s="16" t="s">
        <v>1530</v>
      </c>
      <c r="D831" s="32" t="s">
        <v>1531</v>
      </c>
      <c r="E831" s="16" t="s">
        <v>225</v>
      </c>
      <c r="F831" s="33">
        <v>1</v>
      </c>
      <c r="G831" s="422"/>
      <c r="H831" s="34">
        <f>F831*G831</f>
        <v>0</v>
      </c>
      <c r="I831" s="35">
        <v>0.03</v>
      </c>
      <c r="J831" s="35">
        <f>F831*I831</f>
        <v>0.03</v>
      </c>
      <c r="K831" s="36" t="s">
        <v>226</v>
      </c>
      <c r="X831" s="37">
        <f>IF(AO831="5",BH831,0)</f>
        <v>0</v>
      </c>
      <c r="Z831" s="37">
        <f>IF(AO831="1",BF831,0)</f>
        <v>0</v>
      </c>
      <c r="AA831" s="37">
        <f>IF(AO831="1",BG831,0)</f>
        <v>0</v>
      </c>
      <c r="AB831" s="37">
        <f>IF(AO831="7",BF831,0)</f>
        <v>0</v>
      </c>
      <c r="AC831" s="37">
        <f>IF(AO831="7",BG831,0)</f>
        <v>0</v>
      </c>
      <c r="AD831" s="37">
        <f>IF(AO831="2",BF831,0)</f>
        <v>0</v>
      </c>
      <c r="AE831" s="37">
        <f>IF(AO831="2",BG831,0)</f>
        <v>0</v>
      </c>
      <c r="AF831" s="37">
        <f>IF(AO831="0",BH831,0)</f>
        <v>0</v>
      </c>
      <c r="AG831" s="23"/>
      <c r="AH831" s="37">
        <f>IF(AL831=0,H831,0)</f>
        <v>0</v>
      </c>
      <c r="AI831" s="37">
        <f>IF(AL831=15,H831,0)</f>
        <v>0</v>
      </c>
      <c r="AJ831" s="37">
        <f>IF(AL831=21,H831,0)</f>
        <v>0</v>
      </c>
      <c r="AL831" s="37">
        <v>21</v>
      </c>
      <c r="AM831" s="37">
        <f>G831*0.928904</f>
        <v>0</v>
      </c>
      <c r="AN831" s="37">
        <f>G831*(1-0.928904)</f>
        <v>0</v>
      </c>
      <c r="AO831" s="38" t="s">
        <v>136</v>
      </c>
      <c r="AT831" s="37">
        <f>AU831+AV831</f>
        <v>0</v>
      </c>
      <c r="AU831" s="37">
        <f>F831*AM831</f>
        <v>0</v>
      </c>
      <c r="AV831" s="37">
        <f>F831*AN831</f>
        <v>0</v>
      </c>
      <c r="AW831" s="38" t="s">
        <v>1404</v>
      </c>
      <c r="AX831" s="38" t="s">
        <v>1075</v>
      </c>
      <c r="AY831" s="23" t="s">
        <v>97</v>
      </c>
      <c r="BA831" s="37">
        <f>AU831+AV831</f>
        <v>0</v>
      </c>
      <c r="BB831" s="37">
        <f>G831/(100-BC831)*100</f>
        <v>0</v>
      </c>
      <c r="BC831" s="37">
        <v>0</v>
      </c>
      <c r="BD831" s="37">
        <f>J831</f>
        <v>0.03</v>
      </c>
      <c r="BF831" s="37">
        <f>F831*AM831</f>
        <v>0</v>
      </c>
      <c r="BG831" s="37">
        <f>F831*AN831</f>
        <v>0</v>
      </c>
      <c r="BH831" s="37">
        <f>F831*G831</f>
        <v>0</v>
      </c>
    </row>
    <row r="832" spans="1:11" ht="12.75">
      <c r="A832" s="39"/>
      <c r="B832" s="40"/>
      <c r="C832" s="40"/>
      <c r="D832" s="41" t="s">
        <v>1532</v>
      </c>
      <c r="E832" s="40"/>
      <c r="F832" s="42">
        <v>1</v>
      </c>
      <c r="G832" s="40"/>
      <c r="H832" s="40"/>
      <c r="I832" s="43"/>
      <c r="J832" s="43"/>
      <c r="K832" s="40"/>
    </row>
    <row r="833" spans="1:60" ht="25.5">
      <c r="A833" s="16" t="s">
        <v>1533</v>
      </c>
      <c r="B833" s="16"/>
      <c r="C833" s="16" t="s">
        <v>1534</v>
      </c>
      <c r="D833" s="32" t="s">
        <v>1535</v>
      </c>
      <c r="E833" s="16" t="s">
        <v>225</v>
      </c>
      <c r="F833" s="33">
        <v>12</v>
      </c>
      <c r="G833" s="422"/>
      <c r="H833" s="34">
        <f>F833*G833</f>
        <v>0</v>
      </c>
      <c r="I833" s="35">
        <v>0.04</v>
      </c>
      <c r="J833" s="35">
        <f>F833*I833</f>
        <v>0.48</v>
      </c>
      <c r="K833" s="36" t="s">
        <v>226</v>
      </c>
      <c r="X833" s="37">
        <f>IF(AO833="5",BH833,0)</f>
        <v>0</v>
      </c>
      <c r="Z833" s="37">
        <f>IF(AO833="1",BF833,0)</f>
        <v>0</v>
      </c>
      <c r="AA833" s="37">
        <f>IF(AO833="1",BG833,0)</f>
        <v>0</v>
      </c>
      <c r="AB833" s="37">
        <f>IF(AO833="7",BF833,0)</f>
        <v>0</v>
      </c>
      <c r="AC833" s="37">
        <f>IF(AO833="7",BG833,0)</f>
        <v>0</v>
      </c>
      <c r="AD833" s="37">
        <f>IF(AO833="2",BF833,0)</f>
        <v>0</v>
      </c>
      <c r="AE833" s="37">
        <f>IF(AO833="2",BG833,0)</f>
        <v>0</v>
      </c>
      <c r="AF833" s="37">
        <f>IF(AO833="0",BH833,0)</f>
        <v>0</v>
      </c>
      <c r="AG833" s="23"/>
      <c r="AH833" s="37">
        <f>IF(AL833=0,H833,0)</f>
        <v>0</v>
      </c>
      <c r="AI833" s="37">
        <f>IF(AL833=15,H833,0)</f>
        <v>0</v>
      </c>
      <c r="AJ833" s="37">
        <f>IF(AL833=21,H833,0)</f>
        <v>0</v>
      </c>
      <c r="AL833" s="37">
        <v>21</v>
      </c>
      <c r="AM833" s="37">
        <f>G833*0.928904285714286</f>
        <v>0</v>
      </c>
      <c r="AN833" s="37">
        <f>G833*(1-0.928904285714286)</f>
        <v>0</v>
      </c>
      <c r="AO833" s="38" t="s">
        <v>136</v>
      </c>
      <c r="AT833" s="37">
        <f>AU833+AV833</f>
        <v>0</v>
      </c>
      <c r="AU833" s="37">
        <f>F833*AM833</f>
        <v>0</v>
      </c>
      <c r="AV833" s="37">
        <f>F833*AN833</f>
        <v>0</v>
      </c>
      <c r="AW833" s="38" t="s">
        <v>1404</v>
      </c>
      <c r="AX833" s="38" t="s">
        <v>1075</v>
      </c>
      <c r="AY833" s="23" t="s">
        <v>97</v>
      </c>
      <c r="BA833" s="37">
        <f>AU833+AV833</f>
        <v>0</v>
      </c>
      <c r="BB833" s="37">
        <f>G833/(100-BC833)*100</f>
        <v>0</v>
      </c>
      <c r="BC833" s="37">
        <v>0</v>
      </c>
      <c r="BD833" s="37">
        <f>J833</f>
        <v>0.48</v>
      </c>
      <c r="BF833" s="37">
        <f>F833*AM833</f>
        <v>0</v>
      </c>
      <c r="BG833" s="37">
        <f>F833*AN833</f>
        <v>0</v>
      </c>
      <c r="BH833" s="37">
        <f>F833*G833</f>
        <v>0</v>
      </c>
    </row>
    <row r="834" spans="1:11" ht="12.75">
      <c r="A834" s="39"/>
      <c r="B834" s="40"/>
      <c r="C834" s="40"/>
      <c r="D834" s="41" t="s">
        <v>1536</v>
      </c>
      <c r="E834" s="40"/>
      <c r="F834" s="42">
        <v>12</v>
      </c>
      <c r="G834" s="40"/>
      <c r="H834" s="40"/>
      <c r="I834" s="43"/>
      <c r="J834" s="43"/>
      <c r="K834" s="40"/>
    </row>
    <row r="835" spans="1:60" ht="12.75">
      <c r="A835" s="44" t="s">
        <v>1537</v>
      </c>
      <c r="B835" s="44"/>
      <c r="C835" s="44" t="s">
        <v>1538</v>
      </c>
      <c r="D835" s="45" t="s">
        <v>1539</v>
      </c>
      <c r="E835" s="44" t="s">
        <v>239</v>
      </c>
      <c r="F835" s="46">
        <v>85.33</v>
      </c>
      <c r="G835" s="423"/>
      <c r="H835" s="47">
        <f>F835*G835</f>
        <v>0</v>
      </c>
      <c r="I835" s="48">
        <v>0</v>
      </c>
      <c r="J835" s="48">
        <f>F835*I835</f>
        <v>0</v>
      </c>
      <c r="K835" s="49" t="s">
        <v>94</v>
      </c>
      <c r="X835" s="37">
        <f>IF(AO835="5",BH835,0)</f>
        <v>0</v>
      </c>
      <c r="Z835" s="37">
        <f>IF(AO835="1",BF835,0)</f>
        <v>0</v>
      </c>
      <c r="AA835" s="37">
        <f>IF(AO835="1",BG835,0)</f>
        <v>0</v>
      </c>
      <c r="AB835" s="37">
        <f>IF(AO835="7",BF835,0)</f>
        <v>0</v>
      </c>
      <c r="AC835" s="37">
        <f>IF(AO835="7",BG835,0)</f>
        <v>0</v>
      </c>
      <c r="AD835" s="37">
        <f>IF(AO835="2",BF835,0)</f>
        <v>0</v>
      </c>
      <c r="AE835" s="37">
        <f>IF(AO835="2",BG835,0)</f>
        <v>0</v>
      </c>
      <c r="AF835" s="37">
        <f>IF(AO835="0",BH835,0)</f>
        <v>0</v>
      </c>
      <c r="AG835" s="23"/>
      <c r="AH835" s="37">
        <f>IF(AL835=0,H835,0)</f>
        <v>0</v>
      </c>
      <c r="AI835" s="37">
        <f>IF(AL835=15,H835,0)</f>
        <v>0</v>
      </c>
      <c r="AJ835" s="37">
        <f>IF(AL835=21,H835,0)</f>
        <v>0</v>
      </c>
      <c r="AL835" s="37">
        <v>21</v>
      </c>
      <c r="AM835" s="37">
        <f>G835*0</f>
        <v>0</v>
      </c>
      <c r="AN835" s="37">
        <f>G835*(1-0)</f>
        <v>0</v>
      </c>
      <c r="AO835" s="38" t="s">
        <v>118</v>
      </c>
      <c r="AT835" s="37">
        <f>AU835+AV835</f>
        <v>0</v>
      </c>
      <c r="AU835" s="37">
        <f>F835*AM835</f>
        <v>0</v>
      </c>
      <c r="AV835" s="37">
        <f>F835*AN835</f>
        <v>0</v>
      </c>
      <c r="AW835" s="38" t="s">
        <v>1404</v>
      </c>
      <c r="AX835" s="38" t="s">
        <v>1075</v>
      </c>
      <c r="AY835" s="23" t="s">
        <v>97</v>
      </c>
      <c r="BA835" s="37">
        <f>AU835+AV835</f>
        <v>0</v>
      </c>
      <c r="BB835" s="37">
        <f>G835/(100-BC835)*100</f>
        <v>0</v>
      </c>
      <c r="BC835" s="37">
        <v>0</v>
      </c>
      <c r="BD835" s="37">
        <f>J835</f>
        <v>0</v>
      </c>
      <c r="BF835" s="37">
        <f>F835*AM835</f>
        <v>0</v>
      </c>
      <c r="BG835" s="37">
        <f>F835*AN835</f>
        <v>0</v>
      </c>
      <c r="BH835" s="37">
        <f>F835*G835</f>
        <v>0</v>
      </c>
    </row>
    <row r="836" spans="1:11" ht="12.75">
      <c r="A836" s="50"/>
      <c r="B836" s="51"/>
      <c r="C836" s="51"/>
      <c r="D836" s="52" t="s">
        <v>1540</v>
      </c>
      <c r="E836" s="51"/>
      <c r="F836" s="53">
        <v>85.33</v>
      </c>
      <c r="G836" s="51"/>
      <c r="H836" s="51"/>
      <c r="I836" s="54"/>
      <c r="J836" s="54"/>
      <c r="K836" s="51"/>
    </row>
    <row r="837" spans="1:45" ht="12.75">
      <c r="A837" s="24"/>
      <c r="B837" s="25"/>
      <c r="C837" s="25" t="s">
        <v>1541</v>
      </c>
      <c r="D837" s="26" t="s">
        <v>1542</v>
      </c>
      <c r="E837" s="24" t="s">
        <v>54</v>
      </c>
      <c r="F837" s="24" t="s">
        <v>54</v>
      </c>
      <c r="G837" s="24"/>
      <c r="H837" s="27">
        <f>SUM(H838:H864)</f>
        <v>0</v>
      </c>
      <c r="I837" s="28"/>
      <c r="J837" s="28">
        <f>SUM(J838:J864)</f>
        <v>3.894469779999999</v>
      </c>
      <c r="K837" s="29"/>
      <c r="AG837" s="23"/>
      <c r="AQ837" s="31">
        <f>SUM(AH838:AH864)</f>
        <v>0</v>
      </c>
      <c r="AR837" s="31">
        <f>SUM(AI838:AI864)</f>
        <v>0</v>
      </c>
      <c r="AS837" s="31">
        <f>SUM(AJ838:AJ864)</f>
        <v>0</v>
      </c>
    </row>
    <row r="838" spans="1:60" ht="12.75">
      <c r="A838" s="16" t="s">
        <v>1543</v>
      </c>
      <c r="B838" s="16"/>
      <c r="C838" s="16" t="s">
        <v>1544</v>
      </c>
      <c r="D838" s="32" t="s">
        <v>1545</v>
      </c>
      <c r="E838" s="16" t="s">
        <v>192</v>
      </c>
      <c r="F838" s="33">
        <v>123.27</v>
      </c>
      <c r="G838" s="422"/>
      <c r="H838" s="34">
        <f>F838*G838</f>
        <v>0</v>
      </c>
      <c r="I838" s="35">
        <v>0</v>
      </c>
      <c r="J838" s="35">
        <f>F838*I838</f>
        <v>0</v>
      </c>
      <c r="K838" s="36" t="s">
        <v>94</v>
      </c>
      <c r="X838" s="37">
        <f>IF(AO838="5",BH838,0)</f>
        <v>0</v>
      </c>
      <c r="Z838" s="37">
        <f>IF(AO838="1",BF838,0)</f>
        <v>0</v>
      </c>
      <c r="AA838" s="37">
        <f>IF(AO838="1",BG838,0)</f>
        <v>0</v>
      </c>
      <c r="AB838" s="37">
        <f>IF(AO838="7",BF838,0)</f>
        <v>0</v>
      </c>
      <c r="AC838" s="37">
        <f>IF(AO838="7",BG838,0)</f>
        <v>0</v>
      </c>
      <c r="AD838" s="37">
        <f>IF(AO838="2",BF838,0)</f>
        <v>0</v>
      </c>
      <c r="AE838" s="37">
        <f>IF(AO838="2",BG838,0)</f>
        <v>0</v>
      </c>
      <c r="AF838" s="37">
        <f>IF(AO838="0",BH838,0)</f>
        <v>0</v>
      </c>
      <c r="AG838" s="23"/>
      <c r="AH838" s="37">
        <f>IF(AL838=0,H838,0)</f>
        <v>0</v>
      </c>
      <c r="AI838" s="37">
        <f>IF(AL838=15,H838,0)</f>
        <v>0</v>
      </c>
      <c r="AJ838" s="37">
        <f>IF(AL838=21,H838,0)</f>
        <v>0</v>
      </c>
      <c r="AL838" s="37">
        <v>21</v>
      </c>
      <c r="AM838" s="37">
        <f>G838*0</f>
        <v>0</v>
      </c>
      <c r="AN838" s="37">
        <f>G838*(1-0)</f>
        <v>0</v>
      </c>
      <c r="AO838" s="38" t="s">
        <v>136</v>
      </c>
      <c r="AT838" s="37">
        <f>AU838+AV838</f>
        <v>0</v>
      </c>
      <c r="AU838" s="37">
        <f>F838*AM838</f>
        <v>0</v>
      </c>
      <c r="AV838" s="37">
        <f>F838*AN838</f>
        <v>0</v>
      </c>
      <c r="AW838" s="38" t="s">
        <v>1546</v>
      </c>
      <c r="AX838" s="38" t="s">
        <v>1547</v>
      </c>
      <c r="AY838" s="23" t="s">
        <v>97</v>
      </c>
      <c r="BA838" s="37">
        <f>AU838+AV838</f>
        <v>0</v>
      </c>
      <c r="BB838" s="37">
        <f>G838/(100-BC838)*100</f>
        <v>0</v>
      </c>
      <c r="BC838" s="37">
        <v>0</v>
      </c>
      <c r="BD838" s="37">
        <f>J838</f>
        <v>0</v>
      </c>
      <c r="BF838" s="37">
        <f>F838*AM838</f>
        <v>0</v>
      </c>
      <c r="BG838" s="37">
        <f>F838*AN838</f>
        <v>0</v>
      </c>
      <c r="BH838" s="37">
        <f>F838*G838</f>
        <v>0</v>
      </c>
    </row>
    <row r="839" spans="1:11" ht="12.75">
      <c r="A839" s="39"/>
      <c r="B839" s="40"/>
      <c r="C839" s="40"/>
      <c r="D839" s="41" t="s">
        <v>1548</v>
      </c>
      <c r="E839" s="40"/>
      <c r="F839" s="42">
        <v>28.65</v>
      </c>
      <c r="G839" s="40"/>
      <c r="H839" s="40"/>
      <c r="I839" s="43"/>
      <c r="J839" s="43"/>
      <c r="K839" s="40"/>
    </row>
    <row r="840" spans="1:11" ht="12.75">
      <c r="A840" s="39"/>
      <c r="B840" s="40"/>
      <c r="C840" s="40"/>
      <c r="D840" s="41" t="s">
        <v>1549</v>
      </c>
      <c r="E840" s="40"/>
      <c r="F840" s="42">
        <v>94.62</v>
      </c>
      <c r="G840" s="40"/>
      <c r="H840" s="40"/>
      <c r="I840" s="43"/>
      <c r="J840" s="43"/>
      <c r="K840" s="40"/>
    </row>
    <row r="841" spans="1:60" ht="12.75">
      <c r="A841" s="16" t="s">
        <v>1550</v>
      </c>
      <c r="B841" s="16"/>
      <c r="C841" s="16" t="s">
        <v>1551</v>
      </c>
      <c r="D841" s="32" t="s">
        <v>1552</v>
      </c>
      <c r="E841" s="16" t="s">
        <v>192</v>
      </c>
      <c r="F841" s="33">
        <v>126.06</v>
      </c>
      <c r="G841" s="422"/>
      <c r="H841" s="34">
        <f>F841*G841</f>
        <v>0</v>
      </c>
      <c r="I841" s="35">
        <v>0.00021</v>
      </c>
      <c r="J841" s="35">
        <f>F841*I841</f>
        <v>0.026472600000000002</v>
      </c>
      <c r="K841" s="36" t="s">
        <v>94</v>
      </c>
      <c r="X841" s="37">
        <f>IF(AO841="5",BH841,0)</f>
        <v>0</v>
      </c>
      <c r="Z841" s="37">
        <f>IF(AO841="1",BF841,0)</f>
        <v>0</v>
      </c>
      <c r="AA841" s="37">
        <f>IF(AO841="1",BG841,0)</f>
        <v>0</v>
      </c>
      <c r="AB841" s="37">
        <f>IF(AO841="7",BF841,0)</f>
        <v>0</v>
      </c>
      <c r="AC841" s="37">
        <f>IF(AO841="7",BG841,0)</f>
        <v>0</v>
      </c>
      <c r="AD841" s="37">
        <f>IF(AO841="2",BF841,0)</f>
        <v>0</v>
      </c>
      <c r="AE841" s="37">
        <f>IF(AO841="2",BG841,0)</f>
        <v>0</v>
      </c>
      <c r="AF841" s="37">
        <f>IF(AO841="0",BH841,0)</f>
        <v>0</v>
      </c>
      <c r="AG841" s="23"/>
      <c r="AH841" s="37">
        <f>IF(AL841=0,H841,0)</f>
        <v>0</v>
      </c>
      <c r="AI841" s="37">
        <f>IF(AL841=15,H841,0)</f>
        <v>0</v>
      </c>
      <c r="AJ841" s="37">
        <f>IF(AL841=21,H841,0)</f>
        <v>0</v>
      </c>
      <c r="AL841" s="37">
        <v>21</v>
      </c>
      <c r="AM841" s="37">
        <f>G841*0.478991277335404</f>
        <v>0</v>
      </c>
      <c r="AN841" s="37">
        <f>G841*(1-0.478991277335404)</f>
        <v>0</v>
      </c>
      <c r="AO841" s="38" t="s">
        <v>136</v>
      </c>
      <c r="AT841" s="37">
        <f>AU841+AV841</f>
        <v>0</v>
      </c>
      <c r="AU841" s="37">
        <f>F841*AM841</f>
        <v>0</v>
      </c>
      <c r="AV841" s="37">
        <f>F841*AN841</f>
        <v>0</v>
      </c>
      <c r="AW841" s="38" t="s">
        <v>1546</v>
      </c>
      <c r="AX841" s="38" t="s">
        <v>1547</v>
      </c>
      <c r="AY841" s="23" t="s">
        <v>97</v>
      </c>
      <c r="BA841" s="37">
        <f>AU841+AV841</f>
        <v>0</v>
      </c>
      <c r="BB841" s="37">
        <f>G841/(100-BC841)*100</f>
        <v>0</v>
      </c>
      <c r="BC841" s="37">
        <v>0</v>
      </c>
      <c r="BD841" s="37">
        <f>J841</f>
        <v>0.026472600000000002</v>
      </c>
      <c r="BF841" s="37">
        <f>F841*AM841</f>
        <v>0</v>
      </c>
      <c r="BG841" s="37">
        <f>F841*AN841</f>
        <v>0</v>
      </c>
      <c r="BH841" s="37">
        <f>F841*G841</f>
        <v>0</v>
      </c>
    </row>
    <row r="842" spans="1:11" ht="12.75">
      <c r="A842" s="39"/>
      <c r="B842" s="40"/>
      <c r="C842" s="40"/>
      <c r="D842" s="41" t="s">
        <v>1553</v>
      </c>
      <c r="E842" s="40"/>
      <c r="F842" s="42">
        <v>31.44</v>
      </c>
      <c r="G842" s="40"/>
      <c r="H842" s="40"/>
      <c r="I842" s="43"/>
      <c r="J842" s="43"/>
      <c r="K842" s="40"/>
    </row>
    <row r="843" spans="1:11" ht="12.75">
      <c r="A843" s="39"/>
      <c r="B843" s="40"/>
      <c r="C843" s="40"/>
      <c r="D843" s="41" t="s">
        <v>1549</v>
      </c>
      <c r="E843" s="40"/>
      <c r="F843" s="42">
        <v>94.62</v>
      </c>
      <c r="G843" s="40"/>
      <c r="H843" s="40"/>
      <c r="I843" s="43"/>
      <c r="J843" s="43"/>
      <c r="K843" s="40"/>
    </row>
    <row r="844" spans="1:60" ht="12.75">
      <c r="A844" s="16" t="s">
        <v>1554</v>
      </c>
      <c r="B844" s="16"/>
      <c r="C844" s="16" t="s">
        <v>1555</v>
      </c>
      <c r="D844" s="32" t="s">
        <v>1556</v>
      </c>
      <c r="E844" s="16" t="s">
        <v>192</v>
      </c>
      <c r="F844" s="33">
        <v>123.27</v>
      </c>
      <c r="G844" s="422"/>
      <c r="H844" s="34">
        <f>F844*G844</f>
        <v>0</v>
      </c>
      <c r="I844" s="35">
        <v>0.00693</v>
      </c>
      <c r="J844" s="35">
        <f>F844*I844</f>
        <v>0.8542611</v>
      </c>
      <c r="K844" s="36" t="s">
        <v>94</v>
      </c>
      <c r="X844" s="37">
        <f>IF(AO844="5",BH844,0)</f>
        <v>0</v>
      </c>
      <c r="Z844" s="37">
        <f>IF(AO844="1",BF844,0)</f>
        <v>0</v>
      </c>
      <c r="AA844" s="37">
        <f>IF(AO844="1",BG844,0)</f>
        <v>0</v>
      </c>
      <c r="AB844" s="37">
        <f>IF(AO844="7",BF844,0)</f>
        <v>0</v>
      </c>
      <c r="AC844" s="37">
        <f>IF(AO844="7",BG844,0)</f>
        <v>0</v>
      </c>
      <c r="AD844" s="37">
        <f>IF(AO844="2",BF844,0)</f>
        <v>0</v>
      </c>
      <c r="AE844" s="37">
        <f>IF(AO844="2",BG844,0)</f>
        <v>0</v>
      </c>
      <c r="AF844" s="37">
        <f>IF(AO844="0",BH844,0)</f>
        <v>0</v>
      </c>
      <c r="AG844" s="23"/>
      <c r="AH844" s="37">
        <f>IF(AL844=0,H844,0)</f>
        <v>0</v>
      </c>
      <c r="AI844" s="37">
        <f>IF(AL844=15,H844,0)</f>
        <v>0</v>
      </c>
      <c r="AJ844" s="37">
        <f>IF(AL844=21,H844,0)</f>
        <v>0</v>
      </c>
      <c r="AL844" s="37">
        <v>21</v>
      </c>
      <c r="AM844" s="37">
        <f>G844*0.161407035175879</f>
        <v>0</v>
      </c>
      <c r="AN844" s="37">
        <f>G844*(1-0.161407035175879)</f>
        <v>0</v>
      </c>
      <c r="AO844" s="38" t="s">
        <v>136</v>
      </c>
      <c r="AT844" s="37">
        <f>AU844+AV844</f>
        <v>0</v>
      </c>
      <c r="AU844" s="37">
        <f>F844*AM844</f>
        <v>0</v>
      </c>
      <c r="AV844" s="37">
        <f>F844*AN844</f>
        <v>0</v>
      </c>
      <c r="AW844" s="38" t="s">
        <v>1546</v>
      </c>
      <c r="AX844" s="38" t="s">
        <v>1547</v>
      </c>
      <c r="AY844" s="23" t="s">
        <v>97</v>
      </c>
      <c r="BA844" s="37">
        <f>AU844+AV844</f>
        <v>0</v>
      </c>
      <c r="BB844" s="37">
        <f>G844/(100-BC844)*100</f>
        <v>0</v>
      </c>
      <c r="BC844" s="37">
        <v>0</v>
      </c>
      <c r="BD844" s="37">
        <f>J844</f>
        <v>0.8542611</v>
      </c>
      <c r="BF844" s="37">
        <f>F844*AM844</f>
        <v>0</v>
      </c>
      <c r="BG844" s="37">
        <f>F844*AN844</f>
        <v>0</v>
      </c>
      <c r="BH844" s="37">
        <f>F844*G844</f>
        <v>0</v>
      </c>
    </row>
    <row r="845" spans="1:11" ht="12.75">
      <c r="A845" s="39"/>
      <c r="B845" s="40"/>
      <c r="C845" s="40"/>
      <c r="D845" s="41" t="s">
        <v>1557</v>
      </c>
      <c r="E845" s="40"/>
      <c r="F845" s="42">
        <v>28.65</v>
      </c>
      <c r="G845" s="40"/>
      <c r="H845" s="40"/>
      <c r="I845" s="43"/>
      <c r="J845" s="43"/>
      <c r="K845" s="40"/>
    </row>
    <row r="846" spans="1:11" ht="12.75">
      <c r="A846" s="39"/>
      <c r="B846" s="40"/>
      <c r="C846" s="40"/>
      <c r="D846" s="41" t="s">
        <v>1558</v>
      </c>
      <c r="E846" s="40"/>
      <c r="F846" s="42">
        <v>94.62</v>
      </c>
      <c r="G846" s="40"/>
      <c r="H846" s="40"/>
      <c r="I846" s="43"/>
      <c r="J846" s="43"/>
      <c r="K846" s="40"/>
    </row>
    <row r="847" spans="1:60" ht="12.75">
      <c r="A847" s="16" t="s">
        <v>1559</v>
      </c>
      <c r="B847" s="16"/>
      <c r="C847" s="16" t="s">
        <v>1560</v>
      </c>
      <c r="D847" s="32" t="s">
        <v>1561</v>
      </c>
      <c r="E847" s="16" t="s">
        <v>395</v>
      </c>
      <c r="F847" s="33">
        <v>135.706</v>
      </c>
      <c r="G847" s="422"/>
      <c r="H847" s="34">
        <f>F847*G847</f>
        <v>0</v>
      </c>
      <c r="I847" s="35">
        <v>4E-05</v>
      </c>
      <c r="J847" s="35">
        <f>F847*I847</f>
        <v>0.00542824</v>
      </c>
      <c r="K847" s="36" t="s">
        <v>94</v>
      </c>
      <c r="X847" s="37">
        <f>IF(AO847="5",BH847,0)</f>
        <v>0</v>
      </c>
      <c r="Z847" s="37">
        <f>IF(AO847="1",BF847,0)</f>
        <v>0</v>
      </c>
      <c r="AA847" s="37">
        <f>IF(AO847="1",BG847,0)</f>
        <v>0</v>
      </c>
      <c r="AB847" s="37">
        <f>IF(AO847="7",BF847,0)</f>
        <v>0</v>
      </c>
      <c r="AC847" s="37">
        <f>IF(AO847="7",BG847,0)</f>
        <v>0</v>
      </c>
      <c r="AD847" s="37">
        <f>IF(AO847="2",BF847,0)</f>
        <v>0</v>
      </c>
      <c r="AE847" s="37">
        <f>IF(AO847="2",BG847,0)</f>
        <v>0</v>
      </c>
      <c r="AF847" s="37">
        <f>IF(AO847="0",BH847,0)</f>
        <v>0</v>
      </c>
      <c r="AG847" s="23"/>
      <c r="AH847" s="37">
        <f>IF(AL847=0,H847,0)</f>
        <v>0</v>
      </c>
      <c r="AI847" s="37">
        <f>IF(AL847=15,H847,0)</f>
        <v>0</v>
      </c>
      <c r="AJ847" s="37">
        <f>IF(AL847=21,H847,0)</f>
        <v>0</v>
      </c>
      <c r="AL847" s="37">
        <v>21</v>
      </c>
      <c r="AM847" s="37">
        <f>G847*0.382986707262635</f>
        <v>0</v>
      </c>
      <c r="AN847" s="37">
        <f>G847*(1-0.382986707262635)</f>
        <v>0</v>
      </c>
      <c r="AO847" s="38" t="s">
        <v>136</v>
      </c>
      <c r="AT847" s="37">
        <f>AU847+AV847</f>
        <v>0</v>
      </c>
      <c r="AU847" s="37">
        <f>F847*AM847</f>
        <v>0</v>
      </c>
      <c r="AV847" s="37">
        <f>F847*AN847</f>
        <v>0</v>
      </c>
      <c r="AW847" s="38" t="s">
        <v>1546</v>
      </c>
      <c r="AX847" s="38" t="s">
        <v>1547</v>
      </c>
      <c r="AY847" s="23" t="s">
        <v>97</v>
      </c>
      <c r="BA847" s="37">
        <f>AU847+AV847</f>
        <v>0</v>
      </c>
      <c r="BB847" s="37">
        <f>G847/(100-BC847)*100</f>
        <v>0</v>
      </c>
      <c r="BC847" s="37">
        <v>0</v>
      </c>
      <c r="BD847" s="37">
        <f>J847</f>
        <v>0.00542824</v>
      </c>
      <c r="BF847" s="37">
        <f>F847*AM847</f>
        <v>0</v>
      </c>
      <c r="BG847" s="37">
        <f>F847*AN847</f>
        <v>0</v>
      </c>
      <c r="BH847" s="37">
        <f>F847*G847</f>
        <v>0</v>
      </c>
    </row>
    <row r="848" spans="1:11" ht="12.75">
      <c r="A848" s="39"/>
      <c r="B848" s="40"/>
      <c r="C848" s="40"/>
      <c r="D848" s="41" t="s">
        <v>1562</v>
      </c>
      <c r="E848" s="40"/>
      <c r="F848" s="42">
        <v>14.866</v>
      </c>
      <c r="G848" s="40"/>
      <c r="H848" s="40"/>
      <c r="I848" s="43"/>
      <c r="J848" s="43"/>
      <c r="K848" s="40"/>
    </row>
    <row r="849" spans="1:11" ht="12.75">
      <c r="A849" s="39"/>
      <c r="B849" s="40"/>
      <c r="C849" s="40"/>
      <c r="D849" s="41" t="s">
        <v>1563</v>
      </c>
      <c r="E849" s="40"/>
      <c r="F849" s="42">
        <v>120.84</v>
      </c>
      <c r="G849" s="40"/>
      <c r="H849" s="40"/>
      <c r="I849" s="43"/>
      <c r="J849" s="43"/>
      <c r="K849" s="40"/>
    </row>
    <row r="850" spans="1:60" ht="12.75">
      <c r="A850" s="16" t="s">
        <v>1564</v>
      </c>
      <c r="B850" s="16"/>
      <c r="C850" s="16" t="s">
        <v>1565</v>
      </c>
      <c r="D850" s="32" t="s">
        <v>1566</v>
      </c>
      <c r="E850" s="16" t="s">
        <v>192</v>
      </c>
      <c r="F850" s="33">
        <v>126.06</v>
      </c>
      <c r="G850" s="422"/>
      <c r="H850" s="34">
        <f>F850*G850</f>
        <v>0</v>
      </c>
      <c r="I850" s="35">
        <v>0.0012</v>
      </c>
      <c r="J850" s="35">
        <f>F850*I850</f>
        <v>0.151272</v>
      </c>
      <c r="K850" s="36" t="s">
        <v>94</v>
      </c>
      <c r="X850" s="37">
        <f>IF(AO850="5",BH850,0)</f>
        <v>0</v>
      </c>
      <c r="Z850" s="37">
        <f>IF(AO850="1",BF850,0)</f>
        <v>0</v>
      </c>
      <c r="AA850" s="37">
        <f>IF(AO850="1",BG850,0)</f>
        <v>0</v>
      </c>
      <c r="AB850" s="37">
        <f>IF(AO850="7",BF850,0)</f>
        <v>0</v>
      </c>
      <c r="AC850" s="37">
        <f>IF(AO850="7",BG850,0)</f>
        <v>0</v>
      </c>
      <c r="AD850" s="37">
        <f>IF(AO850="2",BF850,0)</f>
        <v>0</v>
      </c>
      <c r="AE850" s="37">
        <f>IF(AO850="2",BG850,0)</f>
        <v>0</v>
      </c>
      <c r="AF850" s="37">
        <f>IF(AO850="0",BH850,0)</f>
        <v>0</v>
      </c>
      <c r="AG850" s="23"/>
      <c r="AH850" s="37">
        <f>IF(AL850=0,H850,0)</f>
        <v>0</v>
      </c>
      <c r="AI850" s="37">
        <f>IF(AL850=15,H850,0)</f>
        <v>0</v>
      </c>
      <c r="AJ850" s="37">
        <f>IF(AL850=21,H850,0)</f>
        <v>0</v>
      </c>
      <c r="AL850" s="37">
        <v>21</v>
      </c>
      <c r="AM850" s="37">
        <f>G850*1.00000141656101</f>
        <v>0</v>
      </c>
      <c r="AN850" s="37">
        <f>G850*(1-1.00000141656101)</f>
        <v>0</v>
      </c>
      <c r="AO850" s="38" t="s">
        <v>136</v>
      </c>
      <c r="AT850" s="37">
        <f>AU850+AV850</f>
        <v>0</v>
      </c>
      <c r="AU850" s="37">
        <f>F850*AM850</f>
        <v>0</v>
      </c>
      <c r="AV850" s="37">
        <f>F850*AN850</f>
        <v>0</v>
      </c>
      <c r="AW850" s="38" t="s">
        <v>1546</v>
      </c>
      <c r="AX850" s="38" t="s">
        <v>1547</v>
      </c>
      <c r="AY850" s="23" t="s">
        <v>97</v>
      </c>
      <c r="BA850" s="37">
        <f>AU850+AV850</f>
        <v>0</v>
      </c>
      <c r="BB850" s="37">
        <f>G850/(100-BC850)*100</f>
        <v>0</v>
      </c>
      <c r="BC850" s="37">
        <v>0</v>
      </c>
      <c r="BD850" s="37">
        <f>J850</f>
        <v>0.151272</v>
      </c>
      <c r="BF850" s="37">
        <f>F850*AM850</f>
        <v>0</v>
      </c>
      <c r="BG850" s="37">
        <f>F850*AN850</f>
        <v>0</v>
      </c>
      <c r="BH850" s="37">
        <f>F850*G850</f>
        <v>0</v>
      </c>
    </row>
    <row r="851" spans="1:11" ht="12.75">
      <c r="A851" s="39"/>
      <c r="B851" s="40"/>
      <c r="C851" s="40"/>
      <c r="D851" s="41" t="s">
        <v>1567</v>
      </c>
      <c r="E851" s="40"/>
      <c r="F851" s="42">
        <v>31.44</v>
      </c>
      <c r="G851" s="40"/>
      <c r="H851" s="40"/>
      <c r="I851" s="43"/>
      <c r="J851" s="43"/>
      <c r="K851" s="40"/>
    </row>
    <row r="852" spans="1:11" ht="12.75">
      <c r="A852" s="39"/>
      <c r="B852" s="40"/>
      <c r="C852" s="40"/>
      <c r="D852" s="41" t="s">
        <v>1549</v>
      </c>
      <c r="E852" s="40"/>
      <c r="F852" s="42">
        <v>94.62</v>
      </c>
      <c r="G852" s="40"/>
      <c r="H852" s="40"/>
      <c r="I852" s="43"/>
      <c r="J852" s="43"/>
      <c r="K852" s="40"/>
    </row>
    <row r="853" spans="1:60" ht="25.5">
      <c r="A853" s="16" t="s">
        <v>1568</v>
      </c>
      <c r="B853" s="16"/>
      <c r="C853" s="16" t="s">
        <v>1569</v>
      </c>
      <c r="D853" s="32" t="s">
        <v>1570</v>
      </c>
      <c r="E853" s="16" t="s">
        <v>192</v>
      </c>
      <c r="F853" s="33">
        <v>144.969</v>
      </c>
      <c r="G853" s="422"/>
      <c r="H853" s="34">
        <f>F853*G853</f>
        <v>0</v>
      </c>
      <c r="I853" s="35">
        <v>0.0192</v>
      </c>
      <c r="J853" s="35">
        <f>F853*I853</f>
        <v>2.7834047999999996</v>
      </c>
      <c r="K853" s="36" t="s">
        <v>226</v>
      </c>
      <c r="X853" s="37">
        <f>IF(AO853="5",BH853,0)</f>
        <v>0</v>
      </c>
      <c r="Z853" s="37">
        <f>IF(AO853="1",BF853,0)</f>
        <v>0</v>
      </c>
      <c r="AA853" s="37">
        <f>IF(AO853="1",BG853,0)</f>
        <v>0</v>
      </c>
      <c r="AB853" s="37">
        <f>IF(AO853="7",BF853,0)</f>
        <v>0</v>
      </c>
      <c r="AC853" s="37">
        <f>IF(AO853="7",BG853,0)</f>
        <v>0</v>
      </c>
      <c r="AD853" s="37">
        <f>IF(AO853="2",BF853,0)</f>
        <v>0</v>
      </c>
      <c r="AE853" s="37">
        <f>IF(AO853="2",BG853,0)</f>
        <v>0</v>
      </c>
      <c r="AF853" s="37">
        <f>IF(AO853="0",BH853,0)</f>
        <v>0</v>
      </c>
      <c r="AG853" s="23"/>
      <c r="AH853" s="37">
        <f>IF(AL853=0,H853,0)</f>
        <v>0</v>
      </c>
      <c r="AI853" s="37">
        <f>IF(AL853=15,H853,0)</f>
        <v>0</v>
      </c>
      <c r="AJ853" s="37">
        <f>IF(AL853=21,H853,0)</f>
        <v>0</v>
      </c>
      <c r="AL853" s="37">
        <v>21</v>
      </c>
      <c r="AM853" s="37">
        <f>G853*1</f>
        <v>0</v>
      </c>
      <c r="AN853" s="37">
        <f>G853*(1-1)</f>
        <v>0</v>
      </c>
      <c r="AO853" s="38" t="s">
        <v>136</v>
      </c>
      <c r="AT853" s="37">
        <f>AU853+AV853</f>
        <v>0</v>
      </c>
      <c r="AU853" s="37">
        <f>F853*AM853</f>
        <v>0</v>
      </c>
      <c r="AV853" s="37">
        <f>F853*AN853</f>
        <v>0</v>
      </c>
      <c r="AW853" s="38" t="s">
        <v>1546</v>
      </c>
      <c r="AX853" s="38" t="s">
        <v>1547</v>
      </c>
      <c r="AY853" s="23" t="s">
        <v>97</v>
      </c>
      <c r="BA853" s="37">
        <f>AU853+AV853</f>
        <v>0</v>
      </c>
      <c r="BB853" s="37">
        <f>G853/(100-BC853)*100</f>
        <v>0</v>
      </c>
      <c r="BC853" s="37">
        <v>0</v>
      </c>
      <c r="BD853" s="37">
        <f>J853</f>
        <v>2.7834047999999996</v>
      </c>
      <c r="BF853" s="37">
        <f>F853*AM853</f>
        <v>0</v>
      </c>
      <c r="BG853" s="37">
        <f>F853*AN853</f>
        <v>0</v>
      </c>
      <c r="BH853" s="37">
        <f>F853*G853</f>
        <v>0</v>
      </c>
    </row>
    <row r="854" spans="1:11" ht="12.75">
      <c r="A854" s="39"/>
      <c r="B854" s="40"/>
      <c r="C854" s="40"/>
      <c r="D854" s="41" t="s">
        <v>1571</v>
      </c>
      <c r="E854" s="40"/>
      <c r="F854" s="42">
        <v>36.156</v>
      </c>
      <c r="G854" s="40"/>
      <c r="H854" s="40"/>
      <c r="I854" s="43"/>
      <c r="J854" s="43"/>
      <c r="K854" s="40"/>
    </row>
    <row r="855" spans="1:11" ht="12.75">
      <c r="A855" s="39"/>
      <c r="B855" s="40"/>
      <c r="C855" s="40"/>
      <c r="D855" s="41" t="s">
        <v>1572</v>
      </c>
      <c r="E855" s="40"/>
      <c r="F855" s="42">
        <v>108.813</v>
      </c>
      <c r="G855" s="40"/>
      <c r="H855" s="40"/>
      <c r="I855" s="43"/>
      <c r="J855" s="43"/>
      <c r="K855" s="40"/>
    </row>
    <row r="856" spans="1:60" ht="12.75">
      <c r="A856" s="16" t="s">
        <v>1573</v>
      </c>
      <c r="B856" s="16"/>
      <c r="C856" s="16" t="s">
        <v>1574</v>
      </c>
      <c r="D856" s="32" t="s">
        <v>1575</v>
      </c>
      <c r="E856" s="16" t="s">
        <v>395</v>
      </c>
      <c r="F856" s="33">
        <v>27.9</v>
      </c>
      <c r="G856" s="422"/>
      <c r="H856" s="34">
        <f>F856*G856</f>
        <v>0</v>
      </c>
      <c r="I856" s="35">
        <v>0.00032</v>
      </c>
      <c r="J856" s="35">
        <f>F856*I856</f>
        <v>0.008928</v>
      </c>
      <c r="K856" s="36" t="s">
        <v>94</v>
      </c>
      <c r="X856" s="37">
        <f>IF(AO856="5",BH856,0)</f>
        <v>0</v>
      </c>
      <c r="Z856" s="37">
        <f>IF(AO856="1",BF856,0)</f>
        <v>0</v>
      </c>
      <c r="AA856" s="37">
        <f>IF(AO856="1",BG856,0)</f>
        <v>0</v>
      </c>
      <c r="AB856" s="37">
        <f>IF(AO856="7",BF856,0)</f>
        <v>0</v>
      </c>
      <c r="AC856" s="37">
        <f>IF(AO856="7",BG856,0)</f>
        <v>0</v>
      </c>
      <c r="AD856" s="37">
        <f>IF(AO856="2",BF856,0)</f>
        <v>0</v>
      </c>
      <c r="AE856" s="37">
        <f>IF(AO856="2",BG856,0)</f>
        <v>0</v>
      </c>
      <c r="AF856" s="37">
        <f>IF(AO856="0",BH856,0)</f>
        <v>0</v>
      </c>
      <c r="AG856" s="23"/>
      <c r="AH856" s="37">
        <f>IF(AL856=0,H856,0)</f>
        <v>0</v>
      </c>
      <c r="AI856" s="37">
        <f>IF(AL856=15,H856,0)</f>
        <v>0</v>
      </c>
      <c r="AJ856" s="37">
        <f>IF(AL856=21,H856,0)</f>
        <v>0</v>
      </c>
      <c r="AL856" s="37">
        <v>21</v>
      </c>
      <c r="AM856" s="37">
        <f>G856*0.0778063995878459</f>
        <v>0</v>
      </c>
      <c r="AN856" s="37">
        <f>G856*(1-0.0778063995878459)</f>
        <v>0</v>
      </c>
      <c r="AO856" s="38" t="s">
        <v>136</v>
      </c>
      <c r="AT856" s="37">
        <f>AU856+AV856</f>
        <v>0</v>
      </c>
      <c r="AU856" s="37">
        <f>F856*AM856</f>
        <v>0</v>
      </c>
      <c r="AV856" s="37">
        <f>F856*AN856</f>
        <v>0</v>
      </c>
      <c r="AW856" s="38" t="s">
        <v>1546</v>
      </c>
      <c r="AX856" s="38" t="s">
        <v>1547</v>
      </c>
      <c r="AY856" s="23" t="s">
        <v>97</v>
      </c>
      <c r="BA856" s="37">
        <f>AU856+AV856</f>
        <v>0</v>
      </c>
      <c r="BB856" s="37">
        <f>G856/(100-BC856)*100</f>
        <v>0</v>
      </c>
      <c r="BC856" s="37">
        <v>0</v>
      </c>
      <c r="BD856" s="37">
        <f>J856</f>
        <v>0.008928</v>
      </c>
      <c r="BF856" s="37">
        <f>F856*AM856</f>
        <v>0</v>
      </c>
      <c r="BG856" s="37">
        <f>F856*AN856</f>
        <v>0</v>
      </c>
      <c r="BH856" s="37">
        <f>F856*G856</f>
        <v>0</v>
      </c>
    </row>
    <row r="857" spans="1:11" ht="12.75">
      <c r="A857" s="39"/>
      <c r="B857" s="40"/>
      <c r="C857" s="40"/>
      <c r="D857" s="41" t="s">
        <v>1576</v>
      </c>
      <c r="E857" s="40"/>
      <c r="F857" s="42">
        <v>27.9</v>
      </c>
      <c r="G857" s="40"/>
      <c r="H857" s="40"/>
      <c r="I857" s="43"/>
      <c r="J857" s="43"/>
      <c r="K857" s="40"/>
    </row>
    <row r="858" spans="1:60" ht="12.75">
      <c r="A858" s="16" t="s">
        <v>1577</v>
      </c>
      <c r="B858" s="16"/>
      <c r="C858" s="16" t="s">
        <v>1578</v>
      </c>
      <c r="D858" s="32" t="s">
        <v>1579</v>
      </c>
      <c r="E858" s="16" t="s">
        <v>395</v>
      </c>
      <c r="F858" s="33">
        <v>20.697</v>
      </c>
      <c r="G858" s="422"/>
      <c r="H858" s="34">
        <f>F858*G858</f>
        <v>0</v>
      </c>
      <c r="I858" s="35">
        <v>0.00032</v>
      </c>
      <c r="J858" s="35">
        <f>F858*I858</f>
        <v>0.00662304</v>
      </c>
      <c r="K858" s="36" t="s">
        <v>94</v>
      </c>
      <c r="X858" s="37">
        <f>IF(AO858="5",BH858,0)</f>
        <v>0</v>
      </c>
      <c r="Z858" s="37">
        <f>IF(AO858="1",BF858,0)</f>
        <v>0</v>
      </c>
      <c r="AA858" s="37">
        <f>IF(AO858="1",BG858,0)</f>
        <v>0</v>
      </c>
      <c r="AB858" s="37">
        <f>IF(AO858="7",BF858,0)</f>
        <v>0</v>
      </c>
      <c r="AC858" s="37">
        <f>IF(AO858="7",BG858,0)</f>
        <v>0</v>
      </c>
      <c r="AD858" s="37">
        <f>IF(AO858="2",BF858,0)</f>
        <v>0</v>
      </c>
      <c r="AE858" s="37">
        <f>IF(AO858="2",BG858,0)</f>
        <v>0</v>
      </c>
      <c r="AF858" s="37">
        <f>IF(AO858="0",BH858,0)</f>
        <v>0</v>
      </c>
      <c r="AG858" s="23"/>
      <c r="AH858" s="37">
        <f>IF(AL858=0,H858,0)</f>
        <v>0</v>
      </c>
      <c r="AI858" s="37">
        <f>IF(AL858=15,H858,0)</f>
        <v>0</v>
      </c>
      <c r="AJ858" s="37">
        <f>IF(AL858=21,H858,0)</f>
        <v>0</v>
      </c>
      <c r="AL858" s="37">
        <v>21</v>
      </c>
      <c r="AM858" s="37">
        <f>G858*0.0501522719636231</f>
        <v>0</v>
      </c>
      <c r="AN858" s="37">
        <f>G858*(1-0.0501522719636231)</f>
        <v>0</v>
      </c>
      <c r="AO858" s="38" t="s">
        <v>136</v>
      </c>
      <c r="AT858" s="37">
        <f>AU858+AV858</f>
        <v>0</v>
      </c>
      <c r="AU858" s="37">
        <f>F858*AM858</f>
        <v>0</v>
      </c>
      <c r="AV858" s="37">
        <f>F858*AN858</f>
        <v>0</v>
      </c>
      <c r="AW858" s="38" t="s">
        <v>1546</v>
      </c>
      <c r="AX858" s="38" t="s">
        <v>1547</v>
      </c>
      <c r="AY858" s="23" t="s">
        <v>97</v>
      </c>
      <c r="BA858" s="37">
        <f>AU858+AV858</f>
        <v>0</v>
      </c>
      <c r="BB858" s="37">
        <f>G858/(100-BC858)*100</f>
        <v>0</v>
      </c>
      <c r="BC858" s="37">
        <v>0</v>
      </c>
      <c r="BD858" s="37">
        <f>J858</f>
        <v>0.00662304</v>
      </c>
      <c r="BF858" s="37">
        <f>F858*AM858</f>
        <v>0</v>
      </c>
      <c r="BG858" s="37">
        <f>F858*AN858</f>
        <v>0</v>
      </c>
      <c r="BH858" s="37">
        <f>F858*G858</f>
        <v>0</v>
      </c>
    </row>
    <row r="859" spans="1:11" ht="12.75">
      <c r="A859" s="39"/>
      <c r="B859" s="40"/>
      <c r="C859" s="40"/>
      <c r="D859" s="41" t="s">
        <v>1580</v>
      </c>
      <c r="E859" s="40"/>
      <c r="F859" s="42">
        <v>6.537</v>
      </c>
      <c r="G859" s="40"/>
      <c r="H859" s="40"/>
      <c r="I859" s="43"/>
      <c r="J859" s="43"/>
      <c r="K859" s="40"/>
    </row>
    <row r="860" spans="1:11" ht="12.75">
      <c r="A860" s="39"/>
      <c r="B860" s="40"/>
      <c r="C860" s="40"/>
      <c r="D860" s="41" t="s">
        <v>1581</v>
      </c>
      <c r="E860" s="40"/>
      <c r="F860" s="42">
        <v>14.16</v>
      </c>
      <c r="G860" s="40"/>
      <c r="H860" s="40"/>
      <c r="I860" s="43"/>
      <c r="J860" s="43"/>
      <c r="K860" s="40"/>
    </row>
    <row r="861" spans="1:60" ht="12.75">
      <c r="A861" s="16" t="s">
        <v>1582</v>
      </c>
      <c r="B861" s="16"/>
      <c r="C861" s="16" t="s">
        <v>1583</v>
      </c>
      <c r="D861" s="32" t="s">
        <v>1584</v>
      </c>
      <c r="E861" s="16" t="s">
        <v>225</v>
      </c>
      <c r="F861" s="33">
        <v>88</v>
      </c>
      <c r="G861" s="422"/>
      <c r="H861" s="34">
        <f>F861*G861</f>
        <v>0</v>
      </c>
      <c r="I861" s="35">
        <v>0.00066</v>
      </c>
      <c r="J861" s="35">
        <f>F861*I861</f>
        <v>0.05808</v>
      </c>
      <c r="K861" s="36" t="s">
        <v>94</v>
      </c>
      <c r="X861" s="37">
        <f>IF(AO861="5",BH861,0)</f>
        <v>0</v>
      </c>
      <c r="Z861" s="37">
        <f>IF(AO861="1",BF861,0)</f>
        <v>0</v>
      </c>
      <c r="AA861" s="37">
        <f>IF(AO861="1",BG861,0)</f>
        <v>0</v>
      </c>
      <c r="AB861" s="37">
        <f>IF(AO861="7",BF861,0)</f>
        <v>0</v>
      </c>
      <c r="AC861" s="37">
        <f>IF(AO861="7",BG861,0)</f>
        <v>0</v>
      </c>
      <c r="AD861" s="37">
        <f>IF(AO861="2",BF861,0)</f>
        <v>0</v>
      </c>
      <c r="AE861" s="37">
        <f>IF(AO861="2",BG861,0)</f>
        <v>0</v>
      </c>
      <c r="AF861" s="37">
        <f>IF(AO861="0",BH861,0)</f>
        <v>0</v>
      </c>
      <c r="AG861" s="23"/>
      <c r="AH861" s="37">
        <f>IF(AL861=0,H861,0)</f>
        <v>0</v>
      </c>
      <c r="AI861" s="37">
        <f>IF(AL861=15,H861,0)</f>
        <v>0</v>
      </c>
      <c r="AJ861" s="37">
        <f>IF(AL861=21,H861,0)</f>
        <v>0</v>
      </c>
      <c r="AL861" s="37">
        <v>21</v>
      </c>
      <c r="AM861" s="37">
        <f>G861*1</f>
        <v>0</v>
      </c>
      <c r="AN861" s="37">
        <f>G861*(1-1)</f>
        <v>0</v>
      </c>
      <c r="AO861" s="38" t="s">
        <v>136</v>
      </c>
      <c r="AT861" s="37">
        <f>AU861+AV861</f>
        <v>0</v>
      </c>
      <c r="AU861" s="37">
        <f>F861*AM861</f>
        <v>0</v>
      </c>
      <c r="AV861" s="37">
        <f>F861*AN861</f>
        <v>0</v>
      </c>
      <c r="AW861" s="38" t="s">
        <v>1546</v>
      </c>
      <c r="AX861" s="38" t="s">
        <v>1547</v>
      </c>
      <c r="AY861" s="23" t="s">
        <v>97</v>
      </c>
      <c r="BA861" s="37">
        <f>AU861+AV861</f>
        <v>0</v>
      </c>
      <c r="BB861" s="37">
        <f>G861/(100-BC861)*100</f>
        <v>0</v>
      </c>
      <c r="BC861" s="37">
        <v>0</v>
      </c>
      <c r="BD861" s="37">
        <f>J861</f>
        <v>0.05808</v>
      </c>
      <c r="BF861" s="37">
        <f>F861*AM861</f>
        <v>0</v>
      </c>
      <c r="BG861" s="37">
        <f>F861*AN861</f>
        <v>0</v>
      </c>
      <c r="BH861" s="37">
        <f>F861*G861</f>
        <v>0</v>
      </c>
    </row>
    <row r="862" spans="1:11" ht="12.75">
      <c r="A862" s="39"/>
      <c r="B862" s="40"/>
      <c r="C862" s="40"/>
      <c r="D862" s="41" t="s">
        <v>1585</v>
      </c>
      <c r="E862" s="40"/>
      <c r="F862" s="42">
        <v>29</v>
      </c>
      <c r="G862" s="40"/>
      <c r="H862" s="40"/>
      <c r="I862" s="43"/>
      <c r="J862" s="43"/>
      <c r="K862" s="40"/>
    </row>
    <row r="863" spans="1:11" ht="12.75">
      <c r="A863" s="39"/>
      <c r="B863" s="40"/>
      <c r="C863" s="40"/>
      <c r="D863" s="41" t="s">
        <v>1586</v>
      </c>
      <c r="E863" s="40"/>
      <c r="F863" s="42">
        <v>59</v>
      </c>
      <c r="G863" s="40"/>
      <c r="H863" s="40"/>
      <c r="I863" s="43"/>
      <c r="J863" s="43"/>
      <c r="K863" s="40"/>
    </row>
    <row r="864" spans="1:60" ht="12.75">
      <c r="A864" s="44" t="s">
        <v>1587</v>
      </c>
      <c r="B864" s="44"/>
      <c r="C864" s="44" t="s">
        <v>1588</v>
      </c>
      <c r="D864" s="45" t="s">
        <v>1589</v>
      </c>
      <c r="E864" s="44" t="s">
        <v>239</v>
      </c>
      <c r="F864" s="46">
        <v>3.9</v>
      </c>
      <c r="G864" s="423"/>
      <c r="H864" s="47">
        <f>F864*G864</f>
        <v>0</v>
      </c>
      <c r="I864" s="48">
        <v>0</v>
      </c>
      <c r="J864" s="48">
        <f>F864*I864</f>
        <v>0</v>
      </c>
      <c r="K864" s="49" t="s">
        <v>94</v>
      </c>
      <c r="X864" s="37">
        <f>IF(AO864="5",BH864,0)</f>
        <v>0</v>
      </c>
      <c r="Z864" s="37">
        <f>IF(AO864="1",BF864,0)</f>
        <v>0</v>
      </c>
      <c r="AA864" s="37">
        <f>IF(AO864="1",BG864,0)</f>
        <v>0</v>
      </c>
      <c r="AB864" s="37">
        <f>IF(AO864="7",BF864,0)</f>
        <v>0</v>
      </c>
      <c r="AC864" s="37">
        <f>IF(AO864="7",BG864,0)</f>
        <v>0</v>
      </c>
      <c r="AD864" s="37">
        <f>IF(AO864="2",BF864,0)</f>
        <v>0</v>
      </c>
      <c r="AE864" s="37">
        <f>IF(AO864="2",BG864,0)</f>
        <v>0</v>
      </c>
      <c r="AF864" s="37">
        <f>IF(AO864="0",BH864,0)</f>
        <v>0</v>
      </c>
      <c r="AG864" s="23"/>
      <c r="AH864" s="37">
        <f>IF(AL864=0,H864,0)</f>
        <v>0</v>
      </c>
      <c r="AI864" s="37">
        <f>IF(AL864=15,H864,0)</f>
        <v>0</v>
      </c>
      <c r="AJ864" s="37">
        <f>IF(AL864=21,H864,0)</f>
        <v>0</v>
      </c>
      <c r="AL864" s="37">
        <v>21</v>
      </c>
      <c r="AM864" s="37">
        <f>G864*0</f>
        <v>0</v>
      </c>
      <c r="AN864" s="37">
        <f>G864*(1-0)</f>
        <v>0</v>
      </c>
      <c r="AO864" s="38" t="s">
        <v>118</v>
      </c>
      <c r="AT864" s="37">
        <f>AU864+AV864</f>
        <v>0</v>
      </c>
      <c r="AU864" s="37">
        <f>F864*AM864</f>
        <v>0</v>
      </c>
      <c r="AV864" s="37">
        <f>F864*AN864</f>
        <v>0</v>
      </c>
      <c r="AW864" s="38" t="s">
        <v>1546</v>
      </c>
      <c r="AX864" s="38" t="s">
        <v>1547</v>
      </c>
      <c r="AY864" s="23" t="s">
        <v>97</v>
      </c>
      <c r="BA864" s="37">
        <f>AU864+AV864</f>
        <v>0</v>
      </c>
      <c r="BB864" s="37">
        <f>G864/(100-BC864)*100</f>
        <v>0</v>
      </c>
      <c r="BC864" s="37">
        <v>0</v>
      </c>
      <c r="BD864" s="37">
        <f>J864</f>
        <v>0</v>
      </c>
      <c r="BF864" s="37">
        <f>F864*AM864</f>
        <v>0</v>
      </c>
      <c r="BG864" s="37">
        <f>F864*AN864</f>
        <v>0</v>
      </c>
      <c r="BH864" s="37">
        <f>F864*G864</f>
        <v>0</v>
      </c>
    </row>
    <row r="865" spans="1:11" ht="12.75">
      <c r="A865" s="50"/>
      <c r="B865" s="51"/>
      <c r="C865" s="51"/>
      <c r="D865" s="52" t="s">
        <v>1590</v>
      </c>
      <c r="E865" s="51"/>
      <c r="F865" s="53">
        <v>3.9</v>
      </c>
      <c r="G865" s="51"/>
      <c r="H865" s="51"/>
      <c r="I865" s="54"/>
      <c r="J865" s="54"/>
      <c r="K865" s="51"/>
    </row>
    <row r="866" spans="1:45" ht="12.75">
      <c r="A866" s="24"/>
      <c r="B866" s="25"/>
      <c r="C866" s="25" t="s">
        <v>1591</v>
      </c>
      <c r="D866" s="26" t="s">
        <v>1592</v>
      </c>
      <c r="E866" s="24" t="s">
        <v>54</v>
      </c>
      <c r="F866" s="24" t="s">
        <v>54</v>
      </c>
      <c r="G866" s="24"/>
      <c r="H866" s="27">
        <f>SUM(H867:H875)</f>
        <v>0</v>
      </c>
      <c r="I866" s="28"/>
      <c r="J866" s="28">
        <f>SUM(J867:J875)</f>
        <v>2.4376800000000003</v>
      </c>
      <c r="K866" s="29"/>
      <c r="AG866" s="23"/>
      <c r="AQ866" s="31">
        <f>SUM(AH867:AH875)</f>
        <v>0</v>
      </c>
      <c r="AR866" s="31">
        <f>SUM(AI867:AI875)</f>
        <v>0</v>
      </c>
      <c r="AS866" s="31">
        <f>SUM(AJ867:AJ875)</f>
        <v>0</v>
      </c>
    </row>
    <row r="867" spans="1:60" ht="12.75">
      <c r="A867" s="16" t="s">
        <v>1593</v>
      </c>
      <c r="B867" s="16"/>
      <c r="C867" s="16" t="s">
        <v>1594</v>
      </c>
      <c r="D867" s="32" t="s">
        <v>1595</v>
      </c>
      <c r="E867" s="16" t="s">
        <v>395</v>
      </c>
      <c r="F867" s="33">
        <v>24</v>
      </c>
      <c r="G867" s="422"/>
      <c r="H867" s="34">
        <f>F867*G867</f>
        <v>0</v>
      </c>
      <c r="I867" s="35">
        <v>0.04798</v>
      </c>
      <c r="J867" s="35">
        <f>F867*I867</f>
        <v>1.15152</v>
      </c>
      <c r="K867" s="36" t="s">
        <v>94</v>
      </c>
      <c r="M867" s="56"/>
      <c r="X867" s="37">
        <f>IF(AO867="5",BH867,0)</f>
        <v>0</v>
      </c>
      <c r="Z867" s="37">
        <f>IF(AO867="1",BF867,0)</f>
        <v>0</v>
      </c>
      <c r="AA867" s="37">
        <f>IF(AO867="1",BG867,0)</f>
        <v>0</v>
      </c>
      <c r="AB867" s="37">
        <f>IF(AO867="7",BF867,0)</f>
        <v>0</v>
      </c>
      <c r="AC867" s="37">
        <f>IF(AO867="7",BG867,0)</f>
        <v>0</v>
      </c>
      <c r="AD867" s="37">
        <f>IF(AO867="2",BF867,0)</f>
        <v>0</v>
      </c>
      <c r="AE867" s="37">
        <f>IF(AO867="2",BG867,0)</f>
        <v>0</v>
      </c>
      <c r="AF867" s="37">
        <f>IF(AO867="0",BH867,0)</f>
        <v>0</v>
      </c>
      <c r="AG867" s="23"/>
      <c r="AH867" s="37">
        <f>IF(AL867=0,H867,0)</f>
        <v>0</v>
      </c>
      <c r="AI867" s="37">
        <f>IF(AL867=15,H867,0)</f>
        <v>0</v>
      </c>
      <c r="AJ867" s="37">
        <f>IF(AL867=21,H867,0)</f>
        <v>0</v>
      </c>
      <c r="AL867" s="37">
        <v>21</v>
      </c>
      <c r="AM867" s="37">
        <f>G867*0.194236133117056</f>
        <v>0</v>
      </c>
      <c r="AN867" s="37">
        <f>G867*(1-0.194236133117056)</f>
        <v>0</v>
      </c>
      <c r="AO867" s="38" t="s">
        <v>136</v>
      </c>
      <c r="AT867" s="37">
        <f>AU867+AV867</f>
        <v>0</v>
      </c>
      <c r="AU867" s="37">
        <f>F867*AM867</f>
        <v>0</v>
      </c>
      <c r="AV867" s="37">
        <f>F867*AN867</f>
        <v>0</v>
      </c>
      <c r="AW867" s="38" t="s">
        <v>1596</v>
      </c>
      <c r="AX867" s="38" t="s">
        <v>1547</v>
      </c>
      <c r="AY867" s="23" t="s">
        <v>97</v>
      </c>
      <c r="BA867" s="37">
        <f>AU867+AV867</f>
        <v>0</v>
      </c>
      <c r="BB867" s="37">
        <f>G867/(100-BC867)*100</f>
        <v>0</v>
      </c>
      <c r="BC867" s="37">
        <v>0</v>
      </c>
      <c r="BD867" s="37">
        <f>J867</f>
        <v>1.15152</v>
      </c>
      <c r="BF867" s="37">
        <f>F867*AM867</f>
        <v>0</v>
      </c>
      <c r="BG867" s="37">
        <f>F867*AN867</f>
        <v>0</v>
      </c>
      <c r="BH867" s="37">
        <f>F867*G867</f>
        <v>0</v>
      </c>
    </row>
    <row r="868" spans="1:13" ht="12.75">
      <c r="A868" s="39"/>
      <c r="B868" s="40"/>
      <c r="C868" s="40"/>
      <c r="D868" s="41" t="s">
        <v>1597</v>
      </c>
      <c r="E868" s="40"/>
      <c r="F868" s="42">
        <v>24</v>
      </c>
      <c r="G868" s="40"/>
      <c r="H868" s="40"/>
      <c r="I868" s="43"/>
      <c r="J868" s="43"/>
      <c r="K868" s="40"/>
      <c r="M868" s="56"/>
    </row>
    <row r="869" spans="1:60" ht="12.75">
      <c r="A869" s="16" t="s">
        <v>1598</v>
      </c>
      <c r="B869" s="16"/>
      <c r="C869" s="16" t="s">
        <v>1599</v>
      </c>
      <c r="D869" s="32" t="s">
        <v>1600</v>
      </c>
      <c r="E869" s="16" t="s">
        <v>395</v>
      </c>
      <c r="F869" s="33">
        <v>24</v>
      </c>
      <c r="G869" s="422"/>
      <c r="H869" s="34">
        <f>F869*G869</f>
        <v>0</v>
      </c>
      <c r="I869" s="35">
        <v>0.01059</v>
      </c>
      <c r="J869" s="35">
        <f>F869*I869</f>
        <v>0.25416</v>
      </c>
      <c r="K869" s="36" t="s">
        <v>94</v>
      </c>
      <c r="M869" s="56"/>
      <c r="X869" s="37">
        <f>IF(AO869="5",BH869,0)</f>
        <v>0</v>
      </c>
      <c r="Z869" s="37">
        <f>IF(AO869="1",BF869,0)</f>
        <v>0</v>
      </c>
      <c r="AA869" s="37">
        <f>IF(AO869="1",BG869,0)</f>
        <v>0</v>
      </c>
      <c r="AB869" s="37">
        <f>IF(AO869="7",BF869,0)</f>
        <v>0</v>
      </c>
      <c r="AC869" s="37">
        <f>IF(AO869="7",BG869,0)</f>
        <v>0</v>
      </c>
      <c r="AD869" s="37">
        <f>IF(AO869="2",BF869,0)</f>
        <v>0</v>
      </c>
      <c r="AE869" s="37">
        <f>IF(AO869="2",BG869,0)</f>
        <v>0</v>
      </c>
      <c r="AF869" s="37">
        <f>IF(AO869="0",BH869,0)</f>
        <v>0</v>
      </c>
      <c r="AG869" s="23"/>
      <c r="AH869" s="37">
        <f>IF(AL869=0,H869,0)</f>
        <v>0</v>
      </c>
      <c r="AI869" s="37">
        <f>IF(AL869=15,H869,0)</f>
        <v>0</v>
      </c>
      <c r="AJ869" s="37">
        <f>IF(AL869=21,H869,0)</f>
        <v>0</v>
      </c>
      <c r="AL869" s="37">
        <v>21</v>
      </c>
      <c r="AM869" s="37">
        <f>G869*0.225196581196581</f>
        <v>0</v>
      </c>
      <c r="AN869" s="37">
        <f>G869*(1-0.225196581196581)</f>
        <v>0</v>
      </c>
      <c r="AO869" s="38" t="s">
        <v>136</v>
      </c>
      <c r="AT869" s="37">
        <f>AU869+AV869</f>
        <v>0</v>
      </c>
      <c r="AU869" s="37">
        <f>F869*AM869</f>
        <v>0</v>
      </c>
      <c r="AV869" s="37">
        <f>F869*AN869</f>
        <v>0</v>
      </c>
      <c r="AW869" s="38" t="s">
        <v>1596</v>
      </c>
      <c r="AX869" s="38" t="s">
        <v>1547</v>
      </c>
      <c r="AY869" s="23" t="s">
        <v>97</v>
      </c>
      <c r="BA869" s="37">
        <f>AU869+AV869</f>
        <v>0</v>
      </c>
      <c r="BB869" s="37">
        <f>G869/(100-BC869)*100</f>
        <v>0</v>
      </c>
      <c r="BC869" s="37">
        <v>0</v>
      </c>
      <c r="BD869" s="37">
        <f>J869</f>
        <v>0.25416</v>
      </c>
      <c r="BF869" s="37">
        <f>F869*AM869</f>
        <v>0</v>
      </c>
      <c r="BG869" s="37">
        <f>F869*AN869</f>
        <v>0</v>
      </c>
      <c r="BH869" s="37">
        <f>F869*G869</f>
        <v>0</v>
      </c>
    </row>
    <row r="870" spans="1:13" ht="12.75">
      <c r="A870" s="39"/>
      <c r="B870" s="40"/>
      <c r="C870" s="40"/>
      <c r="D870" s="41" t="s">
        <v>1601</v>
      </c>
      <c r="E870" s="40"/>
      <c r="F870" s="42">
        <v>24</v>
      </c>
      <c r="G870" s="40"/>
      <c r="H870" s="40"/>
      <c r="I870" s="43"/>
      <c r="J870" s="43"/>
      <c r="K870" s="40"/>
      <c r="M870" s="56"/>
    </row>
    <row r="871" spans="1:60" ht="12.75">
      <c r="A871" s="16" t="s">
        <v>1602</v>
      </c>
      <c r="B871" s="16"/>
      <c r="C871" s="16" t="s">
        <v>1603</v>
      </c>
      <c r="D871" s="32" t="s">
        <v>1604</v>
      </c>
      <c r="E871" s="16" t="s">
        <v>395</v>
      </c>
      <c r="F871" s="33">
        <v>24</v>
      </c>
      <c r="G871" s="422"/>
      <c r="H871" s="34">
        <f>F871*G871</f>
        <v>0</v>
      </c>
      <c r="I871" s="35">
        <v>0.021</v>
      </c>
      <c r="J871" s="35">
        <f>F871*I871</f>
        <v>0.504</v>
      </c>
      <c r="K871" s="36" t="s">
        <v>94</v>
      </c>
      <c r="M871" s="56"/>
      <c r="X871" s="37">
        <f>IF(AO871="5",BH871,0)</f>
        <v>0</v>
      </c>
      <c r="Z871" s="37">
        <f>IF(AO871="1",BF871,0)</f>
        <v>0</v>
      </c>
      <c r="AA871" s="37">
        <f>IF(AO871="1",BG871,0)</f>
        <v>0</v>
      </c>
      <c r="AB871" s="37">
        <f>IF(AO871="7",BF871,0)</f>
        <v>0</v>
      </c>
      <c r="AC871" s="37">
        <f>IF(AO871="7",BG871,0)</f>
        <v>0</v>
      </c>
      <c r="AD871" s="37">
        <f>IF(AO871="2",BF871,0)</f>
        <v>0</v>
      </c>
      <c r="AE871" s="37">
        <f>IF(AO871="2",BG871,0)</f>
        <v>0</v>
      </c>
      <c r="AF871" s="37">
        <f>IF(AO871="0",BH871,0)</f>
        <v>0</v>
      </c>
      <c r="AG871" s="23"/>
      <c r="AH871" s="37">
        <f>IF(AL871=0,H871,0)</f>
        <v>0</v>
      </c>
      <c r="AI871" s="37">
        <f>IF(AL871=15,H871,0)</f>
        <v>0</v>
      </c>
      <c r="AJ871" s="37">
        <f>IF(AL871=21,H871,0)</f>
        <v>0</v>
      </c>
      <c r="AL871" s="37">
        <v>21</v>
      </c>
      <c r="AM871" s="37">
        <f>G871*1</f>
        <v>0</v>
      </c>
      <c r="AN871" s="37">
        <f>G871*(1-1)</f>
        <v>0</v>
      </c>
      <c r="AO871" s="38" t="s">
        <v>136</v>
      </c>
      <c r="AT871" s="37">
        <f>AU871+AV871</f>
        <v>0</v>
      </c>
      <c r="AU871" s="37">
        <f>F871*AM871</f>
        <v>0</v>
      </c>
      <c r="AV871" s="37">
        <f>F871*AN871</f>
        <v>0</v>
      </c>
      <c r="AW871" s="38" t="s">
        <v>1596</v>
      </c>
      <c r="AX871" s="38" t="s">
        <v>1547</v>
      </c>
      <c r="AY871" s="23" t="s">
        <v>97</v>
      </c>
      <c r="BA871" s="37">
        <f>AU871+AV871</f>
        <v>0</v>
      </c>
      <c r="BB871" s="37">
        <f>G871/(100-BC871)*100</f>
        <v>0</v>
      </c>
      <c r="BC871" s="37">
        <v>0</v>
      </c>
      <c r="BD871" s="37">
        <f>J871</f>
        <v>0.504</v>
      </c>
      <c r="BF871" s="37">
        <f>F871*AM871</f>
        <v>0</v>
      </c>
      <c r="BG871" s="37">
        <f>F871*AN871</f>
        <v>0</v>
      </c>
      <c r="BH871" s="37">
        <f>F871*G871</f>
        <v>0</v>
      </c>
    </row>
    <row r="872" spans="1:13" ht="12.75">
      <c r="A872" s="39"/>
      <c r="B872" s="40"/>
      <c r="C872" s="40"/>
      <c r="D872" s="41" t="s">
        <v>1601</v>
      </c>
      <c r="E872" s="40"/>
      <c r="F872" s="42">
        <v>24</v>
      </c>
      <c r="G872" s="40"/>
      <c r="H872" s="40"/>
      <c r="I872" s="43"/>
      <c r="J872" s="43"/>
      <c r="K872" s="40"/>
      <c r="M872" s="56"/>
    </row>
    <row r="873" spans="1:60" ht="12.75">
      <c r="A873" s="16" t="s">
        <v>1605</v>
      </c>
      <c r="B873" s="16"/>
      <c r="C873" s="16" t="s">
        <v>1606</v>
      </c>
      <c r="D873" s="32" t="s">
        <v>1607</v>
      </c>
      <c r="E873" s="16" t="s">
        <v>395</v>
      </c>
      <c r="F873" s="33">
        <v>24</v>
      </c>
      <c r="G873" s="422"/>
      <c r="H873" s="34">
        <f>F873*G873</f>
        <v>0</v>
      </c>
      <c r="I873" s="35">
        <v>0.022</v>
      </c>
      <c r="J873" s="35">
        <f>F873*I873</f>
        <v>0.528</v>
      </c>
      <c r="K873" s="36" t="s">
        <v>94</v>
      </c>
      <c r="M873" s="56"/>
      <c r="X873" s="37">
        <f>IF(AO873="5",BH873,0)</f>
        <v>0</v>
      </c>
      <c r="Z873" s="37">
        <f>IF(AO873="1",BF873,0)</f>
        <v>0</v>
      </c>
      <c r="AA873" s="37">
        <f>IF(AO873="1",BG873,0)</f>
        <v>0</v>
      </c>
      <c r="AB873" s="37">
        <f>IF(AO873="7",BF873,0)</f>
        <v>0</v>
      </c>
      <c r="AC873" s="37">
        <f>IF(AO873="7",BG873,0)</f>
        <v>0</v>
      </c>
      <c r="AD873" s="37">
        <f>IF(AO873="2",BF873,0)</f>
        <v>0</v>
      </c>
      <c r="AE873" s="37">
        <f>IF(AO873="2",BG873,0)</f>
        <v>0</v>
      </c>
      <c r="AF873" s="37">
        <f>IF(AO873="0",BH873,0)</f>
        <v>0</v>
      </c>
      <c r="AG873" s="23"/>
      <c r="AH873" s="37">
        <f>IF(AL873=0,H873,0)</f>
        <v>0</v>
      </c>
      <c r="AI873" s="37">
        <f>IF(AL873=15,H873,0)</f>
        <v>0</v>
      </c>
      <c r="AJ873" s="37">
        <f>IF(AL873=21,H873,0)</f>
        <v>0</v>
      </c>
      <c r="AL873" s="37">
        <v>21</v>
      </c>
      <c r="AM873" s="37">
        <f>G873*1</f>
        <v>0</v>
      </c>
      <c r="AN873" s="37">
        <f>G873*(1-1)</f>
        <v>0</v>
      </c>
      <c r="AO873" s="38" t="s">
        <v>136</v>
      </c>
      <c r="AT873" s="37">
        <f>AU873+AV873</f>
        <v>0</v>
      </c>
      <c r="AU873" s="37">
        <f>F873*AM873</f>
        <v>0</v>
      </c>
      <c r="AV873" s="37">
        <f>F873*AN873</f>
        <v>0</v>
      </c>
      <c r="AW873" s="38" t="s">
        <v>1596</v>
      </c>
      <c r="AX873" s="38" t="s">
        <v>1547</v>
      </c>
      <c r="AY873" s="23" t="s">
        <v>97</v>
      </c>
      <c r="BA873" s="37">
        <f>AU873+AV873</f>
        <v>0</v>
      </c>
      <c r="BB873" s="37">
        <f>G873/(100-BC873)*100</f>
        <v>0</v>
      </c>
      <c r="BC873" s="37">
        <v>0</v>
      </c>
      <c r="BD873" s="37">
        <f>J873</f>
        <v>0.528</v>
      </c>
      <c r="BF873" s="37">
        <f>F873*AM873</f>
        <v>0</v>
      </c>
      <c r="BG873" s="37">
        <f>F873*AN873</f>
        <v>0</v>
      </c>
      <c r="BH873" s="37">
        <f>F873*G873</f>
        <v>0</v>
      </c>
    </row>
    <row r="874" spans="1:13" ht="12.75">
      <c r="A874" s="39"/>
      <c r="B874" s="40"/>
      <c r="C874" s="40"/>
      <c r="D874" s="41" t="s">
        <v>1601</v>
      </c>
      <c r="E874" s="40"/>
      <c r="F874" s="42">
        <v>24</v>
      </c>
      <c r="G874" s="40"/>
      <c r="H874" s="40"/>
      <c r="I874" s="43"/>
      <c r="J874" s="43"/>
      <c r="K874" s="40"/>
      <c r="M874" s="56"/>
    </row>
    <row r="875" spans="1:60" ht="12.75">
      <c r="A875" s="44" t="s">
        <v>1608</v>
      </c>
      <c r="B875" s="44"/>
      <c r="C875" s="44" t="s">
        <v>1609</v>
      </c>
      <c r="D875" s="45" t="s">
        <v>1610</v>
      </c>
      <c r="E875" s="44" t="s">
        <v>239</v>
      </c>
      <c r="F875" s="46">
        <v>2.44</v>
      </c>
      <c r="G875" s="423"/>
      <c r="H875" s="47">
        <f>F875*G875</f>
        <v>0</v>
      </c>
      <c r="I875" s="48">
        <v>0</v>
      </c>
      <c r="J875" s="48">
        <f>F875*I875</f>
        <v>0</v>
      </c>
      <c r="K875" s="49" t="s">
        <v>94</v>
      </c>
      <c r="M875" s="56"/>
      <c r="X875" s="37">
        <f>IF(AO875="5",BH875,0)</f>
        <v>0</v>
      </c>
      <c r="Z875" s="37">
        <f>IF(AO875="1",BF875,0)</f>
        <v>0</v>
      </c>
      <c r="AA875" s="37">
        <f>IF(AO875="1",BG875,0)</f>
        <v>0</v>
      </c>
      <c r="AB875" s="37">
        <f>IF(AO875="7",BF875,0)</f>
        <v>0</v>
      </c>
      <c r="AC875" s="37">
        <f>IF(AO875="7",BG875,0)</f>
        <v>0</v>
      </c>
      <c r="AD875" s="37">
        <f>IF(AO875="2",BF875,0)</f>
        <v>0</v>
      </c>
      <c r="AE875" s="37">
        <f>IF(AO875="2",BG875,0)</f>
        <v>0</v>
      </c>
      <c r="AF875" s="37">
        <f>IF(AO875="0",BH875,0)</f>
        <v>0</v>
      </c>
      <c r="AG875" s="23"/>
      <c r="AH875" s="37">
        <f>IF(AL875=0,H875,0)</f>
        <v>0</v>
      </c>
      <c r="AI875" s="37">
        <f>IF(AL875=15,H875,0)</f>
        <v>0</v>
      </c>
      <c r="AJ875" s="37">
        <f>IF(AL875=21,H875,0)</f>
        <v>0</v>
      </c>
      <c r="AL875" s="37">
        <v>21</v>
      </c>
      <c r="AM875" s="37">
        <f>G875*0</f>
        <v>0</v>
      </c>
      <c r="AN875" s="37">
        <f>G875*(1-0)</f>
        <v>0</v>
      </c>
      <c r="AO875" s="38" t="s">
        <v>118</v>
      </c>
      <c r="AT875" s="37">
        <f>AU875+AV875</f>
        <v>0</v>
      </c>
      <c r="AU875" s="37">
        <f>F875*AM875</f>
        <v>0</v>
      </c>
      <c r="AV875" s="37">
        <f>F875*AN875</f>
        <v>0</v>
      </c>
      <c r="AW875" s="38" t="s">
        <v>1596</v>
      </c>
      <c r="AX875" s="38" t="s">
        <v>1547</v>
      </c>
      <c r="AY875" s="23" t="s">
        <v>97</v>
      </c>
      <c r="BA875" s="37">
        <f>AU875+AV875</f>
        <v>0</v>
      </c>
      <c r="BB875" s="37">
        <f>G875/(100-BC875)*100</f>
        <v>0</v>
      </c>
      <c r="BC875" s="37">
        <v>0</v>
      </c>
      <c r="BD875" s="37">
        <f>J875</f>
        <v>0</v>
      </c>
      <c r="BF875" s="37">
        <f>F875*AM875</f>
        <v>0</v>
      </c>
      <c r="BG875" s="37">
        <f>F875*AN875</f>
        <v>0</v>
      </c>
      <c r="BH875" s="37">
        <f>F875*G875</f>
        <v>0</v>
      </c>
    </row>
    <row r="876" spans="1:13" ht="12.75">
      <c r="A876" s="50"/>
      <c r="B876" s="51"/>
      <c r="C876" s="51"/>
      <c r="D876" s="52" t="s">
        <v>1611</v>
      </c>
      <c r="E876" s="51"/>
      <c r="F876" s="53">
        <v>2.44</v>
      </c>
      <c r="G876" s="51"/>
      <c r="H876" s="51"/>
      <c r="I876" s="54"/>
      <c r="J876" s="54"/>
      <c r="K876" s="51"/>
      <c r="M876" s="56"/>
    </row>
    <row r="877" spans="1:45" ht="12.75">
      <c r="A877" s="24"/>
      <c r="B877" s="25"/>
      <c r="C877" s="25" t="s">
        <v>1612</v>
      </c>
      <c r="D877" s="26" t="s">
        <v>1613</v>
      </c>
      <c r="E877" s="24" t="s">
        <v>54</v>
      </c>
      <c r="F877" s="24" t="s">
        <v>54</v>
      </c>
      <c r="G877" s="24"/>
      <c r="H877" s="27">
        <f>SUM(H878:H906)</f>
        <v>0</v>
      </c>
      <c r="I877" s="28"/>
      <c r="J877" s="28">
        <f>SUM(J878:J906)</f>
        <v>5.0048882</v>
      </c>
      <c r="K877" s="29"/>
      <c r="AG877" s="23"/>
      <c r="AQ877" s="31">
        <f>SUM(AH878:AH906)</f>
        <v>0</v>
      </c>
      <c r="AR877" s="31">
        <f>SUM(AI878:AI906)</f>
        <v>0</v>
      </c>
      <c r="AS877" s="31">
        <f>SUM(AJ878:AJ906)</f>
        <v>0</v>
      </c>
    </row>
    <row r="878" spans="1:60" ht="12.75">
      <c r="A878" s="16" t="s">
        <v>1614</v>
      </c>
      <c r="B878" s="16"/>
      <c r="C878" s="16" t="s">
        <v>1615</v>
      </c>
      <c r="D878" s="32" t="s">
        <v>1616</v>
      </c>
      <c r="E878" s="16" t="s">
        <v>192</v>
      </c>
      <c r="F878" s="33">
        <v>345.18</v>
      </c>
      <c r="G878" s="422"/>
      <c r="H878" s="34">
        <f>F878*G878</f>
        <v>0</v>
      </c>
      <c r="I878" s="35">
        <v>0</v>
      </c>
      <c r="J878" s="35">
        <f>F878*I878</f>
        <v>0</v>
      </c>
      <c r="K878" s="36" t="s">
        <v>94</v>
      </c>
      <c r="X878" s="37">
        <f>IF(AO878="5",BH878,0)</f>
        <v>0</v>
      </c>
      <c r="Z878" s="37">
        <f>IF(AO878="1",BF878,0)</f>
        <v>0</v>
      </c>
      <c r="AA878" s="37">
        <f>IF(AO878="1",BG878,0)</f>
        <v>0</v>
      </c>
      <c r="AB878" s="37">
        <f>IF(AO878="7",BF878,0)</f>
        <v>0</v>
      </c>
      <c r="AC878" s="37">
        <f>IF(AO878="7",BG878,0)</f>
        <v>0</v>
      </c>
      <c r="AD878" s="37">
        <f>IF(AO878="2",BF878,0)</f>
        <v>0</v>
      </c>
      <c r="AE878" s="37">
        <f>IF(AO878="2",BG878,0)</f>
        <v>0</v>
      </c>
      <c r="AF878" s="37">
        <f>IF(AO878="0",BH878,0)</f>
        <v>0</v>
      </c>
      <c r="AG878" s="23"/>
      <c r="AH878" s="37">
        <f>IF(AL878=0,H878,0)</f>
        <v>0</v>
      </c>
      <c r="AI878" s="37">
        <f>IF(AL878=15,H878,0)</f>
        <v>0</v>
      </c>
      <c r="AJ878" s="37">
        <f>IF(AL878=21,H878,0)</f>
        <v>0</v>
      </c>
      <c r="AL878" s="37">
        <v>21</v>
      </c>
      <c r="AM878" s="37">
        <f>G878*0</f>
        <v>0</v>
      </c>
      <c r="AN878" s="37">
        <f>G878*(1-0)</f>
        <v>0</v>
      </c>
      <c r="AO878" s="38" t="s">
        <v>136</v>
      </c>
      <c r="AT878" s="37">
        <f>AU878+AV878</f>
        <v>0</v>
      </c>
      <c r="AU878" s="37">
        <f>F878*AM878</f>
        <v>0</v>
      </c>
      <c r="AV878" s="37">
        <f>F878*AN878</f>
        <v>0</v>
      </c>
      <c r="AW878" s="38" t="s">
        <v>1617</v>
      </c>
      <c r="AX878" s="38" t="s">
        <v>1547</v>
      </c>
      <c r="AY878" s="23" t="s">
        <v>97</v>
      </c>
      <c r="BA878" s="37">
        <f>AU878+AV878</f>
        <v>0</v>
      </c>
      <c r="BB878" s="37">
        <f>G878/(100-BC878)*100</f>
        <v>0</v>
      </c>
      <c r="BC878" s="37">
        <v>0</v>
      </c>
      <c r="BD878" s="37">
        <f>J878</f>
        <v>0</v>
      </c>
      <c r="BF878" s="37">
        <f>F878*AM878</f>
        <v>0</v>
      </c>
      <c r="BG878" s="37">
        <f>F878*AN878</f>
        <v>0</v>
      </c>
      <c r="BH878" s="37">
        <f>F878*G878</f>
        <v>0</v>
      </c>
    </row>
    <row r="879" spans="1:11" ht="12.75">
      <c r="A879" s="39"/>
      <c r="B879" s="40"/>
      <c r="C879" s="40"/>
      <c r="D879" s="41" t="s">
        <v>1618</v>
      </c>
      <c r="E879" s="40"/>
      <c r="F879" s="42">
        <v>35.72</v>
      </c>
      <c r="G879" s="40"/>
      <c r="H879" s="40"/>
      <c r="I879" s="43"/>
      <c r="J879" s="43"/>
      <c r="K879" s="40"/>
    </row>
    <row r="880" spans="1:11" ht="12.75">
      <c r="A880" s="39"/>
      <c r="B880" s="40"/>
      <c r="C880" s="40"/>
      <c r="D880" s="41" t="s">
        <v>1619</v>
      </c>
      <c r="E880" s="40"/>
      <c r="F880" s="42">
        <v>309.46</v>
      </c>
      <c r="G880" s="40"/>
      <c r="H880" s="40"/>
      <c r="I880" s="43"/>
      <c r="J880" s="43"/>
      <c r="K880" s="40"/>
    </row>
    <row r="881" spans="1:60" ht="12.75">
      <c r="A881" s="16" t="s">
        <v>1620</v>
      </c>
      <c r="B881" s="16"/>
      <c r="C881" s="16" t="s">
        <v>1621</v>
      </c>
      <c r="D881" s="32" t="s">
        <v>1622</v>
      </c>
      <c r="E881" s="16" t="s">
        <v>192</v>
      </c>
      <c r="F881" s="33">
        <v>345.18</v>
      </c>
      <c r="G881" s="422"/>
      <c r="H881" s="34">
        <f>F881*G881</f>
        <v>0</v>
      </c>
      <c r="I881" s="35">
        <v>0</v>
      </c>
      <c r="J881" s="35">
        <f>F881*I881</f>
        <v>0</v>
      </c>
      <c r="K881" s="36" t="s">
        <v>94</v>
      </c>
      <c r="X881" s="37">
        <f>IF(AO881="5",BH881,0)</f>
        <v>0</v>
      </c>
      <c r="Z881" s="37">
        <f>IF(AO881="1",BF881,0)</f>
        <v>0</v>
      </c>
      <c r="AA881" s="37">
        <f>IF(AO881="1",BG881,0)</f>
        <v>0</v>
      </c>
      <c r="AB881" s="37">
        <f>IF(AO881="7",BF881,0)</f>
        <v>0</v>
      </c>
      <c r="AC881" s="37">
        <f>IF(AO881="7",BG881,0)</f>
        <v>0</v>
      </c>
      <c r="AD881" s="37">
        <f>IF(AO881="2",BF881,0)</f>
        <v>0</v>
      </c>
      <c r="AE881" s="37">
        <f>IF(AO881="2",BG881,0)</f>
        <v>0</v>
      </c>
      <c r="AF881" s="37">
        <f>IF(AO881="0",BH881,0)</f>
        <v>0</v>
      </c>
      <c r="AG881" s="23"/>
      <c r="AH881" s="37">
        <f>IF(AL881=0,H881,0)</f>
        <v>0</v>
      </c>
      <c r="AI881" s="37">
        <f>IF(AL881=15,H881,0)</f>
        <v>0</v>
      </c>
      <c r="AJ881" s="37">
        <f>IF(AL881=21,H881,0)</f>
        <v>0</v>
      </c>
      <c r="AL881" s="37">
        <v>21</v>
      </c>
      <c r="AM881" s="37">
        <f>G881*0</f>
        <v>0</v>
      </c>
      <c r="AN881" s="37">
        <f>G881*(1-0)</f>
        <v>0</v>
      </c>
      <c r="AO881" s="38" t="s">
        <v>136</v>
      </c>
      <c r="AT881" s="37">
        <f>AU881+AV881</f>
        <v>0</v>
      </c>
      <c r="AU881" s="37">
        <f>F881*AM881</f>
        <v>0</v>
      </c>
      <c r="AV881" s="37">
        <f>F881*AN881</f>
        <v>0</v>
      </c>
      <c r="AW881" s="38" t="s">
        <v>1617</v>
      </c>
      <c r="AX881" s="38" t="s">
        <v>1547</v>
      </c>
      <c r="AY881" s="23" t="s">
        <v>97</v>
      </c>
      <c r="BA881" s="37">
        <f>AU881+AV881</f>
        <v>0</v>
      </c>
      <c r="BB881" s="37">
        <f>G881/(100-BC881)*100</f>
        <v>0</v>
      </c>
      <c r="BC881" s="37">
        <v>0</v>
      </c>
      <c r="BD881" s="37">
        <f>J881</f>
        <v>0</v>
      </c>
      <c r="BF881" s="37">
        <f>F881*AM881</f>
        <v>0</v>
      </c>
      <c r="BG881" s="37">
        <f>F881*AN881</f>
        <v>0</v>
      </c>
      <c r="BH881" s="37">
        <f>F881*G881</f>
        <v>0</v>
      </c>
    </row>
    <row r="882" spans="1:11" ht="12.75">
      <c r="A882" s="39"/>
      <c r="B882" s="40"/>
      <c r="C882" s="40"/>
      <c r="D882" s="41" t="s">
        <v>1618</v>
      </c>
      <c r="E882" s="40"/>
      <c r="F882" s="42">
        <v>35.72</v>
      </c>
      <c r="G882" s="40"/>
      <c r="H882" s="40"/>
      <c r="I882" s="43"/>
      <c r="J882" s="43"/>
      <c r="K882" s="40"/>
    </row>
    <row r="883" spans="1:11" ht="12.75">
      <c r="A883" s="39"/>
      <c r="B883" s="40"/>
      <c r="C883" s="40"/>
      <c r="D883" s="41" t="s">
        <v>1619</v>
      </c>
      <c r="E883" s="40"/>
      <c r="F883" s="42">
        <v>309.46</v>
      </c>
      <c r="G883" s="40"/>
      <c r="H883" s="40"/>
      <c r="I883" s="43"/>
      <c r="J883" s="43"/>
      <c r="K883" s="40"/>
    </row>
    <row r="884" spans="1:60" ht="12.75">
      <c r="A884" s="16" t="s">
        <v>1623</v>
      </c>
      <c r="B884" s="16"/>
      <c r="C884" s="16" t="s">
        <v>1624</v>
      </c>
      <c r="D884" s="32" t="s">
        <v>1625</v>
      </c>
      <c r="E884" s="16" t="s">
        <v>192</v>
      </c>
      <c r="F884" s="33">
        <v>320.64</v>
      </c>
      <c r="G884" s="422"/>
      <c r="H884" s="34">
        <f>F884*G884</f>
        <v>0</v>
      </c>
      <c r="I884" s="35">
        <v>0.00033</v>
      </c>
      <c r="J884" s="35">
        <f>F884*I884</f>
        <v>0.1058112</v>
      </c>
      <c r="K884" s="36" t="s">
        <v>94</v>
      </c>
      <c r="X884" s="37">
        <f>IF(AO884="5",BH884,0)</f>
        <v>0</v>
      </c>
      <c r="Z884" s="37">
        <f>IF(AO884="1",BF884,0)</f>
        <v>0</v>
      </c>
      <c r="AA884" s="37">
        <f>IF(AO884="1",BG884,0)</f>
        <v>0</v>
      </c>
      <c r="AB884" s="37">
        <f>IF(AO884="7",BF884,0)</f>
        <v>0</v>
      </c>
      <c r="AC884" s="37">
        <f>IF(AO884="7",BG884,0)</f>
        <v>0</v>
      </c>
      <c r="AD884" s="37">
        <f>IF(AO884="2",BF884,0)</f>
        <v>0</v>
      </c>
      <c r="AE884" s="37">
        <f>IF(AO884="2",BG884,0)</f>
        <v>0</v>
      </c>
      <c r="AF884" s="37">
        <f>IF(AO884="0",BH884,0)</f>
        <v>0</v>
      </c>
      <c r="AG884" s="23"/>
      <c r="AH884" s="37">
        <f>IF(AL884=0,H884,0)</f>
        <v>0</v>
      </c>
      <c r="AI884" s="37">
        <f>IF(AL884=15,H884,0)</f>
        <v>0</v>
      </c>
      <c r="AJ884" s="37">
        <f>IF(AL884=21,H884,0)</f>
        <v>0</v>
      </c>
      <c r="AL884" s="37">
        <v>21</v>
      </c>
      <c r="AM884" s="37">
        <f>G884*0.167466150870406</f>
        <v>0</v>
      </c>
      <c r="AN884" s="37">
        <f>G884*(1-0.167466150870406)</f>
        <v>0</v>
      </c>
      <c r="AO884" s="38" t="s">
        <v>136</v>
      </c>
      <c r="AT884" s="37">
        <f>AU884+AV884</f>
        <v>0</v>
      </c>
      <c r="AU884" s="37">
        <f>F884*AM884</f>
        <v>0</v>
      </c>
      <c r="AV884" s="37">
        <f>F884*AN884</f>
        <v>0</v>
      </c>
      <c r="AW884" s="38" t="s">
        <v>1617</v>
      </c>
      <c r="AX884" s="38" t="s">
        <v>1547</v>
      </c>
      <c r="AY884" s="23" t="s">
        <v>97</v>
      </c>
      <c r="BA884" s="37">
        <f>AU884+AV884</f>
        <v>0</v>
      </c>
      <c r="BB884" s="37">
        <f>G884/(100-BC884)*100</f>
        <v>0</v>
      </c>
      <c r="BC884" s="37">
        <v>0</v>
      </c>
      <c r="BD884" s="37">
        <f>J884</f>
        <v>0.1058112</v>
      </c>
      <c r="BF884" s="37">
        <f>F884*AM884</f>
        <v>0</v>
      </c>
      <c r="BG884" s="37">
        <f>F884*AN884</f>
        <v>0</v>
      </c>
      <c r="BH884" s="37">
        <f>F884*G884</f>
        <v>0</v>
      </c>
    </row>
    <row r="885" spans="1:11" ht="12.75">
      <c r="A885" s="39"/>
      <c r="B885" s="40"/>
      <c r="C885" s="40"/>
      <c r="D885" s="41" t="s">
        <v>1626</v>
      </c>
      <c r="E885" s="40"/>
      <c r="F885" s="42">
        <v>177.5</v>
      </c>
      <c r="G885" s="40"/>
      <c r="H885" s="40"/>
      <c r="I885" s="43"/>
      <c r="J885" s="43"/>
      <c r="K885" s="40"/>
    </row>
    <row r="886" spans="1:11" ht="12.75">
      <c r="A886" s="39"/>
      <c r="B886" s="40"/>
      <c r="C886" s="40"/>
      <c r="D886" s="41" t="s">
        <v>1627</v>
      </c>
      <c r="E886" s="40"/>
      <c r="F886" s="42">
        <v>39.64</v>
      </c>
      <c r="G886" s="40"/>
      <c r="H886" s="40"/>
      <c r="I886" s="43"/>
      <c r="J886" s="43"/>
      <c r="K886" s="40"/>
    </row>
    <row r="887" spans="1:11" ht="12.75">
      <c r="A887" s="39"/>
      <c r="B887" s="40"/>
      <c r="C887" s="40"/>
      <c r="D887" s="41" t="s">
        <v>1628</v>
      </c>
      <c r="E887" s="40"/>
      <c r="F887" s="42">
        <v>103.5</v>
      </c>
      <c r="G887" s="40"/>
      <c r="H887" s="40"/>
      <c r="I887" s="43"/>
      <c r="J887" s="43"/>
      <c r="K887" s="40"/>
    </row>
    <row r="888" spans="1:11" ht="12.75">
      <c r="A888" s="16" t="s">
        <v>1629</v>
      </c>
      <c r="B888" s="16"/>
      <c r="C888" s="16" t="s">
        <v>1630</v>
      </c>
      <c r="D888" s="32" t="s">
        <v>1631</v>
      </c>
      <c r="E888" s="16" t="s">
        <v>395</v>
      </c>
      <c r="F888" s="33">
        <v>43.5</v>
      </c>
      <c r="G888" s="422"/>
      <c r="H888" s="34">
        <f>F888*G888</f>
        <v>0</v>
      </c>
      <c r="I888" s="35">
        <v>0.04798</v>
      </c>
      <c r="J888" s="35">
        <f>F888*I888</f>
        <v>2.08713</v>
      </c>
      <c r="K888" s="36" t="s">
        <v>226</v>
      </c>
    </row>
    <row r="889" spans="1:11" ht="12.75">
      <c r="A889" s="39"/>
      <c r="B889" s="40"/>
      <c r="C889" s="40"/>
      <c r="D889" s="41" t="s">
        <v>1632</v>
      </c>
      <c r="E889" s="40"/>
      <c r="F889" s="42">
        <v>43.5</v>
      </c>
      <c r="G889" s="40"/>
      <c r="H889" s="40"/>
      <c r="I889" s="43"/>
      <c r="J889" s="43"/>
      <c r="K889" s="40"/>
    </row>
    <row r="890" spans="1:11" ht="12.75">
      <c r="A890" s="16" t="s">
        <v>1633</v>
      </c>
      <c r="B890" s="16"/>
      <c r="C890" s="16" t="s">
        <v>1634</v>
      </c>
      <c r="D890" s="32" t="s">
        <v>1635</v>
      </c>
      <c r="E890" s="16" t="s">
        <v>395</v>
      </c>
      <c r="F890" s="33">
        <v>43.5</v>
      </c>
      <c r="G890" s="422"/>
      <c r="H890" s="34">
        <f>F890*G890</f>
        <v>0</v>
      </c>
      <c r="I890" s="35">
        <v>0.021</v>
      </c>
      <c r="J890" s="35">
        <f>F890*I890</f>
        <v>0.9135000000000001</v>
      </c>
      <c r="K890" s="36" t="s">
        <v>226</v>
      </c>
    </row>
    <row r="891" spans="1:11" ht="12.75">
      <c r="A891" s="39"/>
      <c r="B891" s="40"/>
      <c r="C891" s="40"/>
      <c r="D891" s="41" t="s">
        <v>1636</v>
      </c>
      <c r="E891" s="40"/>
      <c r="F891" s="42">
        <v>43.5</v>
      </c>
      <c r="G891" s="40"/>
      <c r="H891" s="40"/>
      <c r="I891" s="43"/>
      <c r="J891" s="43"/>
      <c r="K891" s="40"/>
    </row>
    <row r="892" spans="1:60" ht="38.25">
      <c r="A892" s="16" t="s">
        <v>1637</v>
      </c>
      <c r="B892" s="16"/>
      <c r="C892" s="16" t="s">
        <v>1638</v>
      </c>
      <c r="D892" s="32" t="s">
        <v>1639</v>
      </c>
      <c r="E892" s="16" t="s">
        <v>192</v>
      </c>
      <c r="F892" s="33">
        <v>113.85</v>
      </c>
      <c r="G892" s="422"/>
      <c r="H892" s="34">
        <f>F892*G892</f>
        <v>0</v>
      </c>
      <c r="I892" s="35">
        <v>0.006</v>
      </c>
      <c r="J892" s="35">
        <f>F892*I892</f>
        <v>0.6830999999999999</v>
      </c>
      <c r="K892" s="36" t="s">
        <v>226</v>
      </c>
      <c r="X892" s="37">
        <f>IF(AO892="5",BH892,0)</f>
        <v>0</v>
      </c>
      <c r="Z892" s="37">
        <f>IF(AO892="1",BF892,0)</f>
        <v>0</v>
      </c>
      <c r="AA892" s="37">
        <f>IF(AO892="1",BG892,0)</f>
        <v>0</v>
      </c>
      <c r="AB892" s="37">
        <f>IF(AO892="7",BF892,0)</f>
        <v>0</v>
      </c>
      <c r="AC892" s="37">
        <f>IF(AO892="7",BG892,0)</f>
        <v>0</v>
      </c>
      <c r="AD892" s="37">
        <f>IF(AO892="2",BF892,0)</f>
        <v>0</v>
      </c>
      <c r="AE892" s="37">
        <f>IF(AO892="2",BG892,0)</f>
        <v>0</v>
      </c>
      <c r="AF892" s="37">
        <f>IF(AO892="0",BH892,0)</f>
        <v>0</v>
      </c>
      <c r="AG892" s="23"/>
      <c r="AH892" s="37">
        <f>IF(AL892=0,H892,0)</f>
        <v>0</v>
      </c>
      <c r="AI892" s="37">
        <f>IF(AL892=15,H892,0)</f>
        <v>0</v>
      </c>
      <c r="AJ892" s="37">
        <f>IF(AL892=21,H892,0)</f>
        <v>0</v>
      </c>
      <c r="AL892" s="37">
        <v>21</v>
      </c>
      <c r="AM892" s="37">
        <f>G892*1</f>
        <v>0</v>
      </c>
      <c r="AN892" s="37">
        <f>G892*(1-1)</f>
        <v>0</v>
      </c>
      <c r="AO892" s="38" t="s">
        <v>136</v>
      </c>
      <c r="AT892" s="37">
        <f>AU892+AV892</f>
        <v>0</v>
      </c>
      <c r="AU892" s="37">
        <f>F892*AM892</f>
        <v>0</v>
      </c>
      <c r="AV892" s="37">
        <f>F892*AN892</f>
        <v>0</v>
      </c>
      <c r="AW892" s="38" t="s">
        <v>1617</v>
      </c>
      <c r="AX892" s="38" t="s">
        <v>1547</v>
      </c>
      <c r="AY892" s="23" t="s">
        <v>97</v>
      </c>
      <c r="BA892" s="37">
        <f>AU892+AV892</f>
        <v>0</v>
      </c>
      <c r="BB892" s="37">
        <f>G892/(100-BC892)*100</f>
        <v>0</v>
      </c>
      <c r="BC892" s="37">
        <v>0</v>
      </c>
      <c r="BD892" s="37">
        <f>J892</f>
        <v>0.6830999999999999</v>
      </c>
      <c r="BF892" s="37">
        <f>F892*AM892</f>
        <v>0</v>
      </c>
      <c r="BG892" s="37">
        <f>F892*AN892</f>
        <v>0</v>
      </c>
      <c r="BH892" s="37">
        <f>F892*G892</f>
        <v>0</v>
      </c>
    </row>
    <row r="893" spans="1:11" ht="12.75">
      <c r="A893" s="39"/>
      <c r="B893" s="40"/>
      <c r="C893" s="40"/>
      <c r="D893" s="41" t="s">
        <v>1640</v>
      </c>
      <c r="E893" s="40"/>
      <c r="F893" s="42">
        <v>113.85</v>
      </c>
      <c r="G893" s="40"/>
      <c r="H893" s="40"/>
      <c r="I893" s="43"/>
      <c r="J893" s="43"/>
      <c r="K893" s="40"/>
    </row>
    <row r="894" spans="1:60" ht="38.25">
      <c r="A894" s="16" t="s">
        <v>1641</v>
      </c>
      <c r="B894" s="16"/>
      <c r="C894" s="16" t="s">
        <v>1642</v>
      </c>
      <c r="D894" s="32" t="s">
        <v>1643</v>
      </c>
      <c r="E894" s="16" t="s">
        <v>192</v>
      </c>
      <c r="F894" s="33">
        <v>43.604</v>
      </c>
      <c r="G894" s="422"/>
      <c r="H894" s="34">
        <f>F894*G894</f>
        <v>0</v>
      </c>
      <c r="I894" s="35">
        <v>0.0033</v>
      </c>
      <c r="J894" s="35">
        <f>F894*I894</f>
        <v>0.1438932</v>
      </c>
      <c r="K894" s="36" t="s">
        <v>226</v>
      </c>
      <c r="X894" s="37">
        <f>IF(AO894="5",BH894,0)</f>
        <v>0</v>
      </c>
      <c r="Z894" s="37">
        <f>IF(AO894="1",BF894,0)</f>
        <v>0</v>
      </c>
      <c r="AA894" s="37">
        <f>IF(AO894="1",BG894,0)</f>
        <v>0</v>
      </c>
      <c r="AB894" s="37">
        <f>IF(AO894="7",BF894,0)</f>
        <v>0</v>
      </c>
      <c r="AC894" s="37">
        <f>IF(AO894="7",BG894,0)</f>
        <v>0</v>
      </c>
      <c r="AD894" s="37">
        <f>IF(AO894="2",BF894,0)</f>
        <v>0</v>
      </c>
      <c r="AE894" s="37">
        <f>IF(AO894="2",BG894,0)</f>
        <v>0</v>
      </c>
      <c r="AF894" s="37">
        <f>IF(AO894="0",BH894,0)</f>
        <v>0</v>
      </c>
      <c r="AG894" s="23"/>
      <c r="AH894" s="37">
        <f>IF(AL894=0,H894,0)</f>
        <v>0</v>
      </c>
      <c r="AI894" s="37">
        <f>IF(AL894=15,H894,0)</f>
        <v>0</v>
      </c>
      <c r="AJ894" s="37">
        <f>IF(AL894=21,H894,0)</f>
        <v>0</v>
      </c>
      <c r="AL894" s="37">
        <v>21</v>
      </c>
      <c r="AM894" s="37">
        <f>G894*1</f>
        <v>0</v>
      </c>
      <c r="AN894" s="37">
        <f>G894*(1-1)</f>
        <v>0</v>
      </c>
      <c r="AO894" s="38" t="s">
        <v>136</v>
      </c>
      <c r="AT894" s="37">
        <f>AU894+AV894</f>
        <v>0</v>
      </c>
      <c r="AU894" s="37">
        <f>F894*AM894</f>
        <v>0</v>
      </c>
      <c r="AV894" s="37">
        <f>F894*AN894</f>
        <v>0</v>
      </c>
      <c r="AW894" s="38" t="s">
        <v>1617</v>
      </c>
      <c r="AX894" s="38" t="s">
        <v>1547</v>
      </c>
      <c r="AY894" s="23" t="s">
        <v>97</v>
      </c>
      <c r="BA894" s="37">
        <f>AU894+AV894</f>
        <v>0</v>
      </c>
      <c r="BB894" s="37">
        <f>G894/(100-BC894)*100</f>
        <v>0</v>
      </c>
      <c r="BC894" s="37">
        <v>0</v>
      </c>
      <c r="BD894" s="37">
        <f>J894</f>
        <v>0.1438932</v>
      </c>
      <c r="BF894" s="37">
        <f>F894*AM894</f>
        <v>0</v>
      </c>
      <c r="BG894" s="37">
        <f>F894*AN894</f>
        <v>0</v>
      </c>
      <c r="BH894" s="37">
        <f>F894*G894</f>
        <v>0</v>
      </c>
    </row>
    <row r="895" spans="1:11" ht="12.75">
      <c r="A895" s="39"/>
      <c r="B895" s="40"/>
      <c r="C895" s="40"/>
      <c r="D895" s="41" t="s">
        <v>1644</v>
      </c>
      <c r="E895" s="40"/>
      <c r="F895" s="42">
        <v>43.604</v>
      </c>
      <c r="G895" s="40"/>
      <c r="H895" s="40"/>
      <c r="I895" s="43"/>
      <c r="J895" s="43"/>
      <c r="K895" s="40"/>
    </row>
    <row r="896" spans="1:60" ht="25.5">
      <c r="A896" s="16" t="s">
        <v>1645</v>
      </c>
      <c r="B896" s="16"/>
      <c r="C896" s="16" t="s">
        <v>1646</v>
      </c>
      <c r="D896" s="32" t="s">
        <v>1647</v>
      </c>
      <c r="E896" s="16" t="s">
        <v>192</v>
      </c>
      <c r="F896" s="33">
        <v>195.25</v>
      </c>
      <c r="G896" s="422"/>
      <c r="H896" s="34">
        <f>F896*G896</f>
        <v>0</v>
      </c>
      <c r="I896" s="35">
        <v>0.0049</v>
      </c>
      <c r="J896" s="35">
        <f>F896*I896</f>
        <v>0.9567249999999999</v>
      </c>
      <c r="K896" s="36" t="s">
        <v>226</v>
      </c>
      <c r="X896" s="37">
        <f>IF(AO896="5",BH896,0)</f>
        <v>0</v>
      </c>
      <c r="Z896" s="37">
        <f>IF(AO896="1",BF896,0)</f>
        <v>0</v>
      </c>
      <c r="AA896" s="37">
        <f>IF(AO896="1",BG896,0)</f>
        <v>0</v>
      </c>
      <c r="AB896" s="37">
        <f>IF(AO896="7",BF896,0)</f>
        <v>0</v>
      </c>
      <c r="AC896" s="37">
        <f>IF(AO896="7",BG896,0)</f>
        <v>0</v>
      </c>
      <c r="AD896" s="37">
        <f>IF(AO896="2",BF896,0)</f>
        <v>0</v>
      </c>
      <c r="AE896" s="37">
        <f>IF(AO896="2",BG896,0)</f>
        <v>0</v>
      </c>
      <c r="AF896" s="37">
        <f>IF(AO896="0",BH896,0)</f>
        <v>0</v>
      </c>
      <c r="AG896" s="23"/>
      <c r="AH896" s="37">
        <f>IF(AL896=0,H896,0)</f>
        <v>0</v>
      </c>
      <c r="AI896" s="37">
        <f>IF(AL896=15,H896,0)</f>
        <v>0</v>
      </c>
      <c r="AJ896" s="37">
        <f>IF(AL896=21,H896,0)</f>
        <v>0</v>
      </c>
      <c r="AL896" s="37">
        <v>21</v>
      </c>
      <c r="AM896" s="37">
        <f>G896*1</f>
        <v>0</v>
      </c>
      <c r="AN896" s="37">
        <f>G896*(1-1)</f>
        <v>0</v>
      </c>
      <c r="AO896" s="38" t="s">
        <v>136</v>
      </c>
      <c r="AT896" s="37">
        <f>AU896+AV896</f>
        <v>0</v>
      </c>
      <c r="AU896" s="37">
        <f>F896*AM896</f>
        <v>0</v>
      </c>
      <c r="AV896" s="37">
        <f>F896*AN896</f>
        <v>0</v>
      </c>
      <c r="AW896" s="38" t="s">
        <v>1617</v>
      </c>
      <c r="AX896" s="38" t="s">
        <v>1547</v>
      </c>
      <c r="AY896" s="23" t="s">
        <v>97</v>
      </c>
      <c r="BA896" s="37">
        <f>AU896+AV896</f>
        <v>0</v>
      </c>
      <c r="BB896" s="37">
        <f>G896/(100-BC896)*100</f>
        <v>0</v>
      </c>
      <c r="BC896" s="37">
        <v>0</v>
      </c>
      <c r="BD896" s="37">
        <f>J896</f>
        <v>0.9567249999999999</v>
      </c>
      <c r="BF896" s="37">
        <f>F896*AM896</f>
        <v>0</v>
      </c>
      <c r="BG896" s="37">
        <f>F896*AN896</f>
        <v>0</v>
      </c>
      <c r="BH896" s="37">
        <f>F896*G896</f>
        <v>0</v>
      </c>
    </row>
    <row r="897" spans="1:11" ht="12.75">
      <c r="A897" s="39"/>
      <c r="B897" s="40"/>
      <c r="C897" s="40"/>
      <c r="D897" s="41" t="s">
        <v>1648</v>
      </c>
      <c r="E897" s="40"/>
      <c r="F897" s="42">
        <v>195.25</v>
      </c>
      <c r="G897" s="40"/>
      <c r="H897" s="40"/>
      <c r="I897" s="43"/>
      <c r="J897" s="43"/>
      <c r="K897" s="40"/>
    </row>
    <row r="898" spans="1:60" ht="12.75">
      <c r="A898" s="16" t="s">
        <v>1649</v>
      </c>
      <c r="B898" s="16"/>
      <c r="C898" s="16" t="s">
        <v>1650</v>
      </c>
      <c r="D898" s="32" t="s">
        <v>1651</v>
      </c>
      <c r="E898" s="16" t="s">
        <v>395</v>
      </c>
      <c r="F898" s="33">
        <v>234.66</v>
      </c>
      <c r="G898" s="422"/>
      <c r="H898" s="34">
        <f>F898*G898</f>
        <v>0</v>
      </c>
      <c r="I898" s="35">
        <v>8E-05</v>
      </c>
      <c r="J898" s="35">
        <f>F898*I898</f>
        <v>0.018772800000000003</v>
      </c>
      <c r="K898" s="36" t="s">
        <v>94</v>
      </c>
      <c r="X898" s="37">
        <f>IF(AO898="5",BH898,0)</f>
        <v>0</v>
      </c>
      <c r="Z898" s="37">
        <f>IF(AO898="1",BF898,0)</f>
        <v>0</v>
      </c>
      <c r="AA898" s="37">
        <f>IF(AO898="1",BG898,0)</f>
        <v>0</v>
      </c>
      <c r="AB898" s="37">
        <f>IF(AO898="7",BF898,0)</f>
        <v>0</v>
      </c>
      <c r="AC898" s="37">
        <f>IF(AO898="7",BG898,0)</f>
        <v>0</v>
      </c>
      <c r="AD898" s="37">
        <f>IF(AO898="2",BF898,0)</f>
        <v>0</v>
      </c>
      <c r="AE898" s="37">
        <f>IF(AO898="2",BG898,0)</f>
        <v>0</v>
      </c>
      <c r="AF898" s="37">
        <f>IF(AO898="0",BH898,0)</f>
        <v>0</v>
      </c>
      <c r="AG898" s="23"/>
      <c r="AH898" s="37">
        <f>IF(AL898=0,H898,0)</f>
        <v>0</v>
      </c>
      <c r="AI898" s="37">
        <f>IF(AL898=15,H898,0)</f>
        <v>0</v>
      </c>
      <c r="AJ898" s="37">
        <f>IF(AL898=21,H898,0)</f>
        <v>0</v>
      </c>
      <c r="AL898" s="37">
        <v>21</v>
      </c>
      <c r="AM898" s="37">
        <f>G898*0.317463645589739</f>
        <v>0</v>
      </c>
      <c r="AN898" s="37">
        <f>G898*(1-0.317463645589739)</f>
        <v>0</v>
      </c>
      <c r="AO898" s="38" t="s">
        <v>136</v>
      </c>
      <c r="AT898" s="37">
        <f>AU898+AV898</f>
        <v>0</v>
      </c>
      <c r="AU898" s="37">
        <f>F898*AM898</f>
        <v>0</v>
      </c>
      <c r="AV898" s="37">
        <f>F898*AN898</f>
        <v>0</v>
      </c>
      <c r="AW898" s="38" t="s">
        <v>1617</v>
      </c>
      <c r="AX898" s="38" t="s">
        <v>1547</v>
      </c>
      <c r="AY898" s="23" t="s">
        <v>97</v>
      </c>
      <c r="BA898" s="37">
        <f>AU898+AV898</f>
        <v>0</v>
      </c>
      <c r="BB898" s="37">
        <f>G898/(100-BC898)*100</f>
        <v>0</v>
      </c>
      <c r="BC898" s="37">
        <v>0</v>
      </c>
      <c r="BD898" s="37">
        <f>J898</f>
        <v>0.018772800000000003</v>
      </c>
      <c r="BF898" s="37">
        <f>F898*AM898</f>
        <v>0</v>
      </c>
      <c r="BG898" s="37">
        <f>F898*AN898</f>
        <v>0</v>
      </c>
      <c r="BH898" s="37">
        <f>F898*G898</f>
        <v>0</v>
      </c>
    </row>
    <row r="899" spans="1:11" ht="12.75">
      <c r="A899" s="39"/>
      <c r="B899" s="40"/>
      <c r="C899" s="40"/>
      <c r="D899" s="41" t="s">
        <v>1652</v>
      </c>
      <c r="E899" s="40"/>
      <c r="F899" s="42">
        <v>103.61</v>
      </c>
      <c r="G899" s="40"/>
      <c r="H899" s="40"/>
      <c r="I899" s="43"/>
      <c r="J899" s="43"/>
      <c r="K899" s="40"/>
    </row>
    <row r="900" spans="1:11" ht="12.75">
      <c r="A900" s="39"/>
      <c r="B900" s="40"/>
      <c r="C900" s="40"/>
      <c r="D900" s="41" t="s">
        <v>1653</v>
      </c>
      <c r="E900" s="40"/>
      <c r="F900" s="42">
        <v>34.45</v>
      </c>
      <c r="G900" s="40"/>
      <c r="H900" s="40"/>
      <c r="I900" s="43"/>
      <c r="J900" s="43"/>
      <c r="K900" s="40"/>
    </row>
    <row r="901" spans="1:11" ht="12.75">
      <c r="A901" s="39"/>
      <c r="B901" s="40"/>
      <c r="C901" s="40"/>
      <c r="D901" s="41" t="s">
        <v>1654</v>
      </c>
      <c r="E901" s="40"/>
      <c r="F901" s="42">
        <v>96.6</v>
      </c>
      <c r="G901" s="40"/>
      <c r="H901" s="40"/>
      <c r="I901" s="43"/>
      <c r="J901" s="43"/>
      <c r="K901" s="40"/>
    </row>
    <row r="902" spans="1:60" ht="25.5">
      <c r="A902" s="44" t="s">
        <v>1655</v>
      </c>
      <c r="B902" s="44"/>
      <c r="C902" s="44" t="s">
        <v>1656</v>
      </c>
      <c r="D902" s="45" t="s">
        <v>1657</v>
      </c>
      <c r="E902" s="44" t="s">
        <v>192</v>
      </c>
      <c r="F902" s="46">
        <v>3.02</v>
      </c>
      <c r="G902" s="423"/>
      <c r="H902" s="47">
        <f>F902*G902</f>
        <v>0</v>
      </c>
      <c r="I902" s="48">
        <v>0.0028</v>
      </c>
      <c r="J902" s="48">
        <f>F902*I902</f>
        <v>0.008456</v>
      </c>
      <c r="K902" s="49" t="s">
        <v>226</v>
      </c>
      <c r="X902" s="37">
        <f>IF(AO902="5",BH902,0)</f>
        <v>0</v>
      </c>
      <c r="Z902" s="37">
        <f>IF(AO902="1",BF902,0)</f>
        <v>0</v>
      </c>
      <c r="AA902" s="37">
        <f>IF(AO902="1",BG902,0)</f>
        <v>0</v>
      </c>
      <c r="AB902" s="37">
        <f>IF(AO902="7",BF902,0)</f>
        <v>0</v>
      </c>
      <c r="AC902" s="37">
        <f>IF(AO902="7",BG902,0)</f>
        <v>0</v>
      </c>
      <c r="AD902" s="37">
        <f>IF(AO902="2",BF902,0)</f>
        <v>0</v>
      </c>
      <c r="AE902" s="37">
        <f>IF(AO902="2",BG902,0)</f>
        <v>0</v>
      </c>
      <c r="AF902" s="37">
        <f>IF(AO902="0",BH902,0)</f>
        <v>0</v>
      </c>
      <c r="AG902" s="23"/>
      <c r="AH902" s="37">
        <f>IF(AL902=0,H902,0)</f>
        <v>0</v>
      </c>
      <c r="AI902" s="37">
        <f>IF(AL902=15,H902,0)</f>
        <v>0</v>
      </c>
      <c r="AJ902" s="37">
        <f>IF(AL902=21,H902,0)</f>
        <v>0</v>
      </c>
      <c r="AL902" s="37">
        <v>21</v>
      </c>
      <c r="AM902" s="37">
        <f>G902*0.801192842942346</f>
        <v>0</v>
      </c>
      <c r="AN902" s="37">
        <f>G902*(1-0.801192842942346)</f>
        <v>0</v>
      </c>
      <c r="AO902" s="38" t="s">
        <v>136</v>
      </c>
      <c r="AT902" s="37">
        <f>AU902+AV902</f>
        <v>0</v>
      </c>
      <c r="AU902" s="37">
        <f>F902*AM902</f>
        <v>0</v>
      </c>
      <c r="AV902" s="37">
        <f>F902*AN902</f>
        <v>0</v>
      </c>
      <c r="AW902" s="38" t="s">
        <v>1617</v>
      </c>
      <c r="AX902" s="38" t="s">
        <v>1547</v>
      </c>
      <c r="AY902" s="23" t="s">
        <v>97</v>
      </c>
      <c r="BA902" s="37">
        <f>AU902+AV902</f>
        <v>0</v>
      </c>
      <c r="BB902" s="37">
        <f>G902/(100-BC902)*100</f>
        <v>0</v>
      </c>
      <c r="BC902" s="37">
        <v>0</v>
      </c>
      <c r="BD902" s="37">
        <f>J902</f>
        <v>0.008456</v>
      </c>
      <c r="BF902" s="37">
        <f>F902*AM902</f>
        <v>0</v>
      </c>
      <c r="BG902" s="37">
        <f>F902*AN902</f>
        <v>0</v>
      </c>
      <c r="BH902" s="37">
        <f>F902*G902</f>
        <v>0</v>
      </c>
    </row>
    <row r="903" spans="1:11" ht="12.75">
      <c r="A903" s="50"/>
      <c r="B903" s="51"/>
      <c r="C903" s="51"/>
      <c r="D903" s="52" t="s">
        <v>1658</v>
      </c>
      <c r="E903" s="51"/>
      <c r="F903" s="53">
        <v>3.02</v>
      </c>
      <c r="G903" s="51"/>
      <c r="H903" s="51"/>
      <c r="I903" s="54"/>
      <c r="J903" s="54"/>
      <c r="K903" s="51"/>
    </row>
    <row r="904" spans="1:60" ht="25.5">
      <c r="A904" s="44" t="s">
        <v>1659</v>
      </c>
      <c r="B904" s="44"/>
      <c r="C904" s="44" t="s">
        <v>1660</v>
      </c>
      <c r="D904" s="45" t="s">
        <v>1661</v>
      </c>
      <c r="E904" s="44" t="s">
        <v>192</v>
      </c>
      <c r="F904" s="46">
        <v>31.25</v>
      </c>
      <c r="G904" s="423"/>
      <c r="H904" s="47">
        <f>F904*G904</f>
        <v>0</v>
      </c>
      <c r="I904" s="48">
        <v>0.0028</v>
      </c>
      <c r="J904" s="48">
        <f>F904*I904</f>
        <v>0.0875</v>
      </c>
      <c r="K904" s="49" t="s">
        <v>226</v>
      </c>
      <c r="X904" s="37">
        <f>IF(AO904="5",BH904,0)</f>
        <v>0</v>
      </c>
      <c r="Z904" s="37">
        <f>IF(AO904="1",BF904,0)</f>
        <v>0</v>
      </c>
      <c r="AA904" s="37">
        <f>IF(AO904="1",BG904,0)</f>
        <v>0</v>
      </c>
      <c r="AB904" s="37">
        <f>IF(AO904="7",BF904,0)</f>
        <v>0</v>
      </c>
      <c r="AC904" s="37">
        <f>IF(AO904="7",BG904,0)</f>
        <v>0</v>
      </c>
      <c r="AD904" s="37">
        <f>IF(AO904="2",BF904,0)</f>
        <v>0</v>
      </c>
      <c r="AE904" s="37">
        <f>IF(AO904="2",BG904,0)</f>
        <v>0</v>
      </c>
      <c r="AF904" s="37">
        <f>IF(AO904="0",BH904,0)</f>
        <v>0</v>
      </c>
      <c r="AG904" s="23"/>
      <c r="AH904" s="37">
        <f>IF(AL904=0,H904,0)</f>
        <v>0</v>
      </c>
      <c r="AI904" s="37">
        <f>IF(AL904=15,H904,0)</f>
        <v>0</v>
      </c>
      <c r="AJ904" s="37">
        <f>IF(AL904=21,H904,0)</f>
        <v>0</v>
      </c>
      <c r="AL904" s="37">
        <v>21</v>
      </c>
      <c r="AM904" s="37">
        <f>G904*0.722222222222222</f>
        <v>0</v>
      </c>
      <c r="AN904" s="37">
        <f>G904*(1-0.722222222222222)</f>
        <v>0</v>
      </c>
      <c r="AO904" s="38" t="s">
        <v>136</v>
      </c>
      <c r="AT904" s="37">
        <f>AU904+AV904</f>
        <v>0</v>
      </c>
      <c r="AU904" s="37">
        <f>F904*AM904</f>
        <v>0</v>
      </c>
      <c r="AV904" s="37">
        <f>F904*AN904</f>
        <v>0</v>
      </c>
      <c r="AW904" s="38" t="s">
        <v>1617</v>
      </c>
      <c r="AX904" s="38" t="s">
        <v>1547</v>
      </c>
      <c r="AY904" s="23" t="s">
        <v>97</v>
      </c>
      <c r="BA904" s="37">
        <f>AU904+AV904</f>
        <v>0</v>
      </c>
      <c r="BB904" s="37">
        <f>G904/(100-BC904)*100</f>
        <v>0</v>
      </c>
      <c r="BC904" s="37">
        <v>0</v>
      </c>
      <c r="BD904" s="37">
        <f>J904</f>
        <v>0.0875</v>
      </c>
      <c r="BF904" s="37">
        <f>F904*AM904</f>
        <v>0</v>
      </c>
      <c r="BG904" s="37">
        <f>F904*AN904</f>
        <v>0</v>
      </c>
      <c r="BH904" s="37">
        <f>F904*G904</f>
        <v>0</v>
      </c>
    </row>
    <row r="905" spans="1:11" ht="12.75">
      <c r="A905" s="50"/>
      <c r="B905" s="51"/>
      <c r="C905" s="51"/>
      <c r="D905" s="52" t="s">
        <v>1662</v>
      </c>
      <c r="E905" s="51"/>
      <c r="F905" s="53">
        <v>31.25</v>
      </c>
      <c r="G905" s="51"/>
      <c r="H905" s="51"/>
      <c r="I905" s="54"/>
      <c r="J905" s="54"/>
      <c r="K905" s="51"/>
    </row>
    <row r="906" spans="1:60" ht="12.75">
      <c r="A906" s="44" t="s">
        <v>1663</v>
      </c>
      <c r="B906" s="44"/>
      <c r="C906" s="44" t="s">
        <v>1664</v>
      </c>
      <c r="D906" s="45" t="s">
        <v>1665</v>
      </c>
      <c r="E906" s="44" t="s">
        <v>239</v>
      </c>
      <c r="F906" s="46">
        <v>5</v>
      </c>
      <c r="G906" s="423"/>
      <c r="H906" s="47">
        <f>F906*G906</f>
        <v>0</v>
      </c>
      <c r="I906" s="48">
        <v>0</v>
      </c>
      <c r="J906" s="48">
        <f>F906*I906</f>
        <v>0</v>
      </c>
      <c r="K906" s="49" t="s">
        <v>94</v>
      </c>
      <c r="X906" s="37">
        <f>IF(AO906="5",BH906,0)</f>
        <v>0</v>
      </c>
      <c r="Z906" s="37">
        <f>IF(AO906="1",BF906,0)</f>
        <v>0</v>
      </c>
      <c r="AA906" s="37">
        <f>IF(AO906="1",BG906,0)</f>
        <v>0</v>
      </c>
      <c r="AB906" s="37">
        <f>IF(AO906="7",BF906,0)</f>
        <v>0</v>
      </c>
      <c r="AC906" s="37">
        <f>IF(AO906="7",BG906,0)</f>
        <v>0</v>
      </c>
      <c r="AD906" s="37">
        <f>IF(AO906="2",BF906,0)</f>
        <v>0</v>
      </c>
      <c r="AE906" s="37">
        <f>IF(AO906="2",BG906,0)</f>
        <v>0</v>
      </c>
      <c r="AF906" s="37">
        <f>IF(AO906="0",BH906,0)</f>
        <v>0</v>
      </c>
      <c r="AG906" s="23"/>
      <c r="AH906" s="37">
        <f>IF(AL906=0,H906,0)</f>
        <v>0</v>
      </c>
      <c r="AI906" s="37">
        <f>IF(AL906=15,H906,0)</f>
        <v>0</v>
      </c>
      <c r="AJ906" s="37">
        <f>IF(AL906=21,H906,0)</f>
        <v>0</v>
      </c>
      <c r="AL906" s="37">
        <v>21</v>
      </c>
      <c r="AM906" s="37">
        <f>G906*0</f>
        <v>0</v>
      </c>
      <c r="AN906" s="37">
        <f>G906*(1-0)</f>
        <v>0</v>
      </c>
      <c r="AO906" s="38" t="s">
        <v>118</v>
      </c>
      <c r="AT906" s="37">
        <f>AU906+AV906</f>
        <v>0</v>
      </c>
      <c r="AU906" s="37">
        <f>F906*AM906</f>
        <v>0</v>
      </c>
      <c r="AV906" s="37">
        <f>F906*AN906</f>
        <v>0</v>
      </c>
      <c r="AW906" s="38" t="s">
        <v>1617</v>
      </c>
      <c r="AX906" s="38" t="s">
        <v>1547</v>
      </c>
      <c r="AY906" s="23" t="s">
        <v>97</v>
      </c>
      <c r="BA906" s="37">
        <f>AU906+AV906</f>
        <v>0</v>
      </c>
      <c r="BB906" s="37">
        <f>G906/(100-BC906)*100</f>
        <v>0</v>
      </c>
      <c r="BC906" s="37">
        <v>0</v>
      </c>
      <c r="BD906" s="37">
        <f>J906</f>
        <v>0</v>
      </c>
      <c r="BF906" s="37">
        <f>F906*AM906</f>
        <v>0</v>
      </c>
      <c r="BG906" s="37">
        <f>F906*AN906</f>
        <v>0</v>
      </c>
      <c r="BH906" s="37">
        <f>F906*G906</f>
        <v>0</v>
      </c>
    </row>
    <row r="907" spans="1:11" ht="12.75">
      <c r="A907" s="50"/>
      <c r="B907" s="51"/>
      <c r="C907" s="51"/>
      <c r="D907" s="52" t="s">
        <v>118</v>
      </c>
      <c r="E907" s="51"/>
      <c r="F907" s="53">
        <v>5</v>
      </c>
      <c r="G907" s="51"/>
      <c r="H907" s="51"/>
      <c r="I907" s="54"/>
      <c r="J907" s="54"/>
      <c r="K907" s="51"/>
    </row>
    <row r="908" spans="1:45" ht="12.75">
      <c r="A908" s="24"/>
      <c r="B908" s="25"/>
      <c r="C908" s="25" t="s">
        <v>1666</v>
      </c>
      <c r="D908" s="26" t="s">
        <v>1667</v>
      </c>
      <c r="E908" s="24" t="s">
        <v>54</v>
      </c>
      <c r="F908" s="24" t="s">
        <v>54</v>
      </c>
      <c r="G908" s="24"/>
      <c r="H908" s="27">
        <f>SUM(H909:H925)</f>
        <v>0</v>
      </c>
      <c r="I908" s="28"/>
      <c r="J908" s="28">
        <f>SUM(J909:J925)</f>
        <v>7.38973908</v>
      </c>
      <c r="K908" s="29"/>
      <c r="AG908" s="23"/>
      <c r="AQ908" s="31">
        <f>SUM(AH909:AH925)</f>
        <v>0</v>
      </c>
      <c r="AR908" s="31">
        <f>SUM(AI909:AI925)</f>
        <v>0</v>
      </c>
      <c r="AS908" s="31">
        <f>SUM(AJ909:AJ925)</f>
        <v>0</v>
      </c>
    </row>
    <row r="909" spans="1:60" ht="12.75">
      <c r="A909" s="16" t="s">
        <v>1668</v>
      </c>
      <c r="B909" s="16"/>
      <c r="C909" s="16" t="s">
        <v>1669</v>
      </c>
      <c r="D909" s="32" t="s">
        <v>1670</v>
      </c>
      <c r="E909" s="16" t="s">
        <v>192</v>
      </c>
      <c r="F909" s="33">
        <v>256.097</v>
      </c>
      <c r="G909" s="422"/>
      <c r="H909" s="34">
        <f>F909*G909</f>
        <v>0</v>
      </c>
      <c r="I909" s="35">
        <v>0.00021</v>
      </c>
      <c r="J909" s="35">
        <f>F909*I909</f>
        <v>0.05378037</v>
      </c>
      <c r="K909" s="36" t="s">
        <v>94</v>
      </c>
      <c r="X909" s="37">
        <f>IF(AO909="5",BH909,0)</f>
        <v>0</v>
      </c>
      <c r="Z909" s="37">
        <f>IF(AO909="1",BF909,0)</f>
        <v>0</v>
      </c>
      <c r="AA909" s="37">
        <f>IF(AO909="1",BG909,0)</f>
        <v>0</v>
      </c>
      <c r="AB909" s="37">
        <f>IF(AO909="7",BF909,0)</f>
        <v>0</v>
      </c>
      <c r="AC909" s="37">
        <f>IF(AO909="7",BG909,0)</f>
        <v>0</v>
      </c>
      <c r="AD909" s="37">
        <f>IF(AO909="2",BF909,0)</f>
        <v>0</v>
      </c>
      <c r="AE909" s="37">
        <f>IF(AO909="2",BG909,0)</f>
        <v>0</v>
      </c>
      <c r="AF909" s="37">
        <f>IF(AO909="0",BH909,0)</f>
        <v>0</v>
      </c>
      <c r="AG909" s="23"/>
      <c r="AH909" s="37">
        <f>IF(AL909=0,H909,0)</f>
        <v>0</v>
      </c>
      <c r="AI909" s="37">
        <f>IF(AL909=15,H909,0)</f>
        <v>0</v>
      </c>
      <c r="AJ909" s="37">
        <f>IF(AL909=21,H909,0)</f>
        <v>0</v>
      </c>
      <c r="AL909" s="37">
        <v>21</v>
      </c>
      <c r="AM909" s="37">
        <f>G909*0.478991486617961</f>
        <v>0</v>
      </c>
      <c r="AN909" s="37">
        <f>G909*(1-0.478991486617961)</f>
        <v>0</v>
      </c>
      <c r="AO909" s="38" t="s">
        <v>136</v>
      </c>
      <c r="AT909" s="37">
        <f>AU909+AV909</f>
        <v>0</v>
      </c>
      <c r="AU909" s="37">
        <f>F909*AM909</f>
        <v>0</v>
      </c>
      <c r="AV909" s="37">
        <f>F909*AN909</f>
        <v>0</v>
      </c>
      <c r="AW909" s="38" t="s">
        <v>1671</v>
      </c>
      <c r="AX909" s="38" t="s">
        <v>1672</v>
      </c>
      <c r="AY909" s="23" t="s">
        <v>97</v>
      </c>
      <c r="BA909" s="37">
        <f>AU909+AV909</f>
        <v>0</v>
      </c>
      <c r="BB909" s="37">
        <f>G909/(100-BC909)*100</f>
        <v>0</v>
      </c>
      <c r="BC909" s="37">
        <v>0</v>
      </c>
      <c r="BD909" s="37">
        <f>J909</f>
        <v>0.05378037</v>
      </c>
      <c r="BF909" s="37">
        <f>F909*AM909</f>
        <v>0</v>
      </c>
      <c r="BG909" s="37">
        <f>F909*AN909</f>
        <v>0</v>
      </c>
      <c r="BH909" s="37">
        <f>F909*G909</f>
        <v>0</v>
      </c>
    </row>
    <row r="910" spans="1:11" ht="12.75">
      <c r="A910" s="39"/>
      <c r="B910" s="40"/>
      <c r="C910" s="40"/>
      <c r="D910" s="41" t="s">
        <v>1673</v>
      </c>
      <c r="E910" s="40"/>
      <c r="F910" s="42">
        <v>14.427</v>
      </c>
      <c r="G910" s="40"/>
      <c r="H910" s="40"/>
      <c r="I910" s="43"/>
      <c r="J910" s="43"/>
      <c r="K910" s="40"/>
    </row>
    <row r="911" spans="1:11" ht="12.75">
      <c r="A911" s="39"/>
      <c r="B911" s="40"/>
      <c r="C911" s="40"/>
      <c r="D911" s="41" t="s">
        <v>1674</v>
      </c>
      <c r="E911" s="40"/>
      <c r="F911" s="42">
        <v>216.5</v>
      </c>
      <c r="G911" s="40"/>
      <c r="H911" s="40"/>
      <c r="I911" s="43"/>
      <c r="J911" s="43"/>
      <c r="K911" s="40"/>
    </row>
    <row r="912" spans="1:11" ht="12.75">
      <c r="A912" s="39"/>
      <c r="B912" s="40"/>
      <c r="C912" s="40"/>
      <c r="D912" s="41" t="s">
        <v>1675</v>
      </c>
      <c r="E912" s="40"/>
      <c r="F912" s="42">
        <v>25.17</v>
      </c>
      <c r="G912" s="40"/>
      <c r="H912" s="40"/>
      <c r="I912" s="43"/>
      <c r="J912" s="43"/>
      <c r="K912" s="40"/>
    </row>
    <row r="913" spans="1:60" ht="12.75">
      <c r="A913" s="16" t="s">
        <v>1676</v>
      </c>
      <c r="B913" s="16"/>
      <c r="C913" s="16" t="s">
        <v>1677</v>
      </c>
      <c r="D913" s="32" t="s">
        <v>1678</v>
      </c>
      <c r="E913" s="16" t="s">
        <v>192</v>
      </c>
      <c r="F913" s="33">
        <v>256.097</v>
      </c>
      <c r="G913" s="422"/>
      <c r="H913" s="34">
        <f>F913*G913</f>
        <v>0</v>
      </c>
      <c r="I913" s="35">
        <v>0.00535</v>
      </c>
      <c r="J913" s="35">
        <f>F913*I913</f>
        <v>1.3701189499999997</v>
      </c>
      <c r="K913" s="36" t="s">
        <v>94</v>
      </c>
      <c r="X913" s="37">
        <f>IF(AO913="5",BH913,0)</f>
        <v>0</v>
      </c>
      <c r="Z913" s="37">
        <f>IF(AO913="1",BF913,0)</f>
        <v>0</v>
      </c>
      <c r="AA913" s="37">
        <f>IF(AO913="1",BG913,0)</f>
        <v>0</v>
      </c>
      <c r="AB913" s="37">
        <f>IF(AO913="7",BF913,0)</f>
        <v>0</v>
      </c>
      <c r="AC913" s="37">
        <f>IF(AO913="7",BG913,0)</f>
        <v>0</v>
      </c>
      <c r="AD913" s="37">
        <f>IF(AO913="2",BF913,0)</f>
        <v>0</v>
      </c>
      <c r="AE913" s="37">
        <f>IF(AO913="2",BG913,0)</f>
        <v>0</v>
      </c>
      <c r="AF913" s="37">
        <f>IF(AO913="0",BH913,0)</f>
        <v>0</v>
      </c>
      <c r="AG913" s="23"/>
      <c r="AH913" s="37">
        <f>IF(AL913=0,H913,0)</f>
        <v>0</v>
      </c>
      <c r="AI913" s="37">
        <f>IF(AL913=15,H913,0)</f>
        <v>0</v>
      </c>
      <c r="AJ913" s="37">
        <f>IF(AL913=21,H913,0)</f>
        <v>0</v>
      </c>
      <c r="AL913" s="37">
        <v>21</v>
      </c>
      <c r="AM913" s="37">
        <f>G913*0.151074851822339</f>
        <v>0</v>
      </c>
      <c r="AN913" s="37">
        <f>G913*(1-0.151074851822339)</f>
        <v>0</v>
      </c>
      <c r="AO913" s="38" t="s">
        <v>136</v>
      </c>
      <c r="AT913" s="37">
        <f>AU913+AV913</f>
        <v>0</v>
      </c>
      <c r="AU913" s="37">
        <f>F913*AM913</f>
        <v>0</v>
      </c>
      <c r="AV913" s="37">
        <f>F913*AN913</f>
        <v>0</v>
      </c>
      <c r="AW913" s="38" t="s">
        <v>1671</v>
      </c>
      <c r="AX913" s="38" t="s">
        <v>1672</v>
      </c>
      <c r="AY913" s="23" t="s">
        <v>97</v>
      </c>
      <c r="BA913" s="37">
        <f>AU913+AV913</f>
        <v>0</v>
      </c>
      <c r="BB913" s="37">
        <f>G913/(100-BC913)*100</f>
        <v>0</v>
      </c>
      <c r="BC913" s="37">
        <v>0</v>
      </c>
      <c r="BD913" s="37">
        <f>J913</f>
        <v>1.3701189499999997</v>
      </c>
      <c r="BF913" s="37">
        <f>F913*AM913</f>
        <v>0</v>
      </c>
      <c r="BG913" s="37">
        <f>F913*AN913</f>
        <v>0</v>
      </c>
      <c r="BH913" s="37">
        <f>F913*G913</f>
        <v>0</v>
      </c>
    </row>
    <row r="914" spans="1:11" ht="12.75">
      <c r="A914" s="39"/>
      <c r="B914" s="40"/>
      <c r="C914" s="40"/>
      <c r="D914" s="41" t="s">
        <v>1673</v>
      </c>
      <c r="E914" s="40"/>
      <c r="F914" s="42">
        <v>14.427</v>
      </c>
      <c r="G914" s="40"/>
      <c r="H914" s="40"/>
      <c r="I914" s="43"/>
      <c r="J914" s="43"/>
      <c r="K914" s="40"/>
    </row>
    <row r="915" spans="1:11" ht="12.75">
      <c r="A915" s="39"/>
      <c r="B915" s="40"/>
      <c r="C915" s="40"/>
      <c r="D915" s="41" t="s">
        <v>1674</v>
      </c>
      <c r="E915" s="40"/>
      <c r="F915" s="42">
        <v>216.5</v>
      </c>
      <c r="G915" s="40"/>
      <c r="H915" s="40"/>
      <c r="I915" s="43"/>
      <c r="J915" s="43"/>
      <c r="K915" s="40"/>
    </row>
    <row r="916" spans="1:11" ht="12.75">
      <c r="A916" s="39"/>
      <c r="B916" s="40"/>
      <c r="C916" s="40"/>
      <c r="D916" s="41" t="s">
        <v>1675</v>
      </c>
      <c r="E916" s="40"/>
      <c r="F916" s="42">
        <v>25.17</v>
      </c>
      <c r="G916" s="40"/>
      <c r="H916" s="40"/>
      <c r="I916" s="43"/>
      <c r="J916" s="43"/>
      <c r="K916" s="40"/>
    </row>
    <row r="917" spans="1:60" ht="12.75">
      <c r="A917" s="16" t="s">
        <v>1679</v>
      </c>
      <c r="B917" s="16"/>
      <c r="C917" s="16" t="s">
        <v>1680</v>
      </c>
      <c r="D917" s="32" t="s">
        <v>1681</v>
      </c>
      <c r="E917" s="16" t="s">
        <v>192</v>
      </c>
      <c r="F917" s="33">
        <v>294.512</v>
      </c>
      <c r="G917" s="422"/>
      <c r="H917" s="34">
        <f>F917*G917</f>
        <v>0</v>
      </c>
      <c r="I917" s="35">
        <v>0.01943</v>
      </c>
      <c r="J917" s="35">
        <f>F917*I917</f>
        <v>5.72236816</v>
      </c>
      <c r="K917" s="36" t="s">
        <v>94</v>
      </c>
      <c r="X917" s="37">
        <f>IF(AO917="5",BH917,0)</f>
        <v>0</v>
      </c>
      <c r="Z917" s="37">
        <f>IF(AO917="1",BF917,0)</f>
        <v>0</v>
      </c>
      <c r="AA917" s="37">
        <f>IF(AO917="1",BG917,0)</f>
        <v>0</v>
      </c>
      <c r="AB917" s="37">
        <f>IF(AO917="7",BF917,0)</f>
        <v>0</v>
      </c>
      <c r="AC917" s="37">
        <f>IF(AO917="7",BG917,0)</f>
        <v>0</v>
      </c>
      <c r="AD917" s="37">
        <f>IF(AO917="2",BF917,0)</f>
        <v>0</v>
      </c>
      <c r="AE917" s="37">
        <f>IF(AO917="2",BG917,0)</f>
        <v>0</v>
      </c>
      <c r="AF917" s="37">
        <f>IF(AO917="0",BH917,0)</f>
        <v>0</v>
      </c>
      <c r="AG917" s="23"/>
      <c r="AH917" s="37">
        <f>IF(AL917=0,H917,0)</f>
        <v>0</v>
      </c>
      <c r="AI917" s="37">
        <f>IF(AL917=15,H917,0)</f>
        <v>0</v>
      </c>
      <c r="AJ917" s="37">
        <f>IF(AL917=21,H917,0)</f>
        <v>0</v>
      </c>
      <c r="AL917" s="37">
        <v>21</v>
      </c>
      <c r="AM917" s="37">
        <f>G917*1</f>
        <v>0</v>
      </c>
      <c r="AN917" s="37">
        <f>G917*(1-1)</f>
        <v>0</v>
      </c>
      <c r="AO917" s="38" t="s">
        <v>136</v>
      </c>
      <c r="AT917" s="37">
        <f>AU917+AV917</f>
        <v>0</v>
      </c>
      <c r="AU917" s="37">
        <f>F917*AM917</f>
        <v>0</v>
      </c>
      <c r="AV917" s="37">
        <f>F917*AN917</f>
        <v>0</v>
      </c>
      <c r="AW917" s="38" t="s">
        <v>1671</v>
      </c>
      <c r="AX917" s="38" t="s">
        <v>1672</v>
      </c>
      <c r="AY917" s="23" t="s">
        <v>97</v>
      </c>
      <c r="BA917" s="37">
        <f>AU917+AV917</f>
        <v>0</v>
      </c>
      <c r="BB917" s="37">
        <f>G917/(100-BC917)*100</f>
        <v>0</v>
      </c>
      <c r="BC917" s="37">
        <v>0</v>
      </c>
      <c r="BD917" s="37">
        <f>J917</f>
        <v>5.72236816</v>
      </c>
      <c r="BF917" s="37">
        <f>F917*AM917</f>
        <v>0</v>
      </c>
      <c r="BG917" s="37">
        <f>F917*AN917</f>
        <v>0</v>
      </c>
      <c r="BH917" s="37">
        <f>F917*G917</f>
        <v>0</v>
      </c>
    </row>
    <row r="918" spans="1:11" ht="12.75">
      <c r="A918" s="39"/>
      <c r="B918" s="40"/>
      <c r="C918" s="40"/>
      <c r="D918" s="41" t="s">
        <v>1682</v>
      </c>
      <c r="E918" s="40"/>
      <c r="F918" s="42">
        <v>16.591</v>
      </c>
      <c r="G918" s="40"/>
      <c r="H918" s="40"/>
      <c r="I918" s="43"/>
      <c r="J918" s="43"/>
      <c r="K918" s="40"/>
    </row>
    <row r="919" spans="1:11" ht="12.75">
      <c r="A919" s="39"/>
      <c r="B919" s="40"/>
      <c r="C919" s="40"/>
      <c r="D919" s="41" t="s">
        <v>1683</v>
      </c>
      <c r="E919" s="40"/>
      <c r="F919" s="42">
        <v>277.921</v>
      </c>
      <c r="G919" s="40"/>
      <c r="H919" s="40"/>
      <c r="I919" s="43"/>
      <c r="J919" s="43"/>
      <c r="K919" s="40"/>
    </row>
    <row r="920" spans="1:60" ht="12.75">
      <c r="A920" s="16" t="s">
        <v>1684</v>
      </c>
      <c r="B920" s="16"/>
      <c r="C920" s="16" t="s">
        <v>1685</v>
      </c>
      <c r="D920" s="32" t="s">
        <v>1686</v>
      </c>
      <c r="E920" s="16" t="s">
        <v>192</v>
      </c>
      <c r="F920" s="33">
        <v>270.524</v>
      </c>
      <c r="G920" s="422"/>
      <c r="H920" s="34">
        <f>F920*G920</f>
        <v>0</v>
      </c>
      <c r="I920" s="35">
        <v>0.0009</v>
      </c>
      <c r="J920" s="35">
        <f>F920*I920</f>
        <v>0.24347159999999998</v>
      </c>
      <c r="K920" s="36" t="s">
        <v>94</v>
      </c>
      <c r="X920" s="37">
        <f>IF(AO920="5",BH920,0)</f>
        <v>0</v>
      </c>
      <c r="Z920" s="37">
        <f>IF(AO920="1",BF920,0)</f>
        <v>0</v>
      </c>
      <c r="AA920" s="37">
        <f>IF(AO920="1",BG920,0)</f>
        <v>0</v>
      </c>
      <c r="AB920" s="37">
        <f>IF(AO920="7",BF920,0)</f>
        <v>0</v>
      </c>
      <c r="AC920" s="37">
        <f>IF(AO920="7",BG920,0)</f>
        <v>0</v>
      </c>
      <c r="AD920" s="37">
        <f>IF(AO920="2",BF920,0)</f>
        <v>0</v>
      </c>
      <c r="AE920" s="37">
        <f>IF(AO920="2",BG920,0)</f>
        <v>0</v>
      </c>
      <c r="AF920" s="37">
        <f>IF(AO920="0",BH920,0)</f>
        <v>0</v>
      </c>
      <c r="AG920" s="23"/>
      <c r="AH920" s="37">
        <f>IF(AL920=0,H920,0)</f>
        <v>0</v>
      </c>
      <c r="AI920" s="37">
        <f>IF(AL920=15,H920,0)</f>
        <v>0</v>
      </c>
      <c r="AJ920" s="37">
        <f>IF(AL920=21,H920,0)</f>
        <v>0</v>
      </c>
      <c r="AL920" s="37">
        <v>21</v>
      </c>
      <c r="AM920" s="37">
        <f>G920*1.00000070410139</f>
        <v>0</v>
      </c>
      <c r="AN920" s="37">
        <f>G920*(1-1.00000070410139)</f>
        <v>0</v>
      </c>
      <c r="AO920" s="38" t="s">
        <v>136</v>
      </c>
      <c r="AT920" s="37">
        <f>AU920+AV920</f>
        <v>0</v>
      </c>
      <c r="AU920" s="37">
        <f>F920*AM920</f>
        <v>0</v>
      </c>
      <c r="AV920" s="37">
        <f>F920*AN920</f>
        <v>0</v>
      </c>
      <c r="AW920" s="38" t="s">
        <v>1671</v>
      </c>
      <c r="AX920" s="38" t="s">
        <v>1672</v>
      </c>
      <c r="AY920" s="23" t="s">
        <v>97</v>
      </c>
      <c r="BA920" s="37">
        <f>AU920+AV920</f>
        <v>0</v>
      </c>
      <c r="BB920" s="37">
        <f>G920/(100-BC920)*100</f>
        <v>0</v>
      </c>
      <c r="BC920" s="37">
        <v>0</v>
      </c>
      <c r="BD920" s="37">
        <f>J920</f>
        <v>0.24347159999999998</v>
      </c>
      <c r="BF920" s="37">
        <f>F920*AM920</f>
        <v>0</v>
      </c>
      <c r="BG920" s="37">
        <f>F920*AN920</f>
        <v>0</v>
      </c>
      <c r="BH920" s="37">
        <f>F920*G920</f>
        <v>0</v>
      </c>
    </row>
    <row r="921" spans="1:11" ht="12.75">
      <c r="A921" s="39"/>
      <c r="B921" s="40"/>
      <c r="C921" s="40"/>
      <c r="D921" s="41" t="s">
        <v>1673</v>
      </c>
      <c r="E921" s="40"/>
      <c r="F921" s="42">
        <v>14.427</v>
      </c>
      <c r="G921" s="40"/>
      <c r="H921" s="40"/>
      <c r="I921" s="43"/>
      <c r="J921" s="43"/>
      <c r="K921" s="40"/>
    </row>
    <row r="922" spans="1:11" ht="12.75">
      <c r="A922" s="39"/>
      <c r="B922" s="40"/>
      <c r="C922" s="40"/>
      <c r="D922" s="41" t="s">
        <v>1673</v>
      </c>
      <c r="E922" s="40"/>
      <c r="F922" s="42">
        <v>14.427</v>
      </c>
      <c r="G922" s="40"/>
      <c r="H922" s="40"/>
      <c r="I922" s="43"/>
      <c r="J922" s="43"/>
      <c r="K922" s="40"/>
    </row>
    <row r="923" spans="1:11" ht="12.75">
      <c r="A923" s="39"/>
      <c r="B923" s="40"/>
      <c r="C923" s="40"/>
      <c r="D923" s="41" t="s">
        <v>1674</v>
      </c>
      <c r="E923" s="40"/>
      <c r="F923" s="42">
        <v>216.5</v>
      </c>
      <c r="G923" s="40"/>
      <c r="H923" s="40"/>
      <c r="I923" s="43"/>
      <c r="J923" s="43"/>
      <c r="K923" s="40"/>
    </row>
    <row r="924" spans="1:11" ht="12.75">
      <c r="A924" s="39"/>
      <c r="B924" s="40"/>
      <c r="C924" s="40"/>
      <c r="D924" s="41" t="s">
        <v>1675</v>
      </c>
      <c r="E924" s="40"/>
      <c r="F924" s="42">
        <v>25.17</v>
      </c>
      <c r="G924" s="40"/>
      <c r="H924" s="40"/>
      <c r="I924" s="43"/>
      <c r="J924" s="43"/>
      <c r="K924" s="40"/>
    </row>
    <row r="925" spans="1:60" ht="12.75">
      <c r="A925" s="44" t="s">
        <v>1687</v>
      </c>
      <c r="B925" s="44"/>
      <c r="C925" s="44" t="s">
        <v>1688</v>
      </c>
      <c r="D925" s="45" t="s">
        <v>1689</v>
      </c>
      <c r="E925" s="44" t="s">
        <v>239</v>
      </c>
      <c r="F925" s="46">
        <v>7.39</v>
      </c>
      <c r="G925" s="423"/>
      <c r="H925" s="47">
        <f>F925*G925</f>
        <v>0</v>
      </c>
      <c r="I925" s="48">
        <v>0</v>
      </c>
      <c r="J925" s="48">
        <f>F925*I925</f>
        <v>0</v>
      </c>
      <c r="K925" s="49" t="s">
        <v>94</v>
      </c>
      <c r="X925" s="37">
        <f>IF(AO925="5",BH925,0)</f>
        <v>0</v>
      </c>
      <c r="Z925" s="37">
        <f>IF(AO925="1",BF925,0)</f>
        <v>0</v>
      </c>
      <c r="AA925" s="37">
        <f>IF(AO925="1",BG925,0)</f>
        <v>0</v>
      </c>
      <c r="AB925" s="37">
        <f>IF(AO925="7",BF925,0)</f>
        <v>0</v>
      </c>
      <c r="AC925" s="37">
        <f>IF(AO925="7",BG925,0)</f>
        <v>0</v>
      </c>
      <c r="AD925" s="37">
        <f>IF(AO925="2",BF925,0)</f>
        <v>0</v>
      </c>
      <c r="AE925" s="37">
        <f>IF(AO925="2",BG925,0)</f>
        <v>0</v>
      </c>
      <c r="AF925" s="37">
        <f>IF(AO925="0",BH925,0)</f>
        <v>0</v>
      </c>
      <c r="AG925" s="23"/>
      <c r="AH925" s="37">
        <f>IF(AL925=0,H925,0)</f>
        <v>0</v>
      </c>
      <c r="AI925" s="37">
        <f>IF(AL925=15,H925,0)</f>
        <v>0</v>
      </c>
      <c r="AJ925" s="37">
        <f>IF(AL925=21,H925,0)</f>
        <v>0</v>
      </c>
      <c r="AL925" s="37">
        <v>21</v>
      </c>
      <c r="AM925" s="37">
        <f>G925*0</f>
        <v>0</v>
      </c>
      <c r="AN925" s="37">
        <f>G925*(1-0)</f>
        <v>0</v>
      </c>
      <c r="AO925" s="38" t="s">
        <v>118</v>
      </c>
      <c r="AT925" s="37">
        <f>AU925+AV925</f>
        <v>0</v>
      </c>
      <c r="AU925" s="37">
        <f>F925*AM925</f>
        <v>0</v>
      </c>
      <c r="AV925" s="37">
        <f>F925*AN925</f>
        <v>0</v>
      </c>
      <c r="AW925" s="38" t="s">
        <v>1671</v>
      </c>
      <c r="AX925" s="38" t="s">
        <v>1672</v>
      </c>
      <c r="AY925" s="23" t="s">
        <v>97</v>
      </c>
      <c r="BA925" s="37">
        <f>AU925+AV925</f>
        <v>0</v>
      </c>
      <c r="BB925" s="37">
        <f>G925/(100-BC925)*100</f>
        <v>0</v>
      </c>
      <c r="BC925" s="37">
        <v>0</v>
      </c>
      <c r="BD925" s="37">
        <f>J925</f>
        <v>0</v>
      </c>
      <c r="BF925" s="37">
        <f>F925*AM925</f>
        <v>0</v>
      </c>
      <c r="BG925" s="37">
        <f>F925*AN925</f>
        <v>0</v>
      </c>
      <c r="BH925" s="37">
        <f>F925*G925</f>
        <v>0</v>
      </c>
    </row>
    <row r="926" spans="1:11" ht="12.75">
      <c r="A926" s="50"/>
      <c r="B926" s="51"/>
      <c r="C926" s="51"/>
      <c r="D926" s="52" t="s">
        <v>1690</v>
      </c>
      <c r="E926" s="51"/>
      <c r="F926" s="53">
        <v>7.39</v>
      </c>
      <c r="G926" s="51"/>
      <c r="H926" s="51"/>
      <c r="I926" s="54"/>
      <c r="J926" s="54"/>
      <c r="K926" s="51"/>
    </row>
    <row r="927" spans="1:45" ht="12.75">
      <c r="A927" s="24"/>
      <c r="B927" s="25"/>
      <c r="C927" s="25" t="s">
        <v>1691</v>
      </c>
      <c r="D927" s="26" t="s">
        <v>1692</v>
      </c>
      <c r="E927" s="24" t="s">
        <v>54</v>
      </c>
      <c r="F927" s="24" t="s">
        <v>54</v>
      </c>
      <c r="G927" s="24"/>
      <c r="H927" s="27">
        <f>SUM(H928:H934)</f>
        <v>0</v>
      </c>
      <c r="I927" s="28"/>
      <c r="J927" s="28">
        <f>SUM(J928:J934)</f>
        <v>0.17114800000000002</v>
      </c>
      <c r="K927" s="29"/>
      <c r="AG927" s="23"/>
      <c r="AQ927" s="31">
        <f>SUM(AH928:AH933)</f>
        <v>0</v>
      </c>
      <c r="AR927" s="31">
        <f>SUM(AI928:AI933)</f>
        <v>0</v>
      </c>
      <c r="AS927" s="31">
        <f>SUM(AJ928:AJ933)</f>
        <v>0</v>
      </c>
    </row>
    <row r="928" spans="1:60" ht="12.75">
      <c r="A928" s="16" t="s">
        <v>1693</v>
      </c>
      <c r="B928" s="16"/>
      <c r="C928" s="16" t="s">
        <v>1694</v>
      </c>
      <c r="D928" s="32" t="s">
        <v>1695</v>
      </c>
      <c r="E928" s="16" t="s">
        <v>192</v>
      </c>
      <c r="F928" s="33">
        <v>31.5</v>
      </c>
      <c r="G928" s="422"/>
      <c r="H928" s="34">
        <f>F928*G928</f>
        <v>0</v>
      </c>
      <c r="I928" s="35">
        <v>0.00024</v>
      </c>
      <c r="J928" s="35">
        <f>F928*I928</f>
        <v>0.00756</v>
      </c>
      <c r="K928" s="36" t="s">
        <v>94</v>
      </c>
      <c r="X928" s="37">
        <f>IF(AO928="5",BH928,0)</f>
        <v>0</v>
      </c>
      <c r="Z928" s="37">
        <f>IF(AO928="1",BF928,0)</f>
        <v>0</v>
      </c>
      <c r="AA928" s="37">
        <f>IF(AO928="1",BG928,0)</f>
        <v>0</v>
      </c>
      <c r="AB928" s="37">
        <f>IF(AO928="7",BF928,0)</f>
        <v>0</v>
      </c>
      <c r="AC928" s="37">
        <f>IF(AO928="7",BG928,0)</f>
        <v>0</v>
      </c>
      <c r="AD928" s="37">
        <f>IF(AO928="2",BF928,0)</f>
        <v>0</v>
      </c>
      <c r="AE928" s="37">
        <f>IF(AO928="2",BG928,0)</f>
        <v>0</v>
      </c>
      <c r="AF928" s="37">
        <f>IF(AO928="0",BH928,0)</f>
        <v>0</v>
      </c>
      <c r="AG928" s="23"/>
      <c r="AH928" s="37">
        <f>IF(AL928=0,H928,0)</f>
        <v>0</v>
      </c>
      <c r="AI928" s="37">
        <f>IF(AL928=15,H928,0)</f>
        <v>0</v>
      </c>
      <c r="AJ928" s="37">
        <f>IF(AL928=21,H928,0)</f>
        <v>0</v>
      </c>
      <c r="AL928" s="37">
        <v>21</v>
      </c>
      <c r="AM928" s="37">
        <f>G928*0.170291262135922</f>
        <v>0</v>
      </c>
      <c r="AN928" s="37">
        <f>G928*(1-0.170291262135922)</f>
        <v>0</v>
      </c>
      <c r="AO928" s="38" t="s">
        <v>136</v>
      </c>
      <c r="AT928" s="37">
        <f>AU928+AV928</f>
        <v>0</v>
      </c>
      <c r="AU928" s="37">
        <f>F928*AM928</f>
        <v>0</v>
      </c>
      <c r="AV928" s="37">
        <f>F928*AN928</f>
        <v>0</v>
      </c>
      <c r="AW928" s="38" t="s">
        <v>1696</v>
      </c>
      <c r="AX928" s="38" t="s">
        <v>1672</v>
      </c>
      <c r="AY928" s="23" t="s">
        <v>97</v>
      </c>
      <c r="BA928" s="37">
        <f>AU928+AV928</f>
        <v>0</v>
      </c>
      <c r="BB928" s="37">
        <f>G928/(100-BC928)*100</f>
        <v>0</v>
      </c>
      <c r="BC928" s="37">
        <v>0</v>
      </c>
      <c r="BD928" s="37">
        <f>J928</f>
        <v>0.00756</v>
      </c>
      <c r="BF928" s="37">
        <f>F928*AM928</f>
        <v>0</v>
      </c>
      <c r="BG928" s="37">
        <f>F928*AN928</f>
        <v>0</v>
      </c>
      <c r="BH928" s="37">
        <f>F928*G928</f>
        <v>0</v>
      </c>
    </row>
    <row r="929" spans="1:11" ht="12.75">
      <c r="A929" s="39"/>
      <c r="B929" s="40"/>
      <c r="C929" s="40"/>
      <c r="D929" s="41" t="s">
        <v>1697</v>
      </c>
      <c r="E929" s="40"/>
      <c r="F929" s="42">
        <v>31.5</v>
      </c>
      <c r="G929" s="40"/>
      <c r="H929" s="40"/>
      <c r="I929" s="43"/>
      <c r="J929" s="43"/>
      <c r="K929" s="40"/>
    </row>
    <row r="930" spans="1:60" ht="12.75">
      <c r="A930" s="16" t="s">
        <v>1698</v>
      </c>
      <c r="B930" s="16"/>
      <c r="C930" s="16" t="s">
        <v>1699</v>
      </c>
      <c r="D930" s="32" t="s">
        <v>1700</v>
      </c>
      <c r="E930" s="16" t="s">
        <v>192</v>
      </c>
      <c r="F930" s="33">
        <v>830</v>
      </c>
      <c r="G930" s="422"/>
      <c r="H930" s="34">
        <f>F930*G930</f>
        <v>0</v>
      </c>
      <c r="I930" s="35">
        <v>0.00017</v>
      </c>
      <c r="J930" s="35">
        <f>F930*I930</f>
        <v>0.1411</v>
      </c>
      <c r="K930" s="36" t="s">
        <v>94</v>
      </c>
      <c r="X930" s="37">
        <f>IF(AO930="5",BH930,0)</f>
        <v>0</v>
      </c>
      <c r="Z930" s="37">
        <f>IF(AO930="1",BF930,0)</f>
        <v>0</v>
      </c>
      <c r="AA930" s="37">
        <f>IF(AO930="1",BG930,0)</f>
        <v>0</v>
      </c>
      <c r="AB930" s="37">
        <f>IF(AO930="7",BF930,0)</f>
        <v>0</v>
      </c>
      <c r="AC930" s="37">
        <f>IF(AO930="7",BG930,0)</f>
        <v>0</v>
      </c>
      <c r="AD930" s="37">
        <f>IF(AO930="2",BF930,0)</f>
        <v>0</v>
      </c>
      <c r="AE930" s="37">
        <f>IF(AO930="2",BG930,0)</f>
        <v>0</v>
      </c>
      <c r="AF930" s="37">
        <f>IF(AO930="0",BH930,0)</f>
        <v>0</v>
      </c>
      <c r="AG930" s="23"/>
      <c r="AH930" s="37">
        <f>IF(AL930=0,H930,0)</f>
        <v>0</v>
      </c>
      <c r="AI930" s="37">
        <f>IF(AL930=15,H930,0)</f>
        <v>0</v>
      </c>
      <c r="AJ930" s="37">
        <f>IF(AL930=21,H930,0)</f>
        <v>0</v>
      </c>
      <c r="AL930" s="37">
        <v>21</v>
      </c>
      <c r="AM930" s="37">
        <f>G930*0.554957507082153</f>
        <v>0</v>
      </c>
      <c r="AN930" s="37">
        <f>G930*(1-0.554957507082153)</f>
        <v>0</v>
      </c>
      <c r="AO930" s="38" t="s">
        <v>136</v>
      </c>
      <c r="AT930" s="37">
        <f>AU930+AV930</f>
        <v>0</v>
      </c>
      <c r="AU930" s="37">
        <f>F930*AM930</f>
        <v>0</v>
      </c>
      <c r="AV930" s="37">
        <f>F930*AN930</f>
        <v>0</v>
      </c>
      <c r="AW930" s="38" t="s">
        <v>1696</v>
      </c>
      <c r="AX930" s="38" t="s">
        <v>1672</v>
      </c>
      <c r="AY930" s="23" t="s">
        <v>97</v>
      </c>
      <c r="BA930" s="37">
        <f>AU930+AV930</f>
        <v>0</v>
      </c>
      <c r="BB930" s="37">
        <f>G930/(100-BC930)*100</f>
        <v>0</v>
      </c>
      <c r="BC930" s="37">
        <v>0</v>
      </c>
      <c r="BD930" s="37">
        <f>J930</f>
        <v>0.1411</v>
      </c>
      <c r="BF930" s="37">
        <f>F930*AM930</f>
        <v>0</v>
      </c>
      <c r="BG930" s="37">
        <f>F930*AN930</f>
        <v>0</v>
      </c>
      <c r="BH930" s="37">
        <f>F930*G930</f>
        <v>0</v>
      </c>
    </row>
    <row r="931" spans="1:11" ht="12.75">
      <c r="A931" s="39"/>
      <c r="B931" s="40"/>
      <c r="C931" s="40"/>
      <c r="D931" s="41" t="s">
        <v>1701</v>
      </c>
      <c r="E931" s="40"/>
      <c r="F931" s="42">
        <v>480</v>
      </c>
      <c r="G931" s="40"/>
      <c r="H931" s="40"/>
      <c r="I931" s="43"/>
      <c r="J931" s="43"/>
      <c r="K931" s="40"/>
    </row>
    <row r="932" spans="1:11" ht="12.75">
      <c r="A932" s="39"/>
      <c r="B932" s="40"/>
      <c r="C932" s="40"/>
      <c r="D932" s="41" t="s">
        <v>1702</v>
      </c>
      <c r="E932" s="40"/>
      <c r="F932" s="42">
        <v>350</v>
      </c>
      <c r="G932" s="40"/>
      <c r="H932" s="40"/>
      <c r="I932" s="43"/>
      <c r="J932" s="43"/>
      <c r="K932" s="40"/>
    </row>
    <row r="933" spans="1:60" ht="12.75">
      <c r="A933" s="16" t="s">
        <v>1703</v>
      </c>
      <c r="B933" s="16"/>
      <c r="C933" s="16" t="s">
        <v>1704</v>
      </c>
      <c r="D933" s="32" t="s">
        <v>1705</v>
      </c>
      <c r="E933" s="16" t="s">
        <v>192</v>
      </c>
      <c r="F933" s="33">
        <v>56.22</v>
      </c>
      <c r="G933" s="422"/>
      <c r="H933" s="34">
        <f>F933*G933</f>
        <v>0</v>
      </c>
      <c r="I933" s="35">
        <v>0.0004</v>
      </c>
      <c r="J933" s="35">
        <f>F933*I933</f>
        <v>0.022488</v>
      </c>
      <c r="K933" s="36" t="s">
        <v>226</v>
      </c>
      <c r="X933" s="37">
        <f>IF(AO933="5",BH933,0)</f>
        <v>0</v>
      </c>
      <c r="Z933" s="37">
        <f>IF(AO933="1",BF933,0)</f>
        <v>0</v>
      </c>
      <c r="AA933" s="37">
        <f>IF(AO933="1",BG933,0)</f>
        <v>0</v>
      </c>
      <c r="AB933" s="37">
        <f>IF(AO933="7",BF933,0)</f>
        <v>0</v>
      </c>
      <c r="AC933" s="37">
        <f>IF(AO933="7",BG933,0)</f>
        <v>0</v>
      </c>
      <c r="AD933" s="37">
        <f>IF(AO933="2",BF933,0)</f>
        <v>0</v>
      </c>
      <c r="AE933" s="37">
        <f>IF(AO933="2",BG933,0)</f>
        <v>0</v>
      </c>
      <c r="AF933" s="37">
        <f>IF(AO933="0",BH933,0)</f>
        <v>0</v>
      </c>
      <c r="AG933" s="23"/>
      <c r="AH933" s="37">
        <f>IF(AL933=0,H936,0)</f>
        <v>0</v>
      </c>
      <c r="AI933" s="37">
        <f>IF(AL933=15,H936,0)</f>
        <v>0</v>
      </c>
      <c r="AJ933" s="37">
        <f>IF(AL933=21,H936,0)</f>
        <v>0</v>
      </c>
      <c r="AL933" s="37">
        <v>21</v>
      </c>
      <c r="AM933" s="37">
        <f>G936*0.267967651779655</f>
        <v>0</v>
      </c>
      <c r="AN933" s="37">
        <f>G936*(1-0.267967651779655)</f>
        <v>0</v>
      </c>
      <c r="AO933" s="38" t="s">
        <v>136</v>
      </c>
      <c r="AT933" s="37">
        <f>AU933+AV933</f>
        <v>0</v>
      </c>
      <c r="AU933" s="37">
        <f>F936*AM933</f>
        <v>0</v>
      </c>
      <c r="AV933" s="37">
        <f>F936*AN933</f>
        <v>0</v>
      </c>
      <c r="AW933" s="38" t="s">
        <v>1696</v>
      </c>
      <c r="AX933" s="38" t="s">
        <v>1672</v>
      </c>
      <c r="AY933" s="23" t="s">
        <v>97</v>
      </c>
      <c r="BA933" s="37">
        <f>AU933+AV933</f>
        <v>0</v>
      </c>
      <c r="BB933" s="37">
        <f>G936/(100-BC933)*100</f>
        <v>0</v>
      </c>
      <c r="BC933" s="37">
        <v>0</v>
      </c>
      <c r="BD933" s="37">
        <f>J936</f>
        <v>0.16701467999999997</v>
      </c>
      <c r="BF933" s="37">
        <f>F936*AM933</f>
        <v>0</v>
      </c>
      <c r="BG933" s="37">
        <f>F936*AN933</f>
        <v>0</v>
      </c>
      <c r="BH933" s="37">
        <f>F936*G936</f>
        <v>0</v>
      </c>
    </row>
    <row r="934" spans="1:11" ht="12.75">
      <c r="A934" s="39"/>
      <c r="B934" s="40"/>
      <c r="C934" s="40"/>
      <c r="D934" s="41" t="s">
        <v>1706</v>
      </c>
      <c r="E934" s="40"/>
      <c r="F934" s="42">
        <v>56.22</v>
      </c>
      <c r="G934" s="40"/>
      <c r="H934" s="40"/>
      <c r="I934" s="43"/>
      <c r="J934" s="43"/>
      <c r="K934" s="40"/>
    </row>
    <row r="935" spans="1:45" ht="12.75">
      <c r="A935" s="24"/>
      <c r="B935" s="25"/>
      <c r="C935" s="25" t="s">
        <v>1707</v>
      </c>
      <c r="D935" s="26" t="s">
        <v>1708</v>
      </c>
      <c r="E935" s="24" t="s">
        <v>54</v>
      </c>
      <c r="F935" s="24" t="s">
        <v>54</v>
      </c>
      <c r="G935" s="24"/>
      <c r="H935" s="27">
        <f>SUM(H936:H939)</f>
        <v>0</v>
      </c>
      <c r="I935" s="28"/>
      <c r="J935" s="28">
        <f>SUM(J936:J939)</f>
        <v>0.5487625199999999</v>
      </c>
      <c r="K935" s="29"/>
      <c r="AG935" s="23"/>
      <c r="AQ935" s="31">
        <f>SUM(AH936:AH936)</f>
        <v>0</v>
      </c>
      <c r="AR935" s="31">
        <f>SUM(AI936:AI936)</f>
        <v>0</v>
      </c>
      <c r="AS935" s="31">
        <f>SUM(AJ936:AJ936)</f>
        <v>0</v>
      </c>
    </row>
    <row r="936" spans="1:60" ht="12.75">
      <c r="A936" s="44" t="s">
        <v>1709</v>
      </c>
      <c r="B936" s="44"/>
      <c r="C936" s="44" t="s">
        <v>1710</v>
      </c>
      <c r="D936" s="45" t="s">
        <v>1711</v>
      </c>
      <c r="E936" s="44" t="s">
        <v>192</v>
      </c>
      <c r="F936" s="46">
        <v>2385.924</v>
      </c>
      <c r="G936" s="423"/>
      <c r="H936" s="47">
        <f>F936*G936</f>
        <v>0</v>
      </c>
      <c r="I936" s="48">
        <v>7E-05</v>
      </c>
      <c r="J936" s="48">
        <f>F936*I936</f>
        <v>0.16701467999999997</v>
      </c>
      <c r="K936" s="49" t="s">
        <v>94</v>
      </c>
      <c r="X936" s="37">
        <f>IF(AO936="5",BH936,0)</f>
        <v>0</v>
      </c>
      <c r="Z936" s="37">
        <f>IF(AO936="1",BF936,0)</f>
        <v>0</v>
      </c>
      <c r="AA936" s="37">
        <f>IF(AO936="1",BG936,0)</f>
        <v>0</v>
      </c>
      <c r="AB936" s="37">
        <f>IF(AO936="7",BF936,0)</f>
        <v>0</v>
      </c>
      <c r="AC936" s="37">
        <f>IF(AO936="7",BG936,0)</f>
        <v>0</v>
      </c>
      <c r="AD936" s="37">
        <f>IF(AO936="2",BF936,0)</f>
        <v>0</v>
      </c>
      <c r="AE936" s="37">
        <f>IF(AO936="2",BG936,0)</f>
        <v>0</v>
      </c>
      <c r="AF936" s="37">
        <f>IF(AO936="0",BH936,0)</f>
        <v>0</v>
      </c>
      <c r="AG936" s="23"/>
      <c r="AH936" s="37">
        <f>IF(AL936=0,H939,0)</f>
        <v>0</v>
      </c>
      <c r="AI936" s="37">
        <f>IF(AL936=15,H939,0)</f>
        <v>0</v>
      </c>
      <c r="AJ936" s="37">
        <f>IF(AL936=21,H939,0)</f>
        <v>0</v>
      </c>
      <c r="AL936" s="37">
        <v>21</v>
      </c>
      <c r="AM936" s="37">
        <f>G939*0.112580643639182</f>
        <v>0</v>
      </c>
      <c r="AN936" s="37">
        <f>G939*(1-0.112580643639182)</f>
        <v>0</v>
      </c>
      <c r="AO936" s="38" t="s">
        <v>136</v>
      </c>
      <c r="AT936" s="37">
        <f>AU936+AV936</f>
        <v>0</v>
      </c>
      <c r="AU936" s="37">
        <f>F939*AM936</f>
        <v>0</v>
      </c>
      <c r="AV936" s="37">
        <f>F939*AN936</f>
        <v>0</v>
      </c>
      <c r="AW936" s="38" t="s">
        <v>1712</v>
      </c>
      <c r="AX936" s="38" t="s">
        <v>1672</v>
      </c>
      <c r="AY936" s="23" t="s">
        <v>97</v>
      </c>
      <c r="BA936" s="37">
        <f>AU936+AV936</f>
        <v>0</v>
      </c>
      <c r="BB936" s="37">
        <f>G939/(100-BC936)*100</f>
        <v>0</v>
      </c>
      <c r="BC936" s="37">
        <v>0</v>
      </c>
      <c r="BD936" s="37">
        <f>J939</f>
        <v>0.38174784</v>
      </c>
      <c r="BF936" s="37">
        <f>F939*AM936</f>
        <v>0</v>
      </c>
      <c r="BG936" s="37">
        <f>F939*AN936</f>
        <v>0</v>
      </c>
      <c r="BH936" s="37">
        <f>F939*G939</f>
        <v>0</v>
      </c>
    </row>
    <row r="937" spans="1:60" ht="12.75">
      <c r="A937" s="50"/>
      <c r="B937" s="51"/>
      <c r="C937" s="51"/>
      <c r="D937" s="52" t="s">
        <v>1713</v>
      </c>
      <c r="E937" s="51"/>
      <c r="F937" s="53">
        <v>1202.026</v>
      </c>
      <c r="G937" s="51"/>
      <c r="H937" s="51"/>
      <c r="I937" s="54"/>
      <c r="J937" s="54"/>
      <c r="K937" s="51"/>
      <c r="X937" s="37"/>
      <c r="Z937" s="37"/>
      <c r="AA937" s="37"/>
      <c r="AB937" s="37"/>
      <c r="AC937" s="37"/>
      <c r="AD937" s="37"/>
      <c r="AE937" s="37"/>
      <c r="AF937" s="37"/>
      <c r="AG937" s="23"/>
      <c r="AH937" s="37"/>
      <c r="AI937" s="37"/>
      <c r="AJ937" s="37"/>
      <c r="AL937" s="37"/>
      <c r="AM937" s="37"/>
      <c r="AN937" s="37"/>
      <c r="AO937" s="38"/>
      <c r="AT937" s="37"/>
      <c r="AU937" s="37"/>
      <c r="AV937" s="37"/>
      <c r="AW937" s="38"/>
      <c r="AX937" s="38"/>
      <c r="AY937" s="23"/>
      <c r="BA937" s="37"/>
      <c r="BB937" s="37"/>
      <c r="BC937" s="37"/>
      <c r="BD937" s="37"/>
      <c r="BF937" s="37"/>
      <c r="BG937" s="37"/>
      <c r="BH937" s="37"/>
    </row>
    <row r="938" spans="1:60" ht="12.75">
      <c r="A938" s="50"/>
      <c r="B938" s="51"/>
      <c r="C938" s="51"/>
      <c r="D938" s="52" t="s">
        <v>1714</v>
      </c>
      <c r="E938" s="51"/>
      <c r="F938" s="53">
        <v>1183.898</v>
      </c>
      <c r="G938" s="51"/>
      <c r="H938" s="51"/>
      <c r="I938" s="54"/>
      <c r="J938" s="54"/>
      <c r="K938" s="51"/>
      <c r="X938" s="37"/>
      <c r="Z938" s="37"/>
      <c r="AA938" s="37"/>
      <c r="AB938" s="37"/>
      <c r="AC938" s="37"/>
      <c r="AD938" s="37"/>
      <c r="AE938" s="37"/>
      <c r="AF938" s="37"/>
      <c r="AG938" s="23"/>
      <c r="AH938" s="37"/>
      <c r="AI938" s="37"/>
      <c r="AJ938" s="37"/>
      <c r="AL938" s="37"/>
      <c r="AM938" s="37"/>
      <c r="AN938" s="37"/>
      <c r="AO938" s="38"/>
      <c r="AT938" s="37"/>
      <c r="AU938" s="37"/>
      <c r="AV938" s="37"/>
      <c r="AW938" s="38"/>
      <c r="AX938" s="38"/>
      <c r="AY938" s="23"/>
      <c r="BA938" s="37"/>
      <c r="BB938" s="37"/>
      <c r="BC938" s="37"/>
      <c r="BD938" s="37"/>
      <c r="BF938" s="37"/>
      <c r="BG938" s="37"/>
      <c r="BH938" s="37"/>
    </row>
    <row r="939" spans="1:60" ht="12.75">
      <c r="A939" s="44" t="s">
        <v>1715</v>
      </c>
      <c r="B939" s="44"/>
      <c r="C939" s="44" t="s">
        <v>1716</v>
      </c>
      <c r="D939" s="45" t="s">
        <v>1717</v>
      </c>
      <c r="E939" s="44" t="s">
        <v>192</v>
      </c>
      <c r="F939" s="46">
        <v>2385.924</v>
      </c>
      <c r="G939" s="423"/>
      <c r="H939" s="47">
        <f>F939*G939</f>
        <v>0</v>
      </c>
      <c r="I939" s="48">
        <v>0.00016</v>
      </c>
      <c r="J939" s="48">
        <f>F939*I939</f>
        <v>0.38174784</v>
      </c>
      <c r="K939" s="49" t="s">
        <v>94</v>
      </c>
      <c r="X939" s="37"/>
      <c r="Z939" s="37"/>
      <c r="AA939" s="37"/>
      <c r="AB939" s="37"/>
      <c r="AC939" s="37"/>
      <c r="AD939" s="37"/>
      <c r="AE939" s="37"/>
      <c r="AF939" s="37"/>
      <c r="AG939" s="23"/>
      <c r="AH939" s="37"/>
      <c r="AI939" s="37"/>
      <c r="AJ939" s="37"/>
      <c r="AL939" s="37"/>
      <c r="AM939" s="37"/>
      <c r="AN939" s="37"/>
      <c r="AO939" s="38"/>
      <c r="AT939" s="37"/>
      <c r="AU939" s="37"/>
      <c r="AV939" s="37"/>
      <c r="AW939" s="38"/>
      <c r="AX939" s="38"/>
      <c r="AY939" s="23"/>
      <c r="BA939" s="37"/>
      <c r="BB939" s="37"/>
      <c r="BC939" s="37"/>
      <c r="BD939" s="37"/>
      <c r="BF939" s="37"/>
      <c r="BG939" s="37"/>
      <c r="BH939" s="37"/>
    </row>
    <row r="940" spans="1:11" ht="12.75">
      <c r="A940" s="50"/>
      <c r="B940" s="51"/>
      <c r="C940" s="51"/>
      <c r="D940" s="52" t="s">
        <v>1713</v>
      </c>
      <c r="E940" s="51"/>
      <c r="F940" s="53">
        <v>1202.026</v>
      </c>
      <c r="G940" s="51"/>
      <c r="H940" s="51"/>
      <c r="I940" s="54"/>
      <c r="J940" s="54"/>
      <c r="K940" s="51"/>
    </row>
    <row r="941" spans="1:11" ht="12.75">
      <c r="A941" s="50"/>
      <c r="B941" s="51"/>
      <c r="C941" s="51"/>
      <c r="D941" s="52" t="s">
        <v>1714</v>
      </c>
      <c r="E941" s="51"/>
      <c r="F941" s="53">
        <v>1183.898</v>
      </c>
      <c r="G941" s="51"/>
      <c r="H941" s="51"/>
      <c r="I941" s="54"/>
      <c r="J941" s="54"/>
      <c r="K941" s="51"/>
    </row>
    <row r="942" spans="1:45" ht="13.5" thickBot="1">
      <c r="A942" s="24"/>
      <c r="B942" s="25"/>
      <c r="C942" s="25" t="s">
        <v>1718</v>
      </c>
      <c r="D942" s="26" t="s">
        <v>1719</v>
      </c>
      <c r="E942" s="24" t="s">
        <v>54</v>
      </c>
      <c r="F942" s="24" t="s">
        <v>54</v>
      </c>
      <c r="G942" s="358" t="s">
        <v>54</v>
      </c>
      <c r="H942" s="27">
        <f>SUM(H943:H955)</f>
        <v>0</v>
      </c>
      <c r="I942" s="28"/>
      <c r="J942" s="28">
        <f>SUM(J943:J955)</f>
        <v>0.00105</v>
      </c>
      <c r="K942" s="29"/>
      <c r="AG942" s="23"/>
      <c r="AQ942" s="31">
        <f>SUM(AH943:AH957)</f>
        <v>0</v>
      </c>
      <c r="AR942" s="31">
        <f>SUM(AI943:AI957)</f>
        <v>0</v>
      </c>
      <c r="AS942" s="31">
        <f>SUM(AJ943:AJ957)</f>
        <v>0</v>
      </c>
    </row>
    <row r="943" spans="1:60" ht="13.5" thickBot="1">
      <c r="A943" s="343" t="s">
        <v>1720</v>
      </c>
      <c r="B943" s="16"/>
      <c r="C943" s="16" t="s">
        <v>1721</v>
      </c>
      <c r="D943" s="32" t="s">
        <v>1722</v>
      </c>
      <c r="E943" s="16" t="s">
        <v>469</v>
      </c>
      <c r="F943" s="356">
        <v>1</v>
      </c>
      <c r="G943" s="360">
        <f>SUM('361 - Elektro'!AH19)</f>
        <v>0</v>
      </c>
      <c r="H943" s="357">
        <f>F943*G943</f>
        <v>0</v>
      </c>
      <c r="I943" s="35">
        <v>0</v>
      </c>
      <c r="J943" s="35">
        <f>F943*I943</f>
        <v>0</v>
      </c>
      <c r="K943" s="36" t="s">
        <v>226</v>
      </c>
      <c r="M943" s="56"/>
      <c r="N943" t="s">
        <v>2524</v>
      </c>
      <c r="P943" s="75" t="s">
        <v>2524</v>
      </c>
      <c r="X943" s="37">
        <f>IF(AO943="5",BH943,0)</f>
        <v>0</v>
      </c>
      <c r="Z943" s="37">
        <f>IF(AO943="1",BF943,0)</f>
        <v>0</v>
      </c>
      <c r="AA943" s="37">
        <f>IF(AO943="1",BG943,0)</f>
        <v>0</v>
      </c>
      <c r="AB943" s="37">
        <f>IF(AO943="7",BF943,0)</f>
        <v>0</v>
      </c>
      <c r="AC943" s="37">
        <f>IF(AO943="7",BG943,0)</f>
        <v>0</v>
      </c>
      <c r="AD943" s="37">
        <f>IF(AO943="2",BF943,0)</f>
        <v>0</v>
      </c>
      <c r="AE943" s="37">
        <f>IF(AO943="2",BG943,0)</f>
        <v>0</v>
      </c>
      <c r="AF943" s="37">
        <f>IF(AO943="0",BH943,0)</f>
        <v>0</v>
      </c>
      <c r="AG943" s="23"/>
      <c r="AH943" s="37">
        <f>IF(AL943=0,H943,0)</f>
        <v>0</v>
      </c>
      <c r="AI943" s="37">
        <f>IF(AL943=15,H943,0)</f>
        <v>0</v>
      </c>
      <c r="AJ943" s="37">
        <f>IF(AL943=21,H943,0)</f>
        <v>0</v>
      </c>
      <c r="AL943" s="37">
        <v>21</v>
      </c>
      <c r="AM943" s="37">
        <f>G943*0</f>
        <v>0</v>
      </c>
      <c r="AN943" s="37">
        <f>G943*(1-0)</f>
        <v>0</v>
      </c>
      <c r="AO943" s="38" t="s">
        <v>99</v>
      </c>
      <c r="AT943" s="37">
        <f>AU943+AV943</f>
        <v>0</v>
      </c>
      <c r="AU943" s="37">
        <f>F943*AM943</f>
        <v>0</v>
      </c>
      <c r="AV943" s="37">
        <f>F943*AN943</f>
        <v>0</v>
      </c>
      <c r="AW943" s="38" t="s">
        <v>1723</v>
      </c>
      <c r="AX943" s="38" t="s">
        <v>629</v>
      </c>
      <c r="AY943" s="23" t="s">
        <v>97</v>
      </c>
      <c r="BA943" s="37">
        <f>AU943+AV943</f>
        <v>0</v>
      </c>
      <c r="BB943" s="37">
        <f>G943/(100-BC943)*100</f>
        <v>0</v>
      </c>
      <c r="BC943" s="37">
        <v>0</v>
      </c>
      <c r="BD943" s="37">
        <f>J943</f>
        <v>0</v>
      </c>
      <c r="BF943" s="37">
        <f>F943*AM943</f>
        <v>0</v>
      </c>
      <c r="BG943" s="37">
        <f>F943*AN943</f>
        <v>0</v>
      </c>
      <c r="BH943" s="37">
        <f>F943*G943</f>
        <v>0</v>
      </c>
    </row>
    <row r="944" spans="1:11" ht="13.5" thickBot="1">
      <c r="A944" s="39"/>
      <c r="B944" s="40"/>
      <c r="C944" s="40"/>
      <c r="D944" s="41" t="s">
        <v>990</v>
      </c>
      <c r="E944" s="40"/>
      <c r="F944" s="42">
        <v>1</v>
      </c>
      <c r="G944" s="361"/>
      <c r="H944" s="40"/>
      <c r="I944" s="43"/>
      <c r="J944" s="43"/>
      <c r="K944" s="36"/>
    </row>
    <row r="945" spans="1:60" ht="13.5" thickBot="1">
      <c r="A945" s="343" t="s">
        <v>1724</v>
      </c>
      <c r="B945" s="16"/>
      <c r="C945" s="16" t="s">
        <v>1725</v>
      </c>
      <c r="D945" s="32" t="s">
        <v>1726</v>
      </c>
      <c r="E945" s="16" t="s">
        <v>469</v>
      </c>
      <c r="F945" s="356">
        <v>1</v>
      </c>
      <c r="G945" s="360">
        <f>SUM('362 - Slabproud'!K40)</f>
        <v>0</v>
      </c>
      <c r="H945" s="357">
        <f>F945*G945</f>
        <v>0</v>
      </c>
      <c r="I945" s="35">
        <v>0</v>
      </c>
      <c r="J945" s="35">
        <f>F945*I945</f>
        <v>0</v>
      </c>
      <c r="K945" s="36" t="s">
        <v>226</v>
      </c>
      <c r="X945" s="37">
        <f>IF(AO945="5",BH945,0)</f>
        <v>0</v>
      </c>
      <c r="Z945" s="37">
        <f>IF(AO945="1",BF945,0)</f>
        <v>0</v>
      </c>
      <c r="AA945" s="37">
        <f>IF(AO945="1",BG945,0)</f>
        <v>0</v>
      </c>
      <c r="AB945" s="37">
        <f>IF(AO945="7",BF945,0)</f>
        <v>0</v>
      </c>
      <c r="AC945" s="37">
        <f>IF(AO945="7",BG945,0)</f>
        <v>0</v>
      </c>
      <c r="AD945" s="37">
        <f>IF(AO945="2",BF945,0)</f>
        <v>0</v>
      </c>
      <c r="AE945" s="37">
        <f>IF(AO945="2",BG945,0)</f>
        <v>0</v>
      </c>
      <c r="AF945" s="37">
        <f>IF(AO945="0",BH945,0)</f>
        <v>0</v>
      </c>
      <c r="AG945" s="23"/>
      <c r="AH945" s="37">
        <f>IF(AL945=0,H945,0)</f>
        <v>0</v>
      </c>
      <c r="AI945" s="37">
        <f>IF(AL945=15,H945,0)</f>
        <v>0</v>
      </c>
      <c r="AJ945" s="37">
        <f>IF(AL945=21,H945,0)</f>
        <v>0</v>
      </c>
      <c r="AL945" s="37">
        <v>21</v>
      </c>
      <c r="AM945" s="37">
        <f>G945*0.222190019541613</f>
        <v>0</v>
      </c>
      <c r="AN945" s="37">
        <f>G945*(1-0.222190019541613)</f>
        <v>0</v>
      </c>
      <c r="AO945" s="38" t="s">
        <v>99</v>
      </c>
      <c r="AT945" s="37">
        <f>AU945+AV945</f>
        <v>0</v>
      </c>
      <c r="AU945" s="37">
        <f>F945*AM945</f>
        <v>0</v>
      </c>
      <c r="AV945" s="37">
        <f>F945*AN945</f>
        <v>0</v>
      </c>
      <c r="AW945" s="38" t="s">
        <v>1723</v>
      </c>
      <c r="AX945" s="38" t="s">
        <v>629</v>
      </c>
      <c r="AY945" s="23" t="s">
        <v>97</v>
      </c>
      <c r="BA945" s="37">
        <f>AU945+AV945</f>
        <v>0</v>
      </c>
      <c r="BB945" s="37">
        <f>G945/(100-BC945)*100</f>
        <v>0</v>
      </c>
      <c r="BC945" s="37">
        <v>0</v>
      </c>
      <c r="BD945" s="37">
        <f>J945</f>
        <v>0</v>
      </c>
      <c r="BF945" s="37">
        <f>F945*AM945</f>
        <v>0</v>
      </c>
      <c r="BG945" s="37">
        <f>F945*AN945</f>
        <v>0</v>
      </c>
      <c r="BH945" s="37">
        <f>F945*G945</f>
        <v>0</v>
      </c>
    </row>
    <row r="946" spans="1:11" ht="13.5" thickBot="1">
      <c r="A946" s="39"/>
      <c r="B946" s="40"/>
      <c r="C946" s="40"/>
      <c r="D946" s="41" t="s">
        <v>990</v>
      </c>
      <c r="E946" s="40"/>
      <c r="F946" s="42">
        <v>1</v>
      </c>
      <c r="G946" s="361"/>
      <c r="H946" s="40"/>
      <c r="I946" s="43"/>
      <c r="J946" s="43"/>
      <c r="K946" s="36"/>
    </row>
    <row r="947" spans="1:11" ht="13.5" thickBot="1">
      <c r="A947" s="343" t="s">
        <v>1727</v>
      </c>
      <c r="B947" s="16"/>
      <c r="C947" s="16" t="s">
        <v>1728</v>
      </c>
      <c r="D947" s="32" t="s">
        <v>1729</v>
      </c>
      <c r="E947" s="16" t="s">
        <v>469</v>
      </c>
      <c r="F947" s="356">
        <v>1</v>
      </c>
      <c r="G947" s="360">
        <f>SUM('363 - Vstup'!K53)</f>
        <v>0</v>
      </c>
      <c r="H947" s="357">
        <f>F947*G947</f>
        <v>0</v>
      </c>
      <c r="I947" s="35">
        <v>0</v>
      </c>
      <c r="J947" s="35">
        <f>F947*I947</f>
        <v>0</v>
      </c>
      <c r="K947" s="36" t="s">
        <v>226</v>
      </c>
    </row>
    <row r="948" spans="1:11" ht="13.5" thickBot="1">
      <c r="A948" s="39"/>
      <c r="B948" s="40"/>
      <c r="C948" s="40"/>
      <c r="D948" s="41" t="s">
        <v>990</v>
      </c>
      <c r="E948" s="40"/>
      <c r="F948" s="42">
        <v>1</v>
      </c>
      <c r="G948" s="361"/>
      <c r="H948" s="40"/>
      <c r="I948" s="43"/>
      <c r="J948" s="43"/>
      <c r="K948" s="36"/>
    </row>
    <row r="949" spans="1:11" ht="13.5" thickBot="1">
      <c r="A949" s="343" t="s">
        <v>1730</v>
      </c>
      <c r="B949" s="16"/>
      <c r="C949" s="16" t="s">
        <v>1728</v>
      </c>
      <c r="D949" s="32" t="s">
        <v>1731</v>
      </c>
      <c r="E949" s="16" t="s">
        <v>469</v>
      </c>
      <c r="F949" s="356">
        <v>1</v>
      </c>
      <c r="G949" s="360">
        <f>SUM('364 - Ozvučení'!G42)</f>
        <v>0</v>
      </c>
      <c r="H949" s="357">
        <f>F949*G949</f>
        <v>0</v>
      </c>
      <c r="I949" s="35">
        <v>0</v>
      </c>
      <c r="J949" s="35">
        <f>F949*I949</f>
        <v>0</v>
      </c>
      <c r="K949" s="36" t="s">
        <v>226</v>
      </c>
    </row>
    <row r="950" spans="1:11" ht="13.5" thickBot="1">
      <c r="A950" s="39"/>
      <c r="B950" s="40"/>
      <c r="C950" s="40"/>
      <c r="D950" s="41" t="s">
        <v>990</v>
      </c>
      <c r="E950" s="40"/>
      <c r="F950" s="42">
        <v>1</v>
      </c>
      <c r="G950" s="361"/>
      <c r="H950" s="40"/>
      <c r="I950" s="43"/>
      <c r="J950" s="43"/>
      <c r="K950" s="36"/>
    </row>
    <row r="951" spans="1:11" ht="13.5" thickBot="1">
      <c r="A951" s="343" t="s">
        <v>1732</v>
      </c>
      <c r="B951" s="16"/>
      <c r="C951" s="16" t="s">
        <v>1728</v>
      </c>
      <c r="D951" s="32" t="s">
        <v>1733</v>
      </c>
      <c r="E951" s="16" t="s">
        <v>469</v>
      </c>
      <c r="F951" s="356">
        <v>1</v>
      </c>
      <c r="G951" s="360">
        <f>SUM('365 - IT'!G24)</f>
        <v>0</v>
      </c>
      <c r="H951" s="357">
        <f>F951*G951</f>
        <v>0</v>
      </c>
      <c r="I951" s="35">
        <v>0</v>
      </c>
      <c r="J951" s="35">
        <f>F951*I951</f>
        <v>0</v>
      </c>
      <c r="K951" s="36" t="s">
        <v>226</v>
      </c>
    </row>
    <row r="952" spans="1:11" ht="12.75">
      <c r="A952" s="39"/>
      <c r="B952" s="40"/>
      <c r="C952" s="40"/>
      <c r="D952" s="41" t="s">
        <v>990</v>
      </c>
      <c r="E952" s="40"/>
      <c r="F952" s="42">
        <v>1</v>
      </c>
      <c r="G952" s="359"/>
      <c r="H952" s="40"/>
      <c r="I952" s="43"/>
      <c r="J952" s="43"/>
      <c r="K952" s="36"/>
    </row>
    <row r="953" spans="1:11" ht="25.5">
      <c r="A953" s="44" t="s">
        <v>1734</v>
      </c>
      <c r="B953" s="44"/>
      <c r="C953" s="44" t="s">
        <v>1735</v>
      </c>
      <c r="D953" s="45" t="s">
        <v>1736</v>
      </c>
      <c r="E953" s="44" t="s">
        <v>225</v>
      </c>
      <c r="F953" s="33">
        <v>1</v>
      </c>
      <c r="G953" s="422"/>
      <c r="H953" s="34">
        <f>F953*G953</f>
        <v>0</v>
      </c>
      <c r="I953" s="48">
        <v>0.001</v>
      </c>
      <c r="J953" s="48">
        <f>F953*I953</f>
        <v>0.001</v>
      </c>
      <c r="K953" s="49" t="s">
        <v>226</v>
      </c>
    </row>
    <row r="954" spans="1:11" ht="12.75">
      <c r="A954" s="50"/>
      <c r="B954" s="51"/>
      <c r="C954" s="51"/>
      <c r="D954" s="52" t="s">
        <v>1737</v>
      </c>
      <c r="E954" s="51"/>
      <c r="F954" s="53">
        <v>1</v>
      </c>
      <c r="G954" s="51"/>
      <c r="H954" s="51"/>
      <c r="I954" s="54"/>
      <c r="J954" s="54"/>
      <c r="K954" s="49"/>
    </row>
    <row r="955" spans="1:60" ht="12.75">
      <c r="A955" s="16" t="s">
        <v>1738</v>
      </c>
      <c r="B955" s="16"/>
      <c r="C955" s="16" t="s">
        <v>1739</v>
      </c>
      <c r="D955" s="32" t="s">
        <v>1740</v>
      </c>
      <c r="E955" s="16" t="s">
        <v>469</v>
      </c>
      <c r="F955" s="33">
        <v>1</v>
      </c>
      <c r="G955" s="422"/>
      <c r="H955" s="34">
        <f>F955*G955</f>
        <v>0</v>
      </c>
      <c r="I955" s="35">
        <v>5E-05</v>
      </c>
      <c r="J955" s="35">
        <f>F955*I955</f>
        <v>5E-05</v>
      </c>
      <c r="K955" s="49" t="s">
        <v>226</v>
      </c>
      <c r="X955" s="37">
        <f>IF(AO955="5",BH955,0)</f>
        <v>0</v>
      </c>
      <c r="Z955" s="37">
        <f>IF(AO955="1",BF955,0)</f>
        <v>0</v>
      </c>
      <c r="AA955" s="37">
        <f>IF(AO955="1",BG955,0)</f>
        <v>0</v>
      </c>
      <c r="AB955" s="37">
        <f>IF(AO955="7",BF955,0)</f>
        <v>0</v>
      </c>
      <c r="AC955" s="37">
        <f>IF(AO955="7",BG955,0)</f>
        <v>0</v>
      </c>
      <c r="AD955" s="37">
        <f>IF(AO955="2",BF955,0)</f>
        <v>0</v>
      </c>
      <c r="AE955" s="37">
        <f>IF(AO955="2",BG955,0)</f>
        <v>0</v>
      </c>
      <c r="AF955" s="37">
        <f>IF(AO955="0",BH955,0)</f>
        <v>0</v>
      </c>
      <c r="AG955" s="23"/>
      <c r="AH955" s="37">
        <f>IF(AL955=0,H953,0)</f>
        <v>0</v>
      </c>
      <c r="AI955" s="37">
        <f>IF(AL955=15,H953,0)</f>
        <v>0</v>
      </c>
      <c r="AJ955" s="37">
        <f>IF(AL955=21,H953,0)</f>
        <v>0</v>
      </c>
      <c r="AL955" s="37">
        <v>21</v>
      </c>
      <c r="AM955" s="37">
        <f>G953*0.912600145666424</f>
        <v>0</v>
      </c>
      <c r="AN955" s="37">
        <f>G953*(1-0.912600145666424)</f>
        <v>0</v>
      </c>
      <c r="AO955" s="38" t="s">
        <v>90</v>
      </c>
      <c r="AT955" s="37">
        <f>AU955+AV955</f>
        <v>0</v>
      </c>
      <c r="AU955" s="37">
        <f>F953*AM955</f>
        <v>0</v>
      </c>
      <c r="AV955" s="37">
        <f>F953*AN955</f>
        <v>0</v>
      </c>
      <c r="AW955" s="38" t="s">
        <v>1723</v>
      </c>
      <c r="AX955" s="38" t="s">
        <v>629</v>
      </c>
      <c r="AY955" s="23" t="s">
        <v>97</v>
      </c>
      <c r="BA955" s="37">
        <f>AU955+AV955</f>
        <v>0</v>
      </c>
      <c r="BB955" s="37">
        <f>G953/(100-BC955)*100</f>
        <v>0</v>
      </c>
      <c r="BC955" s="37">
        <v>0</v>
      </c>
      <c r="BD955" s="37">
        <f>J953</f>
        <v>0.001</v>
      </c>
      <c r="BF955" s="37">
        <f>F953*AM955</f>
        <v>0</v>
      </c>
      <c r="BG955" s="37">
        <f>F953*AN955</f>
        <v>0</v>
      </c>
      <c r="BH955" s="37">
        <f>F953*G953</f>
        <v>0</v>
      </c>
    </row>
    <row r="956" spans="1:11" ht="12.75">
      <c r="A956" s="39"/>
      <c r="B956" s="40"/>
      <c r="C956" s="40"/>
      <c r="D956" s="41" t="s">
        <v>990</v>
      </c>
      <c r="E956" s="40"/>
      <c r="F956" s="42">
        <v>1</v>
      </c>
      <c r="G956" s="40"/>
      <c r="H956" s="40"/>
      <c r="I956" s="43"/>
      <c r="J956" s="43"/>
      <c r="K956" s="40"/>
    </row>
    <row r="957" spans="1:60" ht="13.5" thickBot="1">
      <c r="A957" s="24"/>
      <c r="B957" s="25"/>
      <c r="C957" s="25" t="s">
        <v>1741</v>
      </c>
      <c r="D957" s="26" t="s">
        <v>1742</v>
      </c>
      <c r="E957" s="24" t="s">
        <v>54</v>
      </c>
      <c r="F957" s="24" t="s">
        <v>54</v>
      </c>
      <c r="G957" s="358" t="s">
        <v>54</v>
      </c>
      <c r="H957" s="27">
        <f>SUM(H958:H962)</f>
        <v>0</v>
      </c>
      <c r="I957" s="28"/>
      <c r="J957" s="28">
        <f>SUM(J958:J962)</f>
        <v>0.0011099999999999999</v>
      </c>
      <c r="K957" s="29"/>
      <c r="X957" s="37">
        <f>IF(AO957="5",BH957,0)</f>
        <v>0</v>
      </c>
      <c r="Z957" s="37">
        <f>IF(AO957="1",BF957,0)</f>
        <v>0</v>
      </c>
      <c r="AA957" s="37">
        <f>IF(AO957="1",BG957,0)</f>
        <v>0</v>
      </c>
      <c r="AB957" s="37">
        <f>IF(AO957="7",BF957,0)</f>
        <v>0</v>
      </c>
      <c r="AC957" s="37">
        <f>IF(AO957="7",BG957,0)</f>
        <v>0</v>
      </c>
      <c r="AD957" s="37">
        <f>IF(AO957="2",BF957,0)</f>
        <v>0</v>
      </c>
      <c r="AE957" s="37">
        <f>IF(AO957="2",BG957,0)</f>
        <v>0</v>
      </c>
      <c r="AF957" s="37">
        <f>IF(AO957="0",BH957,0)</f>
        <v>0</v>
      </c>
      <c r="AG957" s="23"/>
      <c r="AH957" s="37">
        <f>IF(AL957=0,H955,0)</f>
        <v>0</v>
      </c>
      <c r="AI957" s="37">
        <f>IF(AL957=15,H955,0)</f>
        <v>0</v>
      </c>
      <c r="AJ957" s="37">
        <f>IF(AL957=21,H955,0)</f>
        <v>0</v>
      </c>
      <c r="AL957" s="37">
        <v>21</v>
      </c>
      <c r="AM957" s="37">
        <f>G955*0</f>
        <v>0</v>
      </c>
      <c r="AN957" s="37">
        <f>G955*(1-0)</f>
        <v>0</v>
      </c>
      <c r="AO957" s="38" t="s">
        <v>99</v>
      </c>
      <c r="AT957" s="37">
        <f>AU957+AV957</f>
        <v>0</v>
      </c>
      <c r="AU957" s="37">
        <f>F955*AM957</f>
        <v>0</v>
      </c>
      <c r="AV957" s="37">
        <f>F955*AN957</f>
        <v>0</v>
      </c>
      <c r="AW957" s="38" t="s">
        <v>1723</v>
      </c>
      <c r="AX957" s="38" t="s">
        <v>629</v>
      </c>
      <c r="AY957" s="23" t="s">
        <v>97</v>
      </c>
      <c r="BA957" s="37">
        <f>AU957+AV957</f>
        <v>0</v>
      </c>
      <c r="BB957" s="37">
        <f>G955/(100-BC957)*100</f>
        <v>0</v>
      </c>
      <c r="BC957" s="37">
        <v>0</v>
      </c>
      <c r="BD957" s="37">
        <f>J955</f>
        <v>5E-05</v>
      </c>
      <c r="BF957" s="37">
        <f>F955*AM957</f>
        <v>0</v>
      </c>
      <c r="BG957" s="37">
        <f>F955*AN957</f>
        <v>0</v>
      </c>
      <c r="BH957" s="37">
        <f>F955*G955</f>
        <v>0</v>
      </c>
    </row>
    <row r="958" spans="1:16" ht="13.5" thickBot="1">
      <c r="A958" s="343" t="s">
        <v>1743</v>
      </c>
      <c r="B958" s="16"/>
      <c r="C958" s="16" t="s">
        <v>1744</v>
      </c>
      <c r="D958" s="32" t="s">
        <v>1745</v>
      </c>
      <c r="E958" s="16" t="s">
        <v>469</v>
      </c>
      <c r="F958" s="356">
        <v>1</v>
      </c>
      <c r="G958" s="360">
        <f>SUM('368 - VZT'!I127:J127)</f>
        <v>0</v>
      </c>
      <c r="H958" s="357">
        <f>F958*G958</f>
        <v>0</v>
      </c>
      <c r="I958" s="35">
        <v>0.00037</v>
      </c>
      <c r="J958" s="35">
        <f>F958*I958</f>
        <v>0.00037</v>
      </c>
      <c r="K958" s="36" t="s">
        <v>226</v>
      </c>
      <c r="N958" t="s">
        <v>2524</v>
      </c>
      <c r="P958" s="75" t="s">
        <v>2524</v>
      </c>
    </row>
    <row r="959" spans="1:45" ht="12.75">
      <c r="A959" s="39"/>
      <c r="B959" s="40"/>
      <c r="C959" s="40"/>
      <c r="D959" s="41" t="s">
        <v>990</v>
      </c>
      <c r="E959" s="40"/>
      <c r="F959" s="42">
        <v>1</v>
      </c>
      <c r="G959" s="359"/>
      <c r="H959" s="40"/>
      <c r="I959" s="43"/>
      <c r="J959" s="43"/>
      <c r="K959" s="40"/>
      <c r="AG959" s="23"/>
      <c r="AQ959" s="31">
        <f>SUM(AH960:AH964)</f>
        <v>0</v>
      </c>
      <c r="AR959" s="31">
        <f>SUM(AI960:AI964)</f>
        <v>0</v>
      </c>
      <c r="AS959" s="31">
        <f>SUM(AJ960:AJ964)</f>
        <v>0</v>
      </c>
    </row>
    <row r="960" spans="1:60" ht="12.75">
      <c r="A960" s="16" t="s">
        <v>1746</v>
      </c>
      <c r="B960" s="16"/>
      <c r="C960" s="16" t="s">
        <v>1747</v>
      </c>
      <c r="D960" s="32" t="s">
        <v>1748</v>
      </c>
      <c r="E960" s="16" t="s">
        <v>469</v>
      </c>
      <c r="F960" s="33">
        <v>1</v>
      </c>
      <c r="G960" s="422"/>
      <c r="H960" s="34">
        <f>F960*G960</f>
        <v>0</v>
      </c>
      <c r="I960" s="35">
        <v>0.00037</v>
      </c>
      <c r="J960" s="35">
        <f>F960*I960</f>
        <v>0.00037</v>
      </c>
      <c r="K960" s="36" t="s">
        <v>226</v>
      </c>
      <c r="X960" s="37">
        <f>IF(AO960="5",BH960,0)</f>
        <v>0</v>
      </c>
      <c r="Z960" s="37">
        <f>IF(AO960="1",BF960,0)</f>
        <v>0</v>
      </c>
      <c r="AA960" s="37">
        <f>IF(AO960="1",BG960,0)</f>
        <v>0</v>
      </c>
      <c r="AB960" s="37">
        <f>IF(AO960="7",BF960,0)</f>
        <v>0</v>
      </c>
      <c r="AC960" s="37">
        <f>IF(AO960="7",BG960,0)</f>
        <v>0</v>
      </c>
      <c r="AD960" s="37">
        <f>IF(AO960="2",BF960,0)</f>
        <v>0</v>
      </c>
      <c r="AE960" s="37">
        <f>IF(AO960="2",BG960,0)</f>
        <v>0</v>
      </c>
      <c r="AF960" s="37">
        <f>IF(AO960="0",BH960,0)</f>
        <v>0</v>
      </c>
      <c r="AG960" s="23"/>
      <c r="AH960" s="37">
        <f>IF(AL960=0,H958,0)</f>
        <v>0</v>
      </c>
      <c r="AI960" s="37">
        <f>IF(AL960=15,H958,0)</f>
        <v>0</v>
      </c>
      <c r="AJ960" s="37">
        <f>IF(AL960=21,H958,0)</f>
        <v>0</v>
      </c>
      <c r="AL960" s="37">
        <v>21</v>
      </c>
      <c r="AM960" s="37">
        <f>G958*0.424161199283829</f>
        <v>0</v>
      </c>
      <c r="AN960" s="37">
        <f>G958*(1-0.424161199283829)</f>
        <v>0</v>
      </c>
      <c r="AO960" s="38" t="s">
        <v>99</v>
      </c>
      <c r="AT960" s="37">
        <f>AU960+AV960</f>
        <v>0</v>
      </c>
      <c r="AU960" s="37">
        <f>F958*AM960</f>
        <v>0</v>
      </c>
      <c r="AV960" s="37">
        <f>F958*AN960</f>
        <v>0</v>
      </c>
      <c r="AW960" s="38" t="s">
        <v>1749</v>
      </c>
      <c r="AX960" s="38" t="s">
        <v>629</v>
      </c>
      <c r="AY960" s="23" t="s">
        <v>97</v>
      </c>
      <c r="BA960" s="37">
        <f>AU960+AV960</f>
        <v>0</v>
      </c>
      <c r="BB960" s="37">
        <f>G958/(100-BC960)*100</f>
        <v>0</v>
      </c>
      <c r="BC960" s="37">
        <v>0</v>
      </c>
      <c r="BD960" s="37">
        <f>J958</f>
        <v>0.00037</v>
      </c>
      <c r="BF960" s="37">
        <f>F958*AM960</f>
        <v>0</v>
      </c>
      <c r="BG960" s="37">
        <f>F958*AN960</f>
        <v>0</v>
      </c>
      <c r="BH960" s="37">
        <f>F958*G958</f>
        <v>0</v>
      </c>
    </row>
    <row r="961" spans="1:11" ht="13.5" thickBot="1">
      <c r="A961" s="39"/>
      <c r="B961" s="40"/>
      <c r="C961" s="40"/>
      <c r="D961" s="41" t="s">
        <v>990</v>
      </c>
      <c r="E961" s="40"/>
      <c r="F961" s="42">
        <v>1</v>
      </c>
      <c r="G961" s="362"/>
      <c r="H961" s="40"/>
      <c r="I961" s="43"/>
      <c r="J961" s="43"/>
      <c r="K961" s="40"/>
    </row>
    <row r="962" spans="1:60" ht="26.25" thickBot="1">
      <c r="A962" s="343" t="s">
        <v>1750</v>
      </c>
      <c r="B962" s="16"/>
      <c r="C962" s="16" t="s">
        <v>1751</v>
      </c>
      <c r="D962" s="32" t="s">
        <v>1752</v>
      </c>
      <c r="E962" s="16" t="s">
        <v>469</v>
      </c>
      <c r="F962" s="356">
        <v>1</v>
      </c>
      <c r="G962" s="360">
        <f>SUM('370 -  CV'!F29)</f>
        <v>0</v>
      </c>
      <c r="H962" s="357">
        <f>F962*G962</f>
        <v>0</v>
      </c>
      <c r="I962" s="35">
        <v>0.00037</v>
      </c>
      <c r="J962" s="35">
        <f>F962*I962</f>
        <v>0.00037</v>
      </c>
      <c r="K962" s="36" t="s">
        <v>226</v>
      </c>
      <c r="X962" s="37">
        <f>IF(AO962="5",BH962,0)</f>
        <v>0</v>
      </c>
      <c r="Z962" s="37">
        <f>IF(AO962="1",BF962,0)</f>
        <v>0</v>
      </c>
      <c r="AA962" s="37">
        <f>IF(AO962="1",BG962,0)</f>
        <v>0</v>
      </c>
      <c r="AB962" s="37">
        <f>IF(AO962="7",BF962,0)</f>
        <v>0</v>
      </c>
      <c r="AC962" s="37">
        <f>IF(AO962="7",BG962,0)</f>
        <v>0</v>
      </c>
      <c r="AD962" s="37">
        <f>IF(AO962="2",BF962,0)</f>
        <v>0</v>
      </c>
      <c r="AE962" s="37">
        <f>IF(AO962="2",BG962,0)</f>
        <v>0</v>
      </c>
      <c r="AF962" s="37">
        <f>IF(AO962="0",BH962,0)</f>
        <v>0</v>
      </c>
      <c r="AG962" s="23"/>
      <c r="AH962" s="37">
        <f>IF(AL962=0,H960,0)</f>
        <v>0</v>
      </c>
      <c r="AI962" s="37">
        <f>IF(AL962=15,H960,0)</f>
        <v>0</v>
      </c>
      <c r="AJ962" s="37">
        <f>IF(AL962=21,H960,0)</f>
        <v>0</v>
      </c>
      <c r="AL962" s="37">
        <v>21</v>
      </c>
      <c r="AM962" s="37">
        <f>G960*0.329690078347085</f>
        <v>0</v>
      </c>
      <c r="AN962" s="37">
        <f>G960*(1-0.329690078347085)</f>
        <v>0</v>
      </c>
      <c r="AO962" s="38" t="s">
        <v>99</v>
      </c>
      <c r="AT962" s="37">
        <f>AU962+AV962</f>
        <v>0</v>
      </c>
      <c r="AU962" s="37">
        <f>F960*AM962</f>
        <v>0</v>
      </c>
      <c r="AV962" s="37">
        <f>F960*AN962</f>
        <v>0</v>
      </c>
      <c r="AW962" s="38" t="s">
        <v>1749</v>
      </c>
      <c r="AX962" s="38" t="s">
        <v>629</v>
      </c>
      <c r="AY962" s="23" t="s">
        <v>97</v>
      </c>
      <c r="BA962" s="37">
        <f>AU962+AV962</f>
        <v>0</v>
      </c>
      <c r="BB962" s="37">
        <f>G960/(100-BC962)*100</f>
        <v>0</v>
      </c>
      <c r="BC962" s="37">
        <v>0</v>
      </c>
      <c r="BD962" s="37">
        <f>J960</f>
        <v>0.00037</v>
      </c>
      <c r="BF962" s="37">
        <f>F960*AM962</f>
        <v>0</v>
      </c>
      <c r="BG962" s="37">
        <f>F960*AN962</f>
        <v>0</v>
      </c>
      <c r="BH962" s="37">
        <f>F960*G960</f>
        <v>0</v>
      </c>
    </row>
    <row r="963" spans="1:11" ht="12.75">
      <c r="A963" s="39"/>
      <c r="B963" s="40"/>
      <c r="C963" s="40"/>
      <c r="D963" s="41" t="s">
        <v>1753</v>
      </c>
      <c r="E963" s="40"/>
      <c r="F963" s="42">
        <v>1</v>
      </c>
      <c r="G963" s="359"/>
      <c r="H963" s="40"/>
      <c r="I963" s="43"/>
      <c r="J963" s="43"/>
      <c r="K963" s="40"/>
    </row>
    <row r="964" spans="1:60" ht="12.75">
      <c r="A964" s="24"/>
      <c r="B964" s="25"/>
      <c r="C964" s="25" t="s">
        <v>1754</v>
      </c>
      <c r="D964" s="26" t="s">
        <v>1755</v>
      </c>
      <c r="E964" s="24" t="s">
        <v>54</v>
      </c>
      <c r="F964" s="24" t="s">
        <v>54</v>
      </c>
      <c r="G964" s="24" t="s">
        <v>54</v>
      </c>
      <c r="H964" s="27">
        <f>SUM(H965:H965)</f>
        <v>0</v>
      </c>
      <c r="I964" s="28"/>
      <c r="J964" s="28">
        <f>SUM(J965:J965)</f>
        <v>0</v>
      </c>
      <c r="K964" s="29"/>
      <c r="X964" s="37">
        <f>IF(AO964="5",BH964,0)</f>
        <v>0</v>
      </c>
      <c r="Z964" s="37">
        <f>IF(AO964="1",BF964,0)</f>
        <v>0</v>
      </c>
      <c r="AA964" s="37">
        <f>IF(AO964="1",BG964,0)</f>
        <v>0</v>
      </c>
      <c r="AB964" s="37">
        <f>IF(AO964="7",BF964,0)</f>
        <v>0</v>
      </c>
      <c r="AC964" s="37">
        <f>IF(AO964="7",BG964,0)</f>
        <v>0</v>
      </c>
      <c r="AD964" s="37">
        <f>IF(AO964="2",BF964,0)</f>
        <v>0</v>
      </c>
      <c r="AE964" s="37">
        <f>IF(AO964="2",BG964,0)</f>
        <v>0</v>
      </c>
      <c r="AF964" s="37">
        <f>IF(AO964="0",BH964,0)</f>
        <v>0</v>
      </c>
      <c r="AG964" s="23"/>
      <c r="AH964" s="37">
        <f>IF(AL964=0,H962,0)</f>
        <v>0</v>
      </c>
      <c r="AI964" s="37">
        <f>IF(AL964=15,H962,0)</f>
        <v>0</v>
      </c>
      <c r="AJ964" s="37">
        <f>IF(AL964=21,H962,0)</f>
        <v>0</v>
      </c>
      <c r="AL964" s="37">
        <v>21</v>
      </c>
      <c r="AM964" s="37">
        <f>G962*0.40011206800961</f>
        <v>0</v>
      </c>
      <c r="AN964" s="37">
        <f>G962*(1-0.40011206800961)</f>
        <v>0</v>
      </c>
      <c r="AO964" s="38" t="s">
        <v>99</v>
      </c>
      <c r="AT964" s="37">
        <f>AU964+AV964</f>
        <v>0</v>
      </c>
      <c r="AU964" s="37">
        <f>F962*AM964</f>
        <v>0</v>
      </c>
      <c r="AV964" s="37">
        <f>F962*AN964</f>
        <v>0</v>
      </c>
      <c r="AW964" s="38" t="s">
        <v>1749</v>
      </c>
      <c r="AX964" s="38" t="s">
        <v>629</v>
      </c>
      <c r="AY964" s="23" t="s">
        <v>97</v>
      </c>
      <c r="BA964" s="37">
        <f>AU964+AV964</f>
        <v>0</v>
      </c>
      <c r="BB964" s="37">
        <f>G962/(100-BC964)*100</f>
        <v>0</v>
      </c>
      <c r="BC964" s="37">
        <v>0</v>
      </c>
      <c r="BD964" s="37">
        <f>J962</f>
        <v>0.00037</v>
      </c>
      <c r="BF964" s="37">
        <f>F962*AM964</f>
        <v>0</v>
      </c>
      <c r="BG964" s="37">
        <f>F962*AN964</f>
        <v>0</v>
      </c>
      <c r="BH964" s="37">
        <f>F962*G962</f>
        <v>0</v>
      </c>
    </row>
    <row r="965" spans="1:11" ht="12.75">
      <c r="A965" s="16" t="s">
        <v>1756</v>
      </c>
      <c r="B965" s="16"/>
      <c r="C965" s="16" t="s">
        <v>1757</v>
      </c>
      <c r="D965" s="32" t="s">
        <v>1758</v>
      </c>
      <c r="E965" s="16" t="s">
        <v>225</v>
      </c>
      <c r="F965" s="33">
        <v>1</v>
      </c>
      <c r="G965" s="422"/>
      <c r="H965" s="34">
        <f>F965*G965</f>
        <v>0</v>
      </c>
      <c r="I965" s="35">
        <v>0</v>
      </c>
      <c r="J965" s="35">
        <f>F965*I965</f>
        <v>0</v>
      </c>
      <c r="K965" s="36" t="s">
        <v>226</v>
      </c>
    </row>
    <row r="966" spans="1:45" ht="12.75">
      <c r="A966" s="16"/>
      <c r="B966" s="59"/>
      <c r="C966" s="59"/>
      <c r="D966" s="41" t="s">
        <v>1759</v>
      </c>
      <c r="E966" s="59"/>
      <c r="F966" s="42">
        <v>1</v>
      </c>
      <c r="G966" s="59"/>
      <c r="H966" s="59"/>
      <c r="I966" s="60"/>
      <c r="J966" s="60"/>
      <c r="K966" s="59"/>
      <c r="AG966" s="23"/>
      <c r="AQ966" s="31">
        <f>SUM(AH967:AH967)</f>
        <v>0</v>
      </c>
      <c r="AR966" s="31">
        <f>SUM(AI967:AI967)</f>
        <v>0</v>
      </c>
      <c r="AS966" s="31">
        <f>SUM(AJ967:AJ967)</f>
        <v>0</v>
      </c>
    </row>
    <row r="967" spans="1:60" ht="12.75">
      <c r="A967" s="61"/>
      <c r="B967" s="5"/>
      <c r="C967" s="5"/>
      <c r="D967" s="62"/>
      <c r="E967" s="5"/>
      <c r="F967" s="5"/>
      <c r="G967" s="5"/>
      <c r="H967" s="426">
        <f>H12+H20+H53+H62+H70+H73+H76+H81+H107+H126+H137+H166+H211+H248+H253+H258+H267+H272+H286+H296+H331+H341+H348+H367+H402+H417+H420+H459+H480+H543+H586+H591+H619+H759+H837+H866+H877+H908+H927+H935+H942+H957+H964</f>
        <v>0</v>
      </c>
      <c r="I967" s="63"/>
      <c r="J967" s="63"/>
      <c r="K967" s="5"/>
      <c r="X967" s="37">
        <f>IF(AO967="5",BH967,0)</f>
        <v>0</v>
      </c>
      <c r="Z967" s="37">
        <f>IF(AO967="1",BF967,0)</f>
        <v>0</v>
      </c>
      <c r="AA967" s="37">
        <f>IF(AO967="1",BG967,0)</f>
        <v>0</v>
      </c>
      <c r="AB967" s="37">
        <f>IF(AO967="7",BF967,0)</f>
        <v>0</v>
      </c>
      <c r="AC967" s="37">
        <f>IF(AO967="7",BG967,0)</f>
        <v>0</v>
      </c>
      <c r="AD967" s="37">
        <f>IF(AO967="2",BF967,0)</f>
        <v>0</v>
      </c>
      <c r="AE967" s="37">
        <f>IF(AO967="2",BG967,0)</f>
        <v>0</v>
      </c>
      <c r="AF967" s="37">
        <f>IF(AO967="0",BH967,0)</f>
        <v>0</v>
      </c>
      <c r="AG967" s="23"/>
      <c r="AH967" s="37">
        <f>IF(AL967=0,H965,0)</f>
        <v>0</v>
      </c>
      <c r="AI967" s="37">
        <f>IF(AL967=15,H965,0)</f>
        <v>0</v>
      </c>
      <c r="AJ967" s="37">
        <f>IF(AL967=21,H965,0)</f>
        <v>0</v>
      </c>
      <c r="AL967" s="37">
        <v>21</v>
      </c>
      <c r="AM967" s="37">
        <f>G965*0</f>
        <v>0</v>
      </c>
      <c r="AN967" s="37">
        <f>G965*(1-0)</f>
        <v>0</v>
      </c>
      <c r="AO967" s="38" t="s">
        <v>99</v>
      </c>
      <c r="AT967" s="37">
        <f>AU967+AV967</f>
        <v>0</v>
      </c>
      <c r="AU967" s="37">
        <f>F965*AM967</f>
        <v>0</v>
      </c>
      <c r="AV967" s="37">
        <f>F965*AN967</f>
        <v>0</v>
      </c>
      <c r="AW967" s="38" t="s">
        <v>1760</v>
      </c>
      <c r="AX967" s="38" t="s">
        <v>629</v>
      </c>
      <c r="AY967" s="23" t="s">
        <v>97</v>
      </c>
      <c r="BA967" s="37">
        <f>AU967+AV967</f>
        <v>0</v>
      </c>
      <c r="BB967" s="37">
        <f>G965/(100-BC967)*100</f>
        <v>0</v>
      </c>
      <c r="BC967" s="37">
        <v>0</v>
      </c>
      <c r="BD967" s="37">
        <f>J965</f>
        <v>0</v>
      </c>
      <c r="BF967" s="37">
        <f>F965*AM967</f>
        <v>0</v>
      </c>
      <c r="BG967" s="37">
        <f>F965*AN967</f>
        <v>0</v>
      </c>
      <c r="BH967" s="37">
        <f>F965*G965</f>
        <v>0</v>
      </c>
    </row>
    <row r="968" ht="12.75">
      <c r="A968" s="64" t="s">
        <v>50</v>
      </c>
    </row>
    <row r="970" ht="11.25" customHeight="1"/>
  </sheetData>
  <sheetProtection algorithmName="SHA-512" hashValue="NpdDZrM3UkPhTJsGukfmPdQrv/C3RemOdy1PNDQb8UkGVyPEI6/H1dK6NKcQZhFYW92keMwAkJwW37vF0HMAbQ==" saltValue="mTcUBX51zBzEcZesTov7tw==" spinCount="100000" sheet="1" objects="1" scenarios="1"/>
  <protectedRanges>
    <protectedRange sqref="G13:G966" name="Oblast3"/>
    <protectedRange sqref="I6:K9" name="Oblast2"/>
    <protectedRange sqref="G4:G7" name="Oblast1"/>
  </protectedRanges>
  <mergeCells count="26">
    <mergeCell ref="A1:K1"/>
    <mergeCell ref="A2:C3"/>
    <mergeCell ref="D2:D3"/>
    <mergeCell ref="E2:F3"/>
    <mergeCell ref="G2:G3"/>
    <mergeCell ref="H2:H3"/>
    <mergeCell ref="I2:K3"/>
    <mergeCell ref="I4:K5"/>
    <mergeCell ref="A6:C7"/>
    <mergeCell ref="D6:D7"/>
    <mergeCell ref="E6:F7"/>
    <mergeCell ref="G6:G7"/>
    <mergeCell ref="H6:H7"/>
    <mergeCell ref="I6:K7"/>
    <mergeCell ref="A4:C5"/>
    <mergeCell ref="D4:D5"/>
    <mergeCell ref="E4:F5"/>
    <mergeCell ref="G4:G5"/>
    <mergeCell ref="H4:H5"/>
    <mergeCell ref="I8:K9"/>
    <mergeCell ref="I10:J10"/>
    <mergeCell ref="A8:C9"/>
    <mergeCell ref="D8:D9"/>
    <mergeCell ref="E8:F9"/>
    <mergeCell ref="G8:G9"/>
    <mergeCell ref="H8:H9"/>
  </mergeCells>
  <printOptions/>
  <pageMargins left="0.7875" right="0.196527777777778" top="0.590277777777778" bottom="0.590277777777778" header="0.511805555555555" footer="0.511805555555555"/>
  <pageSetup fitToHeight="0" fitToWidth="1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workbookViewId="0" topLeftCell="A1">
      <selection activeCell="E31" sqref="E31"/>
    </sheetView>
  </sheetViews>
  <sheetFormatPr defaultColWidth="9.140625" defaultRowHeight="12.75"/>
  <cols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8" max="8" width="17.140625" style="0" customWidth="1"/>
    <col min="9" max="9" width="22.8515625" style="0" customWidth="1"/>
    <col min="10" max="10" width="0.9921875" style="0" customWidth="1"/>
    <col min="11" max="1025" width="11.57421875" style="0" customWidth="1"/>
  </cols>
  <sheetData>
    <row r="1" spans="1:9" ht="34.9" customHeight="1">
      <c r="A1" s="449" t="s">
        <v>1761</v>
      </c>
      <c r="B1" s="449"/>
      <c r="C1" s="449"/>
      <c r="D1" s="449"/>
      <c r="E1" s="449"/>
      <c r="F1" s="449"/>
      <c r="G1" s="449"/>
      <c r="H1" s="449"/>
      <c r="I1" s="449"/>
    </row>
    <row r="2" spans="1:10" ht="13.15" customHeight="1">
      <c r="A2" s="450" t="s">
        <v>1</v>
      </c>
      <c r="B2" s="450"/>
      <c r="C2" s="451" t="str">
        <f>'Stavební rozpočet'!D2</f>
        <v>Zázemí atletického oválu</v>
      </c>
      <c r="D2" s="451"/>
      <c r="E2" s="452" t="s">
        <v>2</v>
      </c>
      <c r="F2" s="452" t="s">
        <v>3</v>
      </c>
      <c r="G2" s="452"/>
      <c r="H2" s="452" t="s">
        <v>4</v>
      </c>
      <c r="I2" s="453" t="s">
        <v>5</v>
      </c>
      <c r="J2" s="1"/>
    </row>
    <row r="3" spans="1:10" ht="12.75">
      <c r="A3" s="450"/>
      <c r="B3" s="450"/>
      <c r="C3" s="451"/>
      <c r="D3" s="451"/>
      <c r="E3" s="452"/>
      <c r="F3" s="452"/>
      <c r="G3" s="452"/>
      <c r="H3" s="452"/>
      <c r="I3" s="453"/>
      <c r="J3" s="1"/>
    </row>
    <row r="4" spans="1:10" ht="13.15" customHeight="1">
      <c r="A4" s="444" t="s">
        <v>6</v>
      </c>
      <c r="B4" s="444"/>
      <c r="C4" s="446" t="str">
        <f>'Stavební rozpočet'!D4</f>
        <v>Novostavba objektu</v>
      </c>
      <c r="D4" s="446"/>
      <c r="E4" s="446" t="s">
        <v>7</v>
      </c>
      <c r="F4" s="446" t="s">
        <v>8</v>
      </c>
      <c r="G4" s="446"/>
      <c r="H4" s="446" t="s">
        <v>4</v>
      </c>
      <c r="I4" s="438" t="s">
        <v>9</v>
      </c>
      <c r="J4" s="1"/>
    </row>
    <row r="5" spans="1:10" ht="12.75">
      <c r="A5" s="444"/>
      <c r="B5" s="444"/>
      <c r="C5" s="446"/>
      <c r="D5" s="446"/>
      <c r="E5" s="446"/>
      <c r="F5" s="446"/>
      <c r="G5" s="446"/>
      <c r="H5" s="446"/>
      <c r="I5" s="438"/>
      <c r="J5" s="1"/>
    </row>
    <row r="6" spans="1:10" ht="13.15" customHeight="1">
      <c r="A6" s="444" t="s">
        <v>10</v>
      </c>
      <c r="B6" s="444"/>
      <c r="C6" s="446" t="str">
        <f>'Stavební rozpočet'!D6</f>
        <v>Hráského 1913, 256 01 Benešov</v>
      </c>
      <c r="D6" s="446"/>
      <c r="E6" s="446" t="s">
        <v>11</v>
      </c>
      <c r="F6" s="446"/>
      <c r="G6" s="446"/>
      <c r="H6" s="446" t="s">
        <v>4</v>
      </c>
      <c r="I6" s="438"/>
      <c r="J6" s="1"/>
    </row>
    <row r="7" spans="1:10" ht="12.75">
      <c r="A7" s="444"/>
      <c r="B7" s="444"/>
      <c r="C7" s="446"/>
      <c r="D7" s="446"/>
      <c r="E7" s="446"/>
      <c r="F7" s="446"/>
      <c r="G7" s="446"/>
      <c r="H7" s="446"/>
      <c r="I7" s="438"/>
      <c r="J7" s="1"/>
    </row>
    <row r="8" spans="1:10" ht="13.15" customHeight="1">
      <c r="A8" s="444" t="s">
        <v>12</v>
      </c>
      <c r="B8" s="444"/>
      <c r="C8" s="446" t="str">
        <f>'Stavební rozpočet'!G4</f>
        <v/>
      </c>
      <c r="D8" s="446"/>
      <c r="E8" s="446" t="s">
        <v>13</v>
      </c>
      <c r="F8" s="446" t="str">
        <f>'Stavební rozpočet'!G6</f>
        <v/>
      </c>
      <c r="G8" s="446"/>
      <c r="H8" s="447" t="s">
        <v>14</v>
      </c>
      <c r="I8" s="438" t="s">
        <v>15</v>
      </c>
      <c r="J8" s="1"/>
    </row>
    <row r="9" spans="1:10" ht="12.75">
      <c r="A9" s="444"/>
      <c r="B9" s="444"/>
      <c r="C9" s="446"/>
      <c r="D9" s="446"/>
      <c r="E9" s="446"/>
      <c r="F9" s="446"/>
      <c r="G9" s="446"/>
      <c r="H9" s="447"/>
      <c r="I9" s="438"/>
      <c r="J9" s="1"/>
    </row>
    <row r="10" spans="1:10" ht="13.15" customHeight="1">
      <c r="A10" s="439" t="s">
        <v>16</v>
      </c>
      <c r="B10" s="439"/>
      <c r="C10" s="440" t="str">
        <f>'Stavební rozpočet'!D8</f>
        <v>8015 - Budovy pro tělovýchovu</v>
      </c>
      <c r="D10" s="440"/>
      <c r="E10" s="440" t="s">
        <v>17</v>
      </c>
      <c r="F10" s="440"/>
      <c r="G10" s="440"/>
      <c r="H10" s="442" t="s">
        <v>18</v>
      </c>
      <c r="I10" s="443" t="str">
        <f>'Stavební rozpočet'!G8</f>
        <v>10.03.2020</v>
      </c>
      <c r="J10" s="1"/>
    </row>
    <row r="11" spans="1:10" ht="12.75">
      <c r="A11" s="439"/>
      <c r="B11" s="439"/>
      <c r="C11" s="440"/>
      <c r="D11" s="440"/>
      <c r="E11" s="440"/>
      <c r="F11" s="440"/>
      <c r="G11" s="440"/>
      <c r="H11" s="442"/>
      <c r="I11" s="443"/>
      <c r="J11" s="1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.2" customHeight="1">
      <c r="A13" s="466" t="s">
        <v>1762</v>
      </c>
      <c r="B13" s="466"/>
      <c r="C13" s="466"/>
      <c r="D13" s="466"/>
      <c r="E13" s="466"/>
      <c r="F13" s="65"/>
      <c r="G13" s="65"/>
      <c r="H13" s="65"/>
      <c r="I13" s="65"/>
    </row>
    <row r="14" spans="1:10" ht="12.75">
      <c r="A14" s="465" t="s">
        <v>1763</v>
      </c>
      <c r="B14" s="465"/>
      <c r="C14" s="465"/>
      <c r="D14" s="465"/>
      <c r="E14" s="465"/>
      <c r="F14" s="67" t="s">
        <v>1764</v>
      </c>
      <c r="G14" s="67" t="s">
        <v>1765</v>
      </c>
      <c r="H14" s="67" t="s">
        <v>1766</v>
      </c>
      <c r="I14" s="67" t="s">
        <v>1764</v>
      </c>
      <c r="J14" s="10"/>
    </row>
    <row r="15" spans="1:10" ht="12.75">
      <c r="A15" s="467" t="s">
        <v>1767</v>
      </c>
      <c r="B15" s="467"/>
      <c r="C15" s="467"/>
      <c r="D15" s="467"/>
      <c r="E15" s="467"/>
      <c r="F15" s="68"/>
      <c r="G15" s="419"/>
      <c r="H15" s="69">
        <f>'Krycí list rozpočtu'!C22</f>
        <v>0</v>
      </c>
      <c r="I15" s="69">
        <f aca="true" t="shared" si="0" ref="I15:I20">(G15/100)*H15</f>
        <v>0</v>
      </c>
      <c r="J15" s="1"/>
    </row>
    <row r="16" spans="1:10" ht="12.75">
      <c r="A16" s="463" t="s">
        <v>1768</v>
      </c>
      <c r="B16" s="463"/>
      <c r="C16" s="463"/>
      <c r="D16" s="463"/>
      <c r="E16" s="463"/>
      <c r="F16" s="70"/>
      <c r="G16" s="420"/>
      <c r="H16" s="71">
        <f>'Krycí list rozpočtu'!C22</f>
        <v>0</v>
      </c>
      <c r="I16" s="71">
        <f t="shared" si="0"/>
        <v>0</v>
      </c>
      <c r="J16" s="1"/>
    </row>
    <row r="17" spans="1:10" ht="12.75">
      <c r="A17" s="463" t="s">
        <v>1769</v>
      </c>
      <c r="B17" s="463"/>
      <c r="C17" s="463"/>
      <c r="D17" s="463"/>
      <c r="E17" s="463"/>
      <c r="F17" s="70"/>
      <c r="G17" s="420"/>
      <c r="H17" s="71">
        <f>'Krycí list rozpočtu'!C22</f>
        <v>0</v>
      </c>
      <c r="I17" s="71">
        <f t="shared" si="0"/>
        <v>0</v>
      </c>
      <c r="J17" s="1"/>
    </row>
    <row r="18" spans="1:12" ht="12.75">
      <c r="A18" s="463" t="s">
        <v>1770</v>
      </c>
      <c r="B18" s="463"/>
      <c r="C18" s="463"/>
      <c r="D18" s="463"/>
      <c r="E18" s="463"/>
      <c r="F18" s="70"/>
      <c r="G18" s="420"/>
      <c r="H18" s="71">
        <f>'Krycí list rozpočtu'!C22</f>
        <v>0</v>
      </c>
      <c r="I18" s="71">
        <f t="shared" si="0"/>
        <v>0</v>
      </c>
      <c r="J18" s="1"/>
      <c r="L18" t="s">
        <v>2524</v>
      </c>
    </row>
    <row r="19" spans="1:10" ht="12.75">
      <c r="A19" s="463" t="s">
        <v>1771</v>
      </c>
      <c r="B19" s="463"/>
      <c r="C19" s="463"/>
      <c r="D19" s="463"/>
      <c r="E19" s="463"/>
      <c r="F19" s="70"/>
      <c r="G19" s="420"/>
      <c r="H19" s="71">
        <f>'Krycí list rozpočtu'!C22</f>
        <v>0</v>
      </c>
      <c r="I19" s="71">
        <f t="shared" si="0"/>
        <v>0</v>
      </c>
      <c r="J19" s="1"/>
    </row>
    <row r="20" spans="1:10" ht="12.75">
      <c r="A20" s="464" t="s">
        <v>1772</v>
      </c>
      <c r="B20" s="464"/>
      <c r="C20" s="464"/>
      <c r="D20" s="464"/>
      <c r="E20" s="464"/>
      <c r="F20" s="72"/>
      <c r="G20" s="421"/>
      <c r="H20" s="73">
        <f>'Krycí list rozpočtu'!C22</f>
        <v>0</v>
      </c>
      <c r="I20" s="73">
        <f t="shared" si="0"/>
        <v>0</v>
      </c>
      <c r="J20" s="19"/>
    </row>
    <row r="21" spans="1:10" ht="12.75">
      <c r="A21" s="465" t="s">
        <v>1773</v>
      </c>
      <c r="B21" s="465"/>
      <c r="C21" s="465"/>
      <c r="D21" s="465"/>
      <c r="E21" s="465"/>
      <c r="F21" s="66"/>
      <c r="G21" s="67"/>
      <c r="H21" s="67"/>
      <c r="I21" s="74">
        <f>SUM(I15:I20)</f>
        <v>0</v>
      </c>
      <c r="J21" s="10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mergeCells count="40">
    <mergeCell ref="A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8:E18"/>
    <mergeCell ref="A19:E19"/>
    <mergeCell ref="A20:E20"/>
    <mergeCell ref="A21:E21"/>
    <mergeCell ref="A13:E13"/>
    <mergeCell ref="A14:E14"/>
    <mergeCell ref="A15:E15"/>
    <mergeCell ref="A16:E16"/>
    <mergeCell ref="A17:E17"/>
  </mergeCells>
  <printOptions/>
  <pageMargins left="0.7875" right="0.196527777777778" top="0.590277777777778" bottom="0.590277777777778" header="0.511805555555555" footer="0.511805555555555"/>
  <pageSetup fitToHeight="0" fitToWidth="1"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1"/>
  <sheetViews>
    <sheetView workbookViewId="0" topLeftCell="A4">
      <selection activeCell="B6" sqref="B6"/>
    </sheetView>
  </sheetViews>
  <sheetFormatPr defaultColWidth="8.140625" defaultRowHeight="12" customHeight="1"/>
  <cols>
    <col min="1" max="1" width="3.00390625" style="102" customWidth="1"/>
    <col min="2" max="2" width="12.00390625" style="103" customWidth="1"/>
    <col min="3" max="3" width="38.7109375" style="103" customWidth="1"/>
    <col min="4" max="4" width="4.28125" style="103" customWidth="1"/>
    <col min="5" max="5" width="8.7109375" style="104" customWidth="1"/>
    <col min="6" max="6" width="10.28125" style="105" customWidth="1"/>
    <col min="7" max="7" width="13.8515625" style="105" customWidth="1"/>
    <col min="8" max="8" width="10.28125" style="104" customWidth="1"/>
    <col min="9" max="256" width="8.140625" style="106" customWidth="1"/>
    <col min="257" max="257" width="3.00390625" style="106" customWidth="1"/>
    <col min="258" max="258" width="12.00390625" style="106" customWidth="1"/>
    <col min="259" max="259" width="38.7109375" style="106" customWidth="1"/>
    <col min="260" max="260" width="4.28125" style="106" customWidth="1"/>
    <col min="261" max="261" width="8.7109375" style="106" customWidth="1"/>
    <col min="262" max="262" width="10.28125" style="106" customWidth="1"/>
    <col min="263" max="263" width="13.8515625" style="106" customWidth="1"/>
    <col min="264" max="264" width="10.28125" style="106" customWidth="1"/>
    <col min="265" max="512" width="8.140625" style="106" customWidth="1"/>
    <col min="513" max="513" width="3.00390625" style="106" customWidth="1"/>
    <col min="514" max="514" width="12.00390625" style="106" customWidth="1"/>
    <col min="515" max="515" width="38.7109375" style="106" customWidth="1"/>
    <col min="516" max="516" width="4.28125" style="106" customWidth="1"/>
    <col min="517" max="517" width="8.7109375" style="106" customWidth="1"/>
    <col min="518" max="518" width="10.28125" style="106" customWidth="1"/>
    <col min="519" max="519" width="13.8515625" style="106" customWidth="1"/>
    <col min="520" max="520" width="10.28125" style="106" customWidth="1"/>
    <col min="521" max="768" width="8.140625" style="106" customWidth="1"/>
    <col min="769" max="769" width="3.00390625" style="106" customWidth="1"/>
    <col min="770" max="770" width="12.00390625" style="106" customWidth="1"/>
    <col min="771" max="771" width="38.7109375" style="106" customWidth="1"/>
    <col min="772" max="772" width="4.28125" style="106" customWidth="1"/>
    <col min="773" max="773" width="8.7109375" style="106" customWidth="1"/>
    <col min="774" max="774" width="10.28125" style="106" customWidth="1"/>
    <col min="775" max="775" width="13.8515625" style="106" customWidth="1"/>
    <col min="776" max="776" width="10.28125" style="106" customWidth="1"/>
    <col min="777" max="1024" width="8.140625" style="106" customWidth="1"/>
    <col min="1025" max="1025" width="3.00390625" style="106" customWidth="1"/>
    <col min="1026" max="1026" width="12.00390625" style="106" customWidth="1"/>
    <col min="1027" max="1027" width="38.7109375" style="106" customWidth="1"/>
    <col min="1028" max="1028" width="4.28125" style="106" customWidth="1"/>
    <col min="1029" max="1029" width="8.7109375" style="106" customWidth="1"/>
    <col min="1030" max="1030" width="10.28125" style="106" customWidth="1"/>
    <col min="1031" max="1031" width="13.8515625" style="106" customWidth="1"/>
    <col min="1032" max="1032" width="10.28125" style="106" customWidth="1"/>
    <col min="1033" max="1280" width="8.140625" style="106" customWidth="1"/>
    <col min="1281" max="1281" width="3.00390625" style="106" customWidth="1"/>
    <col min="1282" max="1282" width="12.00390625" style="106" customWidth="1"/>
    <col min="1283" max="1283" width="38.7109375" style="106" customWidth="1"/>
    <col min="1284" max="1284" width="4.28125" style="106" customWidth="1"/>
    <col min="1285" max="1285" width="8.7109375" style="106" customWidth="1"/>
    <col min="1286" max="1286" width="10.28125" style="106" customWidth="1"/>
    <col min="1287" max="1287" width="13.8515625" style="106" customWidth="1"/>
    <col min="1288" max="1288" width="10.28125" style="106" customWidth="1"/>
    <col min="1289" max="1536" width="8.140625" style="106" customWidth="1"/>
    <col min="1537" max="1537" width="3.00390625" style="106" customWidth="1"/>
    <col min="1538" max="1538" width="12.00390625" style="106" customWidth="1"/>
    <col min="1539" max="1539" width="38.7109375" style="106" customWidth="1"/>
    <col min="1540" max="1540" width="4.28125" style="106" customWidth="1"/>
    <col min="1541" max="1541" width="8.7109375" style="106" customWidth="1"/>
    <col min="1542" max="1542" width="10.28125" style="106" customWidth="1"/>
    <col min="1543" max="1543" width="13.8515625" style="106" customWidth="1"/>
    <col min="1544" max="1544" width="10.28125" style="106" customWidth="1"/>
    <col min="1545" max="1792" width="8.140625" style="106" customWidth="1"/>
    <col min="1793" max="1793" width="3.00390625" style="106" customWidth="1"/>
    <col min="1794" max="1794" width="12.00390625" style="106" customWidth="1"/>
    <col min="1795" max="1795" width="38.7109375" style="106" customWidth="1"/>
    <col min="1796" max="1796" width="4.28125" style="106" customWidth="1"/>
    <col min="1797" max="1797" width="8.7109375" style="106" customWidth="1"/>
    <col min="1798" max="1798" width="10.28125" style="106" customWidth="1"/>
    <col min="1799" max="1799" width="13.8515625" style="106" customWidth="1"/>
    <col min="1800" max="1800" width="10.28125" style="106" customWidth="1"/>
    <col min="1801" max="2048" width="8.140625" style="106" customWidth="1"/>
    <col min="2049" max="2049" width="3.00390625" style="106" customWidth="1"/>
    <col min="2050" max="2050" width="12.00390625" style="106" customWidth="1"/>
    <col min="2051" max="2051" width="38.7109375" style="106" customWidth="1"/>
    <col min="2052" max="2052" width="4.28125" style="106" customWidth="1"/>
    <col min="2053" max="2053" width="8.7109375" style="106" customWidth="1"/>
    <col min="2054" max="2054" width="10.28125" style="106" customWidth="1"/>
    <col min="2055" max="2055" width="13.8515625" style="106" customWidth="1"/>
    <col min="2056" max="2056" width="10.28125" style="106" customWidth="1"/>
    <col min="2057" max="2304" width="8.140625" style="106" customWidth="1"/>
    <col min="2305" max="2305" width="3.00390625" style="106" customWidth="1"/>
    <col min="2306" max="2306" width="12.00390625" style="106" customWidth="1"/>
    <col min="2307" max="2307" width="38.7109375" style="106" customWidth="1"/>
    <col min="2308" max="2308" width="4.28125" style="106" customWidth="1"/>
    <col min="2309" max="2309" width="8.7109375" style="106" customWidth="1"/>
    <col min="2310" max="2310" width="10.28125" style="106" customWidth="1"/>
    <col min="2311" max="2311" width="13.8515625" style="106" customWidth="1"/>
    <col min="2312" max="2312" width="10.28125" style="106" customWidth="1"/>
    <col min="2313" max="2560" width="8.140625" style="106" customWidth="1"/>
    <col min="2561" max="2561" width="3.00390625" style="106" customWidth="1"/>
    <col min="2562" max="2562" width="12.00390625" style="106" customWidth="1"/>
    <col min="2563" max="2563" width="38.7109375" style="106" customWidth="1"/>
    <col min="2564" max="2564" width="4.28125" style="106" customWidth="1"/>
    <col min="2565" max="2565" width="8.7109375" style="106" customWidth="1"/>
    <col min="2566" max="2566" width="10.28125" style="106" customWidth="1"/>
    <col min="2567" max="2567" width="13.8515625" style="106" customWidth="1"/>
    <col min="2568" max="2568" width="10.28125" style="106" customWidth="1"/>
    <col min="2569" max="2816" width="8.140625" style="106" customWidth="1"/>
    <col min="2817" max="2817" width="3.00390625" style="106" customWidth="1"/>
    <col min="2818" max="2818" width="12.00390625" style="106" customWidth="1"/>
    <col min="2819" max="2819" width="38.7109375" style="106" customWidth="1"/>
    <col min="2820" max="2820" width="4.28125" style="106" customWidth="1"/>
    <col min="2821" max="2821" width="8.7109375" style="106" customWidth="1"/>
    <col min="2822" max="2822" width="10.28125" style="106" customWidth="1"/>
    <col min="2823" max="2823" width="13.8515625" style="106" customWidth="1"/>
    <col min="2824" max="2824" width="10.28125" style="106" customWidth="1"/>
    <col min="2825" max="3072" width="8.140625" style="106" customWidth="1"/>
    <col min="3073" max="3073" width="3.00390625" style="106" customWidth="1"/>
    <col min="3074" max="3074" width="12.00390625" style="106" customWidth="1"/>
    <col min="3075" max="3075" width="38.7109375" style="106" customWidth="1"/>
    <col min="3076" max="3076" width="4.28125" style="106" customWidth="1"/>
    <col min="3077" max="3077" width="8.7109375" style="106" customWidth="1"/>
    <col min="3078" max="3078" width="10.28125" style="106" customWidth="1"/>
    <col min="3079" max="3079" width="13.8515625" style="106" customWidth="1"/>
    <col min="3080" max="3080" width="10.28125" style="106" customWidth="1"/>
    <col min="3081" max="3328" width="8.140625" style="106" customWidth="1"/>
    <col min="3329" max="3329" width="3.00390625" style="106" customWidth="1"/>
    <col min="3330" max="3330" width="12.00390625" style="106" customWidth="1"/>
    <col min="3331" max="3331" width="38.7109375" style="106" customWidth="1"/>
    <col min="3332" max="3332" width="4.28125" style="106" customWidth="1"/>
    <col min="3333" max="3333" width="8.7109375" style="106" customWidth="1"/>
    <col min="3334" max="3334" width="10.28125" style="106" customWidth="1"/>
    <col min="3335" max="3335" width="13.8515625" style="106" customWidth="1"/>
    <col min="3336" max="3336" width="10.28125" style="106" customWidth="1"/>
    <col min="3337" max="3584" width="8.140625" style="106" customWidth="1"/>
    <col min="3585" max="3585" width="3.00390625" style="106" customWidth="1"/>
    <col min="3586" max="3586" width="12.00390625" style="106" customWidth="1"/>
    <col min="3587" max="3587" width="38.7109375" style="106" customWidth="1"/>
    <col min="3588" max="3588" width="4.28125" style="106" customWidth="1"/>
    <col min="3589" max="3589" width="8.7109375" style="106" customWidth="1"/>
    <col min="3590" max="3590" width="10.28125" style="106" customWidth="1"/>
    <col min="3591" max="3591" width="13.8515625" style="106" customWidth="1"/>
    <col min="3592" max="3592" width="10.28125" style="106" customWidth="1"/>
    <col min="3593" max="3840" width="8.140625" style="106" customWidth="1"/>
    <col min="3841" max="3841" width="3.00390625" style="106" customWidth="1"/>
    <col min="3842" max="3842" width="12.00390625" style="106" customWidth="1"/>
    <col min="3843" max="3843" width="38.7109375" style="106" customWidth="1"/>
    <col min="3844" max="3844" width="4.28125" style="106" customWidth="1"/>
    <col min="3845" max="3845" width="8.7109375" style="106" customWidth="1"/>
    <col min="3846" max="3846" width="10.28125" style="106" customWidth="1"/>
    <col min="3847" max="3847" width="13.8515625" style="106" customWidth="1"/>
    <col min="3848" max="3848" width="10.28125" style="106" customWidth="1"/>
    <col min="3849" max="4096" width="8.140625" style="106" customWidth="1"/>
    <col min="4097" max="4097" width="3.00390625" style="106" customWidth="1"/>
    <col min="4098" max="4098" width="12.00390625" style="106" customWidth="1"/>
    <col min="4099" max="4099" width="38.7109375" style="106" customWidth="1"/>
    <col min="4100" max="4100" width="4.28125" style="106" customWidth="1"/>
    <col min="4101" max="4101" width="8.7109375" style="106" customWidth="1"/>
    <col min="4102" max="4102" width="10.28125" style="106" customWidth="1"/>
    <col min="4103" max="4103" width="13.8515625" style="106" customWidth="1"/>
    <col min="4104" max="4104" width="10.28125" style="106" customWidth="1"/>
    <col min="4105" max="4352" width="8.140625" style="106" customWidth="1"/>
    <col min="4353" max="4353" width="3.00390625" style="106" customWidth="1"/>
    <col min="4354" max="4354" width="12.00390625" style="106" customWidth="1"/>
    <col min="4355" max="4355" width="38.7109375" style="106" customWidth="1"/>
    <col min="4356" max="4356" width="4.28125" style="106" customWidth="1"/>
    <col min="4357" max="4357" width="8.7109375" style="106" customWidth="1"/>
    <col min="4358" max="4358" width="10.28125" style="106" customWidth="1"/>
    <col min="4359" max="4359" width="13.8515625" style="106" customWidth="1"/>
    <col min="4360" max="4360" width="10.28125" style="106" customWidth="1"/>
    <col min="4361" max="4608" width="8.140625" style="106" customWidth="1"/>
    <col min="4609" max="4609" width="3.00390625" style="106" customWidth="1"/>
    <col min="4610" max="4610" width="12.00390625" style="106" customWidth="1"/>
    <col min="4611" max="4611" width="38.7109375" style="106" customWidth="1"/>
    <col min="4612" max="4612" width="4.28125" style="106" customWidth="1"/>
    <col min="4613" max="4613" width="8.7109375" style="106" customWidth="1"/>
    <col min="4614" max="4614" width="10.28125" style="106" customWidth="1"/>
    <col min="4615" max="4615" width="13.8515625" style="106" customWidth="1"/>
    <col min="4616" max="4616" width="10.28125" style="106" customWidth="1"/>
    <col min="4617" max="4864" width="8.140625" style="106" customWidth="1"/>
    <col min="4865" max="4865" width="3.00390625" style="106" customWidth="1"/>
    <col min="4866" max="4866" width="12.00390625" style="106" customWidth="1"/>
    <col min="4867" max="4867" width="38.7109375" style="106" customWidth="1"/>
    <col min="4868" max="4868" width="4.28125" style="106" customWidth="1"/>
    <col min="4869" max="4869" width="8.7109375" style="106" customWidth="1"/>
    <col min="4870" max="4870" width="10.28125" style="106" customWidth="1"/>
    <col min="4871" max="4871" width="13.8515625" style="106" customWidth="1"/>
    <col min="4872" max="4872" width="10.28125" style="106" customWidth="1"/>
    <col min="4873" max="5120" width="8.140625" style="106" customWidth="1"/>
    <col min="5121" max="5121" width="3.00390625" style="106" customWidth="1"/>
    <col min="5122" max="5122" width="12.00390625" style="106" customWidth="1"/>
    <col min="5123" max="5123" width="38.7109375" style="106" customWidth="1"/>
    <col min="5124" max="5124" width="4.28125" style="106" customWidth="1"/>
    <col min="5125" max="5125" width="8.7109375" style="106" customWidth="1"/>
    <col min="5126" max="5126" width="10.28125" style="106" customWidth="1"/>
    <col min="5127" max="5127" width="13.8515625" style="106" customWidth="1"/>
    <col min="5128" max="5128" width="10.28125" style="106" customWidth="1"/>
    <col min="5129" max="5376" width="8.140625" style="106" customWidth="1"/>
    <col min="5377" max="5377" width="3.00390625" style="106" customWidth="1"/>
    <col min="5378" max="5378" width="12.00390625" style="106" customWidth="1"/>
    <col min="5379" max="5379" width="38.7109375" style="106" customWidth="1"/>
    <col min="5380" max="5380" width="4.28125" style="106" customWidth="1"/>
    <col min="5381" max="5381" width="8.7109375" style="106" customWidth="1"/>
    <col min="5382" max="5382" width="10.28125" style="106" customWidth="1"/>
    <col min="5383" max="5383" width="13.8515625" style="106" customWidth="1"/>
    <col min="5384" max="5384" width="10.28125" style="106" customWidth="1"/>
    <col min="5385" max="5632" width="8.140625" style="106" customWidth="1"/>
    <col min="5633" max="5633" width="3.00390625" style="106" customWidth="1"/>
    <col min="5634" max="5634" width="12.00390625" style="106" customWidth="1"/>
    <col min="5635" max="5635" width="38.7109375" style="106" customWidth="1"/>
    <col min="5636" max="5636" width="4.28125" style="106" customWidth="1"/>
    <col min="5637" max="5637" width="8.7109375" style="106" customWidth="1"/>
    <col min="5638" max="5638" width="10.28125" style="106" customWidth="1"/>
    <col min="5639" max="5639" width="13.8515625" style="106" customWidth="1"/>
    <col min="5640" max="5640" width="10.28125" style="106" customWidth="1"/>
    <col min="5641" max="5888" width="8.140625" style="106" customWidth="1"/>
    <col min="5889" max="5889" width="3.00390625" style="106" customWidth="1"/>
    <col min="5890" max="5890" width="12.00390625" style="106" customWidth="1"/>
    <col min="5891" max="5891" width="38.7109375" style="106" customWidth="1"/>
    <col min="5892" max="5892" width="4.28125" style="106" customWidth="1"/>
    <col min="5893" max="5893" width="8.7109375" style="106" customWidth="1"/>
    <col min="5894" max="5894" width="10.28125" style="106" customWidth="1"/>
    <col min="5895" max="5895" width="13.8515625" style="106" customWidth="1"/>
    <col min="5896" max="5896" width="10.28125" style="106" customWidth="1"/>
    <col min="5897" max="6144" width="8.140625" style="106" customWidth="1"/>
    <col min="6145" max="6145" width="3.00390625" style="106" customWidth="1"/>
    <col min="6146" max="6146" width="12.00390625" style="106" customWidth="1"/>
    <col min="6147" max="6147" width="38.7109375" style="106" customWidth="1"/>
    <col min="6148" max="6148" width="4.28125" style="106" customWidth="1"/>
    <col min="6149" max="6149" width="8.7109375" style="106" customWidth="1"/>
    <col min="6150" max="6150" width="10.28125" style="106" customWidth="1"/>
    <col min="6151" max="6151" width="13.8515625" style="106" customWidth="1"/>
    <col min="6152" max="6152" width="10.28125" style="106" customWidth="1"/>
    <col min="6153" max="6400" width="8.140625" style="106" customWidth="1"/>
    <col min="6401" max="6401" width="3.00390625" style="106" customWidth="1"/>
    <col min="6402" max="6402" width="12.00390625" style="106" customWidth="1"/>
    <col min="6403" max="6403" width="38.7109375" style="106" customWidth="1"/>
    <col min="6404" max="6404" width="4.28125" style="106" customWidth="1"/>
    <col min="6405" max="6405" width="8.7109375" style="106" customWidth="1"/>
    <col min="6406" max="6406" width="10.28125" style="106" customWidth="1"/>
    <col min="6407" max="6407" width="13.8515625" style="106" customWidth="1"/>
    <col min="6408" max="6408" width="10.28125" style="106" customWidth="1"/>
    <col min="6409" max="6656" width="8.140625" style="106" customWidth="1"/>
    <col min="6657" max="6657" width="3.00390625" style="106" customWidth="1"/>
    <col min="6658" max="6658" width="12.00390625" style="106" customWidth="1"/>
    <col min="6659" max="6659" width="38.7109375" style="106" customWidth="1"/>
    <col min="6660" max="6660" width="4.28125" style="106" customWidth="1"/>
    <col min="6661" max="6661" width="8.7109375" style="106" customWidth="1"/>
    <col min="6662" max="6662" width="10.28125" style="106" customWidth="1"/>
    <col min="6663" max="6663" width="13.8515625" style="106" customWidth="1"/>
    <col min="6664" max="6664" width="10.28125" style="106" customWidth="1"/>
    <col min="6665" max="6912" width="8.140625" style="106" customWidth="1"/>
    <col min="6913" max="6913" width="3.00390625" style="106" customWidth="1"/>
    <col min="6914" max="6914" width="12.00390625" style="106" customWidth="1"/>
    <col min="6915" max="6915" width="38.7109375" style="106" customWidth="1"/>
    <col min="6916" max="6916" width="4.28125" style="106" customWidth="1"/>
    <col min="6917" max="6917" width="8.7109375" style="106" customWidth="1"/>
    <col min="6918" max="6918" width="10.28125" style="106" customWidth="1"/>
    <col min="6919" max="6919" width="13.8515625" style="106" customWidth="1"/>
    <col min="6920" max="6920" width="10.28125" style="106" customWidth="1"/>
    <col min="6921" max="7168" width="8.140625" style="106" customWidth="1"/>
    <col min="7169" max="7169" width="3.00390625" style="106" customWidth="1"/>
    <col min="7170" max="7170" width="12.00390625" style="106" customWidth="1"/>
    <col min="7171" max="7171" width="38.7109375" style="106" customWidth="1"/>
    <col min="7172" max="7172" width="4.28125" style="106" customWidth="1"/>
    <col min="7173" max="7173" width="8.7109375" style="106" customWidth="1"/>
    <col min="7174" max="7174" width="10.28125" style="106" customWidth="1"/>
    <col min="7175" max="7175" width="13.8515625" style="106" customWidth="1"/>
    <col min="7176" max="7176" width="10.28125" style="106" customWidth="1"/>
    <col min="7177" max="7424" width="8.140625" style="106" customWidth="1"/>
    <col min="7425" max="7425" width="3.00390625" style="106" customWidth="1"/>
    <col min="7426" max="7426" width="12.00390625" style="106" customWidth="1"/>
    <col min="7427" max="7427" width="38.7109375" style="106" customWidth="1"/>
    <col min="7428" max="7428" width="4.28125" style="106" customWidth="1"/>
    <col min="7429" max="7429" width="8.7109375" style="106" customWidth="1"/>
    <col min="7430" max="7430" width="10.28125" style="106" customWidth="1"/>
    <col min="7431" max="7431" width="13.8515625" style="106" customWidth="1"/>
    <col min="7432" max="7432" width="10.28125" style="106" customWidth="1"/>
    <col min="7433" max="7680" width="8.140625" style="106" customWidth="1"/>
    <col min="7681" max="7681" width="3.00390625" style="106" customWidth="1"/>
    <col min="7682" max="7682" width="12.00390625" style="106" customWidth="1"/>
    <col min="7683" max="7683" width="38.7109375" style="106" customWidth="1"/>
    <col min="7684" max="7684" width="4.28125" style="106" customWidth="1"/>
    <col min="7685" max="7685" width="8.7109375" style="106" customWidth="1"/>
    <col min="7686" max="7686" width="10.28125" style="106" customWidth="1"/>
    <col min="7687" max="7687" width="13.8515625" style="106" customWidth="1"/>
    <col min="7688" max="7688" width="10.28125" style="106" customWidth="1"/>
    <col min="7689" max="7936" width="8.140625" style="106" customWidth="1"/>
    <col min="7937" max="7937" width="3.00390625" style="106" customWidth="1"/>
    <col min="7938" max="7938" width="12.00390625" style="106" customWidth="1"/>
    <col min="7939" max="7939" width="38.7109375" style="106" customWidth="1"/>
    <col min="7940" max="7940" width="4.28125" style="106" customWidth="1"/>
    <col min="7941" max="7941" width="8.7109375" style="106" customWidth="1"/>
    <col min="7942" max="7942" width="10.28125" style="106" customWidth="1"/>
    <col min="7943" max="7943" width="13.8515625" style="106" customWidth="1"/>
    <col min="7944" max="7944" width="10.28125" style="106" customWidth="1"/>
    <col min="7945" max="8192" width="8.140625" style="106" customWidth="1"/>
    <col min="8193" max="8193" width="3.00390625" style="106" customWidth="1"/>
    <col min="8194" max="8194" width="12.00390625" style="106" customWidth="1"/>
    <col min="8195" max="8195" width="38.7109375" style="106" customWidth="1"/>
    <col min="8196" max="8196" width="4.28125" style="106" customWidth="1"/>
    <col min="8197" max="8197" width="8.7109375" style="106" customWidth="1"/>
    <col min="8198" max="8198" width="10.28125" style="106" customWidth="1"/>
    <col min="8199" max="8199" width="13.8515625" style="106" customWidth="1"/>
    <col min="8200" max="8200" width="10.28125" style="106" customWidth="1"/>
    <col min="8201" max="8448" width="8.140625" style="106" customWidth="1"/>
    <col min="8449" max="8449" width="3.00390625" style="106" customWidth="1"/>
    <col min="8450" max="8450" width="12.00390625" style="106" customWidth="1"/>
    <col min="8451" max="8451" width="38.7109375" style="106" customWidth="1"/>
    <col min="8452" max="8452" width="4.28125" style="106" customWidth="1"/>
    <col min="8453" max="8453" width="8.7109375" style="106" customWidth="1"/>
    <col min="8454" max="8454" width="10.28125" style="106" customWidth="1"/>
    <col min="8455" max="8455" width="13.8515625" style="106" customWidth="1"/>
    <col min="8456" max="8456" width="10.28125" style="106" customWidth="1"/>
    <col min="8457" max="8704" width="8.140625" style="106" customWidth="1"/>
    <col min="8705" max="8705" width="3.00390625" style="106" customWidth="1"/>
    <col min="8706" max="8706" width="12.00390625" style="106" customWidth="1"/>
    <col min="8707" max="8707" width="38.7109375" style="106" customWidth="1"/>
    <col min="8708" max="8708" width="4.28125" style="106" customWidth="1"/>
    <col min="8709" max="8709" width="8.7109375" style="106" customWidth="1"/>
    <col min="8710" max="8710" width="10.28125" style="106" customWidth="1"/>
    <col min="8711" max="8711" width="13.8515625" style="106" customWidth="1"/>
    <col min="8712" max="8712" width="10.28125" style="106" customWidth="1"/>
    <col min="8713" max="8960" width="8.140625" style="106" customWidth="1"/>
    <col min="8961" max="8961" width="3.00390625" style="106" customWidth="1"/>
    <col min="8962" max="8962" width="12.00390625" style="106" customWidth="1"/>
    <col min="8963" max="8963" width="38.7109375" style="106" customWidth="1"/>
    <col min="8964" max="8964" width="4.28125" style="106" customWidth="1"/>
    <col min="8965" max="8965" width="8.7109375" style="106" customWidth="1"/>
    <col min="8966" max="8966" width="10.28125" style="106" customWidth="1"/>
    <col min="8967" max="8967" width="13.8515625" style="106" customWidth="1"/>
    <col min="8968" max="8968" width="10.28125" style="106" customWidth="1"/>
    <col min="8969" max="9216" width="8.140625" style="106" customWidth="1"/>
    <col min="9217" max="9217" width="3.00390625" style="106" customWidth="1"/>
    <col min="9218" max="9218" width="12.00390625" style="106" customWidth="1"/>
    <col min="9219" max="9219" width="38.7109375" style="106" customWidth="1"/>
    <col min="9220" max="9220" width="4.28125" style="106" customWidth="1"/>
    <col min="9221" max="9221" width="8.7109375" style="106" customWidth="1"/>
    <col min="9222" max="9222" width="10.28125" style="106" customWidth="1"/>
    <col min="9223" max="9223" width="13.8515625" style="106" customWidth="1"/>
    <col min="9224" max="9224" width="10.28125" style="106" customWidth="1"/>
    <col min="9225" max="9472" width="8.140625" style="106" customWidth="1"/>
    <col min="9473" max="9473" width="3.00390625" style="106" customWidth="1"/>
    <col min="9474" max="9474" width="12.00390625" style="106" customWidth="1"/>
    <col min="9475" max="9475" width="38.7109375" style="106" customWidth="1"/>
    <col min="9476" max="9476" width="4.28125" style="106" customWidth="1"/>
    <col min="9477" max="9477" width="8.7109375" style="106" customWidth="1"/>
    <col min="9478" max="9478" width="10.28125" style="106" customWidth="1"/>
    <col min="9479" max="9479" width="13.8515625" style="106" customWidth="1"/>
    <col min="9480" max="9480" width="10.28125" style="106" customWidth="1"/>
    <col min="9481" max="9728" width="8.140625" style="106" customWidth="1"/>
    <col min="9729" max="9729" width="3.00390625" style="106" customWidth="1"/>
    <col min="9730" max="9730" width="12.00390625" style="106" customWidth="1"/>
    <col min="9731" max="9731" width="38.7109375" style="106" customWidth="1"/>
    <col min="9732" max="9732" width="4.28125" style="106" customWidth="1"/>
    <col min="9733" max="9733" width="8.7109375" style="106" customWidth="1"/>
    <col min="9734" max="9734" width="10.28125" style="106" customWidth="1"/>
    <col min="9735" max="9735" width="13.8515625" style="106" customWidth="1"/>
    <col min="9736" max="9736" width="10.28125" style="106" customWidth="1"/>
    <col min="9737" max="9984" width="8.140625" style="106" customWidth="1"/>
    <col min="9985" max="9985" width="3.00390625" style="106" customWidth="1"/>
    <col min="9986" max="9986" width="12.00390625" style="106" customWidth="1"/>
    <col min="9987" max="9987" width="38.7109375" style="106" customWidth="1"/>
    <col min="9988" max="9988" width="4.28125" style="106" customWidth="1"/>
    <col min="9989" max="9989" width="8.7109375" style="106" customWidth="1"/>
    <col min="9990" max="9990" width="10.28125" style="106" customWidth="1"/>
    <col min="9991" max="9991" width="13.8515625" style="106" customWidth="1"/>
    <col min="9992" max="9992" width="10.28125" style="106" customWidth="1"/>
    <col min="9993" max="10240" width="8.140625" style="106" customWidth="1"/>
    <col min="10241" max="10241" width="3.00390625" style="106" customWidth="1"/>
    <col min="10242" max="10242" width="12.00390625" style="106" customWidth="1"/>
    <col min="10243" max="10243" width="38.7109375" style="106" customWidth="1"/>
    <col min="10244" max="10244" width="4.28125" style="106" customWidth="1"/>
    <col min="10245" max="10245" width="8.7109375" style="106" customWidth="1"/>
    <col min="10246" max="10246" width="10.28125" style="106" customWidth="1"/>
    <col min="10247" max="10247" width="13.8515625" style="106" customWidth="1"/>
    <col min="10248" max="10248" width="10.28125" style="106" customWidth="1"/>
    <col min="10249" max="10496" width="8.140625" style="106" customWidth="1"/>
    <col min="10497" max="10497" width="3.00390625" style="106" customWidth="1"/>
    <col min="10498" max="10498" width="12.00390625" style="106" customWidth="1"/>
    <col min="10499" max="10499" width="38.7109375" style="106" customWidth="1"/>
    <col min="10500" max="10500" width="4.28125" style="106" customWidth="1"/>
    <col min="10501" max="10501" width="8.7109375" style="106" customWidth="1"/>
    <col min="10502" max="10502" width="10.28125" style="106" customWidth="1"/>
    <col min="10503" max="10503" width="13.8515625" style="106" customWidth="1"/>
    <col min="10504" max="10504" width="10.28125" style="106" customWidth="1"/>
    <col min="10505" max="10752" width="8.140625" style="106" customWidth="1"/>
    <col min="10753" max="10753" width="3.00390625" style="106" customWidth="1"/>
    <col min="10754" max="10754" width="12.00390625" style="106" customWidth="1"/>
    <col min="10755" max="10755" width="38.7109375" style="106" customWidth="1"/>
    <col min="10756" max="10756" width="4.28125" style="106" customWidth="1"/>
    <col min="10757" max="10757" width="8.7109375" style="106" customWidth="1"/>
    <col min="10758" max="10758" width="10.28125" style="106" customWidth="1"/>
    <col min="10759" max="10759" width="13.8515625" style="106" customWidth="1"/>
    <col min="10760" max="10760" width="10.28125" style="106" customWidth="1"/>
    <col min="10761" max="11008" width="8.140625" style="106" customWidth="1"/>
    <col min="11009" max="11009" width="3.00390625" style="106" customWidth="1"/>
    <col min="11010" max="11010" width="12.00390625" style="106" customWidth="1"/>
    <col min="11011" max="11011" width="38.7109375" style="106" customWidth="1"/>
    <col min="11012" max="11012" width="4.28125" style="106" customWidth="1"/>
    <col min="11013" max="11013" width="8.7109375" style="106" customWidth="1"/>
    <col min="11014" max="11014" width="10.28125" style="106" customWidth="1"/>
    <col min="11015" max="11015" width="13.8515625" style="106" customWidth="1"/>
    <col min="11016" max="11016" width="10.28125" style="106" customWidth="1"/>
    <col min="11017" max="11264" width="8.140625" style="106" customWidth="1"/>
    <col min="11265" max="11265" width="3.00390625" style="106" customWidth="1"/>
    <col min="11266" max="11266" width="12.00390625" style="106" customWidth="1"/>
    <col min="11267" max="11267" width="38.7109375" style="106" customWidth="1"/>
    <col min="11268" max="11268" width="4.28125" style="106" customWidth="1"/>
    <col min="11269" max="11269" width="8.7109375" style="106" customWidth="1"/>
    <col min="11270" max="11270" width="10.28125" style="106" customWidth="1"/>
    <col min="11271" max="11271" width="13.8515625" style="106" customWidth="1"/>
    <col min="11272" max="11272" width="10.28125" style="106" customWidth="1"/>
    <col min="11273" max="11520" width="8.140625" style="106" customWidth="1"/>
    <col min="11521" max="11521" width="3.00390625" style="106" customWidth="1"/>
    <col min="11522" max="11522" width="12.00390625" style="106" customWidth="1"/>
    <col min="11523" max="11523" width="38.7109375" style="106" customWidth="1"/>
    <col min="11524" max="11524" width="4.28125" style="106" customWidth="1"/>
    <col min="11525" max="11525" width="8.7109375" style="106" customWidth="1"/>
    <col min="11526" max="11526" width="10.28125" style="106" customWidth="1"/>
    <col min="11527" max="11527" width="13.8515625" style="106" customWidth="1"/>
    <col min="11528" max="11528" width="10.28125" style="106" customWidth="1"/>
    <col min="11529" max="11776" width="8.140625" style="106" customWidth="1"/>
    <col min="11777" max="11777" width="3.00390625" style="106" customWidth="1"/>
    <col min="11778" max="11778" width="12.00390625" style="106" customWidth="1"/>
    <col min="11779" max="11779" width="38.7109375" style="106" customWidth="1"/>
    <col min="11780" max="11780" width="4.28125" style="106" customWidth="1"/>
    <col min="11781" max="11781" width="8.7109375" style="106" customWidth="1"/>
    <col min="11782" max="11782" width="10.28125" style="106" customWidth="1"/>
    <col min="11783" max="11783" width="13.8515625" style="106" customWidth="1"/>
    <col min="11784" max="11784" width="10.28125" style="106" customWidth="1"/>
    <col min="11785" max="12032" width="8.140625" style="106" customWidth="1"/>
    <col min="12033" max="12033" width="3.00390625" style="106" customWidth="1"/>
    <col min="12034" max="12034" width="12.00390625" style="106" customWidth="1"/>
    <col min="12035" max="12035" width="38.7109375" style="106" customWidth="1"/>
    <col min="12036" max="12036" width="4.28125" style="106" customWidth="1"/>
    <col min="12037" max="12037" width="8.7109375" style="106" customWidth="1"/>
    <col min="12038" max="12038" width="10.28125" style="106" customWidth="1"/>
    <col min="12039" max="12039" width="13.8515625" style="106" customWidth="1"/>
    <col min="12040" max="12040" width="10.28125" style="106" customWidth="1"/>
    <col min="12041" max="12288" width="8.140625" style="106" customWidth="1"/>
    <col min="12289" max="12289" width="3.00390625" style="106" customWidth="1"/>
    <col min="12290" max="12290" width="12.00390625" style="106" customWidth="1"/>
    <col min="12291" max="12291" width="38.7109375" style="106" customWidth="1"/>
    <col min="12292" max="12292" width="4.28125" style="106" customWidth="1"/>
    <col min="12293" max="12293" width="8.7109375" style="106" customWidth="1"/>
    <col min="12294" max="12294" width="10.28125" style="106" customWidth="1"/>
    <col min="12295" max="12295" width="13.8515625" style="106" customWidth="1"/>
    <col min="12296" max="12296" width="10.28125" style="106" customWidth="1"/>
    <col min="12297" max="12544" width="8.140625" style="106" customWidth="1"/>
    <col min="12545" max="12545" width="3.00390625" style="106" customWidth="1"/>
    <col min="12546" max="12546" width="12.00390625" style="106" customWidth="1"/>
    <col min="12547" max="12547" width="38.7109375" style="106" customWidth="1"/>
    <col min="12548" max="12548" width="4.28125" style="106" customWidth="1"/>
    <col min="12549" max="12549" width="8.7109375" style="106" customWidth="1"/>
    <col min="12550" max="12550" width="10.28125" style="106" customWidth="1"/>
    <col min="12551" max="12551" width="13.8515625" style="106" customWidth="1"/>
    <col min="12552" max="12552" width="10.28125" style="106" customWidth="1"/>
    <col min="12553" max="12800" width="8.140625" style="106" customWidth="1"/>
    <col min="12801" max="12801" width="3.00390625" style="106" customWidth="1"/>
    <col min="12802" max="12802" width="12.00390625" style="106" customWidth="1"/>
    <col min="12803" max="12803" width="38.7109375" style="106" customWidth="1"/>
    <col min="12804" max="12804" width="4.28125" style="106" customWidth="1"/>
    <col min="12805" max="12805" width="8.7109375" style="106" customWidth="1"/>
    <col min="12806" max="12806" width="10.28125" style="106" customWidth="1"/>
    <col min="12807" max="12807" width="13.8515625" style="106" customWidth="1"/>
    <col min="12808" max="12808" width="10.28125" style="106" customWidth="1"/>
    <col min="12809" max="13056" width="8.140625" style="106" customWidth="1"/>
    <col min="13057" max="13057" width="3.00390625" style="106" customWidth="1"/>
    <col min="13058" max="13058" width="12.00390625" style="106" customWidth="1"/>
    <col min="13059" max="13059" width="38.7109375" style="106" customWidth="1"/>
    <col min="13060" max="13060" width="4.28125" style="106" customWidth="1"/>
    <col min="13061" max="13061" width="8.7109375" style="106" customWidth="1"/>
    <col min="13062" max="13062" width="10.28125" style="106" customWidth="1"/>
    <col min="13063" max="13063" width="13.8515625" style="106" customWidth="1"/>
    <col min="13064" max="13064" width="10.28125" style="106" customWidth="1"/>
    <col min="13065" max="13312" width="8.140625" style="106" customWidth="1"/>
    <col min="13313" max="13313" width="3.00390625" style="106" customWidth="1"/>
    <col min="13314" max="13314" width="12.00390625" style="106" customWidth="1"/>
    <col min="13315" max="13315" width="38.7109375" style="106" customWidth="1"/>
    <col min="13316" max="13316" width="4.28125" style="106" customWidth="1"/>
    <col min="13317" max="13317" width="8.7109375" style="106" customWidth="1"/>
    <col min="13318" max="13318" width="10.28125" style="106" customWidth="1"/>
    <col min="13319" max="13319" width="13.8515625" style="106" customWidth="1"/>
    <col min="13320" max="13320" width="10.28125" style="106" customWidth="1"/>
    <col min="13321" max="13568" width="8.140625" style="106" customWidth="1"/>
    <col min="13569" max="13569" width="3.00390625" style="106" customWidth="1"/>
    <col min="13570" max="13570" width="12.00390625" style="106" customWidth="1"/>
    <col min="13571" max="13571" width="38.7109375" style="106" customWidth="1"/>
    <col min="13572" max="13572" width="4.28125" style="106" customWidth="1"/>
    <col min="13573" max="13573" width="8.7109375" style="106" customWidth="1"/>
    <col min="13574" max="13574" width="10.28125" style="106" customWidth="1"/>
    <col min="13575" max="13575" width="13.8515625" style="106" customWidth="1"/>
    <col min="13576" max="13576" width="10.28125" style="106" customWidth="1"/>
    <col min="13577" max="13824" width="8.140625" style="106" customWidth="1"/>
    <col min="13825" max="13825" width="3.00390625" style="106" customWidth="1"/>
    <col min="13826" max="13826" width="12.00390625" style="106" customWidth="1"/>
    <col min="13827" max="13827" width="38.7109375" style="106" customWidth="1"/>
    <col min="13828" max="13828" width="4.28125" style="106" customWidth="1"/>
    <col min="13829" max="13829" width="8.7109375" style="106" customWidth="1"/>
    <col min="13830" max="13830" width="10.28125" style="106" customWidth="1"/>
    <col min="13831" max="13831" width="13.8515625" style="106" customWidth="1"/>
    <col min="13832" max="13832" width="10.28125" style="106" customWidth="1"/>
    <col min="13833" max="14080" width="8.140625" style="106" customWidth="1"/>
    <col min="14081" max="14081" width="3.00390625" style="106" customWidth="1"/>
    <col min="14082" max="14082" width="12.00390625" style="106" customWidth="1"/>
    <col min="14083" max="14083" width="38.7109375" style="106" customWidth="1"/>
    <col min="14084" max="14084" width="4.28125" style="106" customWidth="1"/>
    <col min="14085" max="14085" width="8.7109375" style="106" customWidth="1"/>
    <col min="14086" max="14086" width="10.28125" style="106" customWidth="1"/>
    <col min="14087" max="14087" width="13.8515625" style="106" customWidth="1"/>
    <col min="14088" max="14088" width="10.28125" style="106" customWidth="1"/>
    <col min="14089" max="14336" width="8.140625" style="106" customWidth="1"/>
    <col min="14337" max="14337" width="3.00390625" style="106" customWidth="1"/>
    <col min="14338" max="14338" width="12.00390625" style="106" customWidth="1"/>
    <col min="14339" max="14339" width="38.7109375" style="106" customWidth="1"/>
    <col min="14340" max="14340" width="4.28125" style="106" customWidth="1"/>
    <col min="14341" max="14341" width="8.7109375" style="106" customWidth="1"/>
    <col min="14342" max="14342" width="10.28125" style="106" customWidth="1"/>
    <col min="14343" max="14343" width="13.8515625" style="106" customWidth="1"/>
    <col min="14344" max="14344" width="10.28125" style="106" customWidth="1"/>
    <col min="14345" max="14592" width="8.140625" style="106" customWidth="1"/>
    <col min="14593" max="14593" width="3.00390625" style="106" customWidth="1"/>
    <col min="14594" max="14594" width="12.00390625" style="106" customWidth="1"/>
    <col min="14595" max="14595" width="38.7109375" style="106" customWidth="1"/>
    <col min="14596" max="14596" width="4.28125" style="106" customWidth="1"/>
    <col min="14597" max="14597" width="8.7109375" style="106" customWidth="1"/>
    <col min="14598" max="14598" width="10.28125" style="106" customWidth="1"/>
    <col min="14599" max="14599" width="13.8515625" style="106" customWidth="1"/>
    <col min="14600" max="14600" width="10.28125" style="106" customWidth="1"/>
    <col min="14601" max="14848" width="8.140625" style="106" customWidth="1"/>
    <col min="14849" max="14849" width="3.00390625" style="106" customWidth="1"/>
    <col min="14850" max="14850" width="12.00390625" style="106" customWidth="1"/>
    <col min="14851" max="14851" width="38.7109375" style="106" customWidth="1"/>
    <col min="14852" max="14852" width="4.28125" style="106" customWidth="1"/>
    <col min="14853" max="14853" width="8.7109375" style="106" customWidth="1"/>
    <col min="14854" max="14854" width="10.28125" style="106" customWidth="1"/>
    <col min="14855" max="14855" width="13.8515625" style="106" customWidth="1"/>
    <col min="14856" max="14856" width="10.28125" style="106" customWidth="1"/>
    <col min="14857" max="15104" width="8.140625" style="106" customWidth="1"/>
    <col min="15105" max="15105" width="3.00390625" style="106" customWidth="1"/>
    <col min="15106" max="15106" width="12.00390625" style="106" customWidth="1"/>
    <col min="15107" max="15107" width="38.7109375" style="106" customWidth="1"/>
    <col min="15108" max="15108" width="4.28125" style="106" customWidth="1"/>
    <col min="15109" max="15109" width="8.7109375" style="106" customWidth="1"/>
    <col min="15110" max="15110" width="10.28125" style="106" customWidth="1"/>
    <col min="15111" max="15111" width="13.8515625" style="106" customWidth="1"/>
    <col min="15112" max="15112" width="10.28125" style="106" customWidth="1"/>
    <col min="15113" max="15360" width="8.140625" style="106" customWidth="1"/>
    <col min="15361" max="15361" width="3.00390625" style="106" customWidth="1"/>
    <col min="15362" max="15362" width="12.00390625" style="106" customWidth="1"/>
    <col min="15363" max="15363" width="38.7109375" style="106" customWidth="1"/>
    <col min="15364" max="15364" width="4.28125" style="106" customWidth="1"/>
    <col min="15365" max="15365" width="8.7109375" style="106" customWidth="1"/>
    <col min="15366" max="15366" width="10.28125" style="106" customWidth="1"/>
    <col min="15367" max="15367" width="13.8515625" style="106" customWidth="1"/>
    <col min="15368" max="15368" width="10.28125" style="106" customWidth="1"/>
    <col min="15369" max="15616" width="8.140625" style="106" customWidth="1"/>
    <col min="15617" max="15617" width="3.00390625" style="106" customWidth="1"/>
    <col min="15618" max="15618" width="12.00390625" style="106" customWidth="1"/>
    <col min="15619" max="15619" width="38.7109375" style="106" customWidth="1"/>
    <col min="15620" max="15620" width="4.28125" style="106" customWidth="1"/>
    <col min="15621" max="15621" width="8.7109375" style="106" customWidth="1"/>
    <col min="15622" max="15622" width="10.28125" style="106" customWidth="1"/>
    <col min="15623" max="15623" width="13.8515625" style="106" customWidth="1"/>
    <col min="15624" max="15624" width="10.28125" style="106" customWidth="1"/>
    <col min="15625" max="15872" width="8.140625" style="106" customWidth="1"/>
    <col min="15873" max="15873" width="3.00390625" style="106" customWidth="1"/>
    <col min="15874" max="15874" width="12.00390625" style="106" customWidth="1"/>
    <col min="15875" max="15875" width="38.7109375" style="106" customWidth="1"/>
    <col min="15876" max="15876" width="4.28125" style="106" customWidth="1"/>
    <col min="15877" max="15877" width="8.7109375" style="106" customWidth="1"/>
    <col min="15878" max="15878" width="10.28125" style="106" customWidth="1"/>
    <col min="15879" max="15879" width="13.8515625" style="106" customWidth="1"/>
    <col min="15880" max="15880" width="10.28125" style="106" customWidth="1"/>
    <col min="15881" max="16128" width="8.140625" style="106" customWidth="1"/>
    <col min="16129" max="16129" width="3.00390625" style="106" customWidth="1"/>
    <col min="16130" max="16130" width="12.00390625" style="106" customWidth="1"/>
    <col min="16131" max="16131" width="38.7109375" style="106" customWidth="1"/>
    <col min="16132" max="16132" width="4.28125" style="106" customWidth="1"/>
    <col min="16133" max="16133" width="8.7109375" style="106" customWidth="1"/>
    <col min="16134" max="16134" width="10.28125" style="106" customWidth="1"/>
    <col min="16135" max="16135" width="13.8515625" style="106" customWidth="1"/>
    <col min="16136" max="16136" width="10.28125" style="106" customWidth="1"/>
    <col min="16137" max="16384" width="8.140625" style="106" customWidth="1"/>
  </cols>
  <sheetData>
    <row r="1" spans="1:8" s="76" customFormat="1" ht="12.75" customHeight="1">
      <c r="A1" s="416" t="s">
        <v>1774</v>
      </c>
      <c r="B1" s="416"/>
      <c r="C1" s="416"/>
      <c r="D1" s="77"/>
      <c r="E1" s="77"/>
      <c r="F1" s="77"/>
      <c r="G1" s="77"/>
      <c r="H1" s="77"/>
    </row>
    <row r="2" spans="1:8" s="76" customFormat="1" ht="18.6" customHeight="1">
      <c r="A2" s="416" t="s">
        <v>1775</v>
      </c>
      <c r="B2" s="416"/>
      <c r="C2" s="416"/>
      <c r="D2" s="77"/>
      <c r="E2" s="77"/>
      <c r="F2" s="77"/>
      <c r="G2" s="77"/>
      <c r="H2" s="77"/>
    </row>
    <row r="3" spans="1:8" s="76" customFormat="1" ht="13.5" customHeight="1">
      <c r="A3" s="78"/>
      <c r="B3" s="77"/>
      <c r="C3" s="78"/>
      <c r="D3" s="77"/>
      <c r="E3" s="77"/>
      <c r="F3" s="77"/>
      <c r="G3" s="77"/>
      <c r="H3" s="77"/>
    </row>
    <row r="4" spans="1:8" s="76" customFormat="1" ht="6.75" customHeight="1">
      <c r="A4" s="79"/>
      <c r="B4" s="80"/>
      <c r="C4" s="81"/>
      <c r="D4" s="80"/>
      <c r="E4" s="82"/>
      <c r="F4" s="83"/>
      <c r="G4" s="83"/>
      <c r="H4" s="84"/>
    </row>
    <row r="5" spans="1:8" s="76" customFormat="1" ht="12.75" customHeight="1">
      <c r="A5" s="85" t="s">
        <v>1776</v>
      </c>
      <c r="B5" s="85"/>
      <c r="C5" s="85"/>
      <c r="D5" s="85"/>
      <c r="E5" s="85"/>
      <c r="F5" s="85"/>
      <c r="G5" s="85"/>
      <c r="H5" s="85"/>
    </row>
    <row r="6" spans="1:8" s="76" customFormat="1" ht="12.75" customHeight="1">
      <c r="A6" s="85" t="s">
        <v>1777</v>
      </c>
      <c r="B6" s="85"/>
      <c r="C6" s="85"/>
      <c r="D6" s="85"/>
      <c r="E6" s="85"/>
      <c r="F6" s="85"/>
      <c r="G6" s="85" t="s">
        <v>2524</v>
      </c>
      <c r="H6" s="85"/>
    </row>
    <row r="7" spans="1:8" s="76" customFormat="1" ht="12.75" customHeight="1">
      <c r="A7" s="85" t="s">
        <v>1778</v>
      </c>
      <c r="B7" s="86"/>
      <c r="C7" s="86"/>
      <c r="D7" s="86"/>
      <c r="E7" s="87"/>
      <c r="F7" s="88"/>
      <c r="G7" s="85" t="s">
        <v>3057</v>
      </c>
      <c r="H7" s="87"/>
    </row>
    <row r="8" spans="1:8" s="76" customFormat="1" ht="6.75" customHeight="1">
      <c r="A8" s="89"/>
      <c r="B8" s="89"/>
      <c r="C8" s="89"/>
      <c r="D8" s="89"/>
      <c r="E8" s="89"/>
      <c r="F8" s="89"/>
      <c r="G8" s="89"/>
      <c r="H8" s="89"/>
    </row>
    <row r="9" spans="1:8" s="76" customFormat="1" ht="28.5" customHeight="1">
      <c r="A9" s="417" t="s">
        <v>1779</v>
      </c>
      <c r="B9" s="417" t="s">
        <v>1780</v>
      </c>
      <c r="C9" s="417" t="s">
        <v>1781</v>
      </c>
      <c r="D9" s="417" t="s">
        <v>65</v>
      </c>
      <c r="E9" s="417" t="s">
        <v>1782</v>
      </c>
      <c r="F9" s="417" t="s">
        <v>1783</v>
      </c>
      <c r="G9" s="417" t="s">
        <v>1784</v>
      </c>
      <c r="H9" s="417" t="s">
        <v>1785</v>
      </c>
    </row>
    <row r="10" spans="1:8" s="76" customFormat="1" ht="12.75" customHeight="1" hidden="1">
      <c r="A10" s="90" t="s">
        <v>90</v>
      </c>
      <c r="B10" s="90" t="s">
        <v>99</v>
      </c>
      <c r="C10" s="90" t="s">
        <v>105</v>
      </c>
      <c r="D10" s="90" t="s">
        <v>112</v>
      </c>
      <c r="E10" s="90" t="s">
        <v>118</v>
      </c>
      <c r="F10" s="90" t="s">
        <v>127</v>
      </c>
      <c r="G10" s="90" t="s">
        <v>136</v>
      </c>
      <c r="H10" s="90" t="s">
        <v>140</v>
      </c>
    </row>
    <row r="11" spans="1:8" s="76" customFormat="1" ht="5.25" customHeight="1">
      <c r="A11" s="89"/>
      <c r="B11" s="89"/>
      <c r="C11" s="89"/>
      <c r="D11" s="89"/>
      <c r="E11" s="89"/>
      <c r="F11" s="89"/>
      <c r="G11" s="89"/>
      <c r="H11" s="89"/>
    </row>
    <row r="12" spans="1:8" ht="30.75" customHeight="1">
      <c r="A12" s="98"/>
      <c r="B12" s="99" t="s">
        <v>29</v>
      </c>
      <c r="C12" s="99" t="s">
        <v>1786</v>
      </c>
      <c r="D12" s="99"/>
      <c r="E12" s="100"/>
      <c r="F12" s="101"/>
      <c r="G12" s="101">
        <f>SUM(G131)</f>
        <v>0</v>
      </c>
      <c r="H12" s="100">
        <v>2.90232</v>
      </c>
    </row>
    <row r="13" spans="1:8" ht="28.5" customHeight="1">
      <c r="A13" s="107"/>
      <c r="B13" s="108" t="s">
        <v>1787</v>
      </c>
      <c r="C13" s="108" t="s">
        <v>1788</v>
      </c>
      <c r="D13" s="108"/>
      <c r="E13" s="109"/>
      <c r="F13" s="110"/>
      <c r="G13" s="110">
        <f>SUM(G14:G39)</f>
        <v>0</v>
      </c>
      <c r="H13" s="109">
        <v>0.33551</v>
      </c>
    </row>
    <row r="14" spans="1:8" s="76" customFormat="1" ht="13.5" customHeight="1">
      <c r="A14" s="91">
        <v>1</v>
      </c>
      <c r="B14" s="92" t="s">
        <v>1789</v>
      </c>
      <c r="C14" s="92" t="s">
        <v>1790</v>
      </c>
      <c r="D14" s="92" t="s">
        <v>395</v>
      </c>
      <c r="E14" s="93">
        <v>38</v>
      </c>
      <c r="F14" s="364"/>
      <c r="G14" s="94">
        <f>SUM(E14*F14)</f>
        <v>0</v>
      </c>
      <c r="H14" s="93">
        <v>0.04788</v>
      </c>
    </row>
    <row r="15" spans="1:8" s="76" customFormat="1" ht="13.5" customHeight="1">
      <c r="A15" s="91">
        <v>2</v>
      </c>
      <c r="B15" s="92" t="s">
        <v>1791</v>
      </c>
      <c r="C15" s="92" t="s">
        <v>1792</v>
      </c>
      <c r="D15" s="92" t="s">
        <v>395</v>
      </c>
      <c r="E15" s="93">
        <v>22</v>
      </c>
      <c r="F15" s="364"/>
      <c r="G15" s="94">
        <f aca="true" t="shared" si="0" ref="G15:G80">SUM(E15*F15)</f>
        <v>0</v>
      </c>
      <c r="H15" s="93">
        <v>0.0385</v>
      </c>
    </row>
    <row r="16" spans="1:8" s="76" customFormat="1" ht="13.5" customHeight="1">
      <c r="A16" s="91">
        <v>3</v>
      </c>
      <c r="B16" s="92" t="s">
        <v>1793</v>
      </c>
      <c r="C16" s="92" t="s">
        <v>1794</v>
      </c>
      <c r="D16" s="92" t="s">
        <v>395</v>
      </c>
      <c r="E16" s="93">
        <v>21</v>
      </c>
      <c r="F16" s="364"/>
      <c r="G16" s="94">
        <f t="shared" si="0"/>
        <v>0</v>
      </c>
      <c r="H16" s="93">
        <v>0.05754</v>
      </c>
    </row>
    <row r="17" spans="1:8" s="76" customFormat="1" ht="13.5" customHeight="1">
      <c r="A17" s="91">
        <v>4</v>
      </c>
      <c r="B17" s="92" t="s">
        <v>1795</v>
      </c>
      <c r="C17" s="92" t="s">
        <v>1796</v>
      </c>
      <c r="D17" s="92" t="s">
        <v>395</v>
      </c>
      <c r="E17" s="93">
        <v>24</v>
      </c>
      <c r="F17" s="364"/>
      <c r="G17" s="94">
        <f t="shared" si="0"/>
        <v>0</v>
      </c>
      <c r="H17" s="93">
        <v>0.03888</v>
      </c>
    </row>
    <row r="18" spans="1:8" s="76" customFormat="1" ht="13.5" customHeight="1">
      <c r="A18" s="91">
        <v>5</v>
      </c>
      <c r="B18" s="92" t="s">
        <v>1797</v>
      </c>
      <c r="C18" s="92" t="s">
        <v>1798</v>
      </c>
      <c r="D18" s="92" t="s">
        <v>395</v>
      </c>
      <c r="E18" s="93">
        <v>8</v>
      </c>
      <c r="F18" s="364"/>
      <c r="G18" s="94">
        <f t="shared" si="0"/>
        <v>0</v>
      </c>
      <c r="H18" s="93">
        <v>0.01664</v>
      </c>
    </row>
    <row r="19" spans="1:8" s="76" customFormat="1" ht="13.5" customHeight="1">
      <c r="A19" s="91">
        <v>6</v>
      </c>
      <c r="B19" s="92" t="s">
        <v>1799</v>
      </c>
      <c r="C19" s="92" t="s">
        <v>1800</v>
      </c>
      <c r="D19" s="92" t="s">
        <v>395</v>
      </c>
      <c r="E19" s="93">
        <v>12</v>
      </c>
      <c r="F19" s="364"/>
      <c r="G19" s="94">
        <f t="shared" si="0"/>
        <v>0</v>
      </c>
      <c r="H19" s="93">
        <v>0.01152</v>
      </c>
    </row>
    <row r="20" spans="1:8" s="76" customFormat="1" ht="13.5" customHeight="1">
      <c r="A20" s="91">
        <v>7</v>
      </c>
      <c r="B20" s="92" t="s">
        <v>1801</v>
      </c>
      <c r="C20" s="92" t="s">
        <v>1802</v>
      </c>
      <c r="D20" s="92" t="s">
        <v>395</v>
      </c>
      <c r="E20" s="93">
        <v>33</v>
      </c>
      <c r="F20" s="364"/>
      <c r="G20" s="94">
        <f t="shared" si="0"/>
        <v>0</v>
      </c>
      <c r="H20" s="93">
        <v>0.00957</v>
      </c>
    </row>
    <row r="21" spans="1:8" s="76" customFormat="1" ht="13.5" customHeight="1">
      <c r="A21" s="91">
        <v>8</v>
      </c>
      <c r="B21" s="92" t="s">
        <v>1803</v>
      </c>
      <c r="C21" s="92" t="s">
        <v>1804</v>
      </c>
      <c r="D21" s="92" t="s">
        <v>395</v>
      </c>
      <c r="E21" s="93">
        <v>24</v>
      </c>
      <c r="F21" s="364"/>
      <c r="G21" s="94">
        <f t="shared" si="0"/>
        <v>0</v>
      </c>
      <c r="H21" s="93">
        <v>0.00696</v>
      </c>
    </row>
    <row r="22" spans="1:8" s="76" customFormat="1" ht="13.5" customHeight="1">
      <c r="A22" s="91">
        <v>9</v>
      </c>
      <c r="B22" s="92" t="s">
        <v>1805</v>
      </c>
      <c r="C22" s="92" t="s">
        <v>1806</v>
      </c>
      <c r="D22" s="92" t="s">
        <v>395</v>
      </c>
      <c r="E22" s="93">
        <v>25</v>
      </c>
      <c r="F22" s="364"/>
      <c r="G22" s="94">
        <f t="shared" si="0"/>
        <v>0</v>
      </c>
      <c r="H22" s="93">
        <v>0.00875</v>
      </c>
    </row>
    <row r="23" spans="1:8" s="76" customFormat="1" ht="13.5" customHeight="1">
      <c r="A23" s="91">
        <v>10</v>
      </c>
      <c r="B23" s="92" t="s">
        <v>1807</v>
      </c>
      <c r="C23" s="92" t="s">
        <v>1808</v>
      </c>
      <c r="D23" s="92" t="s">
        <v>395</v>
      </c>
      <c r="E23" s="93">
        <v>26</v>
      </c>
      <c r="F23" s="364"/>
      <c r="G23" s="94">
        <f t="shared" si="0"/>
        <v>0</v>
      </c>
      <c r="H23" s="93">
        <v>0.01482</v>
      </c>
    </row>
    <row r="24" spans="1:8" s="76" customFormat="1" ht="13.5" customHeight="1">
      <c r="A24" s="91">
        <v>11</v>
      </c>
      <c r="B24" s="92" t="s">
        <v>1809</v>
      </c>
      <c r="C24" s="92" t="s">
        <v>1810</v>
      </c>
      <c r="D24" s="92" t="s">
        <v>395</v>
      </c>
      <c r="E24" s="93">
        <v>24</v>
      </c>
      <c r="F24" s="364"/>
      <c r="G24" s="94">
        <f t="shared" si="0"/>
        <v>0</v>
      </c>
      <c r="H24" s="93">
        <v>0.02736</v>
      </c>
    </row>
    <row r="25" spans="1:8" s="76" customFormat="1" ht="13.5" customHeight="1">
      <c r="A25" s="91">
        <v>12</v>
      </c>
      <c r="B25" s="92" t="s">
        <v>1811</v>
      </c>
      <c r="C25" s="92" t="s">
        <v>1812</v>
      </c>
      <c r="D25" s="92" t="s">
        <v>225</v>
      </c>
      <c r="E25" s="93">
        <v>37</v>
      </c>
      <c r="F25" s="364"/>
      <c r="G25" s="94">
        <f t="shared" si="0"/>
        <v>0</v>
      </c>
      <c r="H25" s="93">
        <v>0</v>
      </c>
    </row>
    <row r="26" spans="1:8" s="76" customFormat="1" ht="13.5" customHeight="1">
      <c r="A26" s="91">
        <v>13</v>
      </c>
      <c r="B26" s="92" t="s">
        <v>1813</v>
      </c>
      <c r="C26" s="92" t="s">
        <v>1814</v>
      </c>
      <c r="D26" s="92" t="s">
        <v>225</v>
      </c>
      <c r="E26" s="93">
        <v>11</v>
      </c>
      <c r="F26" s="364"/>
      <c r="G26" s="94">
        <f t="shared" si="0"/>
        <v>0</v>
      </c>
      <c r="H26" s="93">
        <v>0</v>
      </c>
    </row>
    <row r="27" spans="1:8" s="76" customFormat="1" ht="13.5" customHeight="1">
      <c r="A27" s="91">
        <v>14</v>
      </c>
      <c r="B27" s="92" t="s">
        <v>1815</v>
      </c>
      <c r="C27" s="92" t="s">
        <v>1816</v>
      </c>
      <c r="D27" s="92" t="s">
        <v>225</v>
      </c>
      <c r="E27" s="93">
        <v>18</v>
      </c>
      <c r="F27" s="364"/>
      <c r="G27" s="94">
        <f t="shared" si="0"/>
        <v>0</v>
      </c>
      <c r="H27" s="93">
        <v>0</v>
      </c>
    </row>
    <row r="28" spans="1:8" s="76" customFormat="1" ht="24" customHeight="1">
      <c r="A28" s="91">
        <v>15</v>
      </c>
      <c r="B28" s="92" t="s">
        <v>1817</v>
      </c>
      <c r="C28" s="92" t="s">
        <v>1818</v>
      </c>
      <c r="D28" s="92" t="s">
        <v>225</v>
      </c>
      <c r="E28" s="93">
        <v>1</v>
      </c>
      <c r="F28" s="364"/>
      <c r="G28" s="94">
        <f t="shared" si="0"/>
        <v>0</v>
      </c>
      <c r="H28" s="93">
        <v>0.0009</v>
      </c>
    </row>
    <row r="29" spans="1:8" s="76" customFormat="1" ht="24" customHeight="1">
      <c r="A29" s="91">
        <v>16</v>
      </c>
      <c r="B29" s="92" t="s">
        <v>1819</v>
      </c>
      <c r="C29" s="92" t="s">
        <v>1820</v>
      </c>
      <c r="D29" s="92" t="s">
        <v>225</v>
      </c>
      <c r="E29" s="93">
        <v>6</v>
      </c>
      <c r="F29" s="364"/>
      <c r="G29" s="94">
        <f t="shared" si="0"/>
        <v>0</v>
      </c>
      <c r="H29" s="93">
        <v>0.03306</v>
      </c>
    </row>
    <row r="30" spans="1:8" s="76" customFormat="1" ht="24" customHeight="1">
      <c r="A30" s="91">
        <v>17</v>
      </c>
      <c r="B30" s="92" t="s">
        <v>1821</v>
      </c>
      <c r="C30" s="92" t="s">
        <v>1822</v>
      </c>
      <c r="D30" s="92" t="s">
        <v>225</v>
      </c>
      <c r="E30" s="93">
        <v>10</v>
      </c>
      <c r="F30" s="364"/>
      <c r="G30" s="94">
        <f t="shared" si="0"/>
        <v>0</v>
      </c>
      <c r="H30" s="93">
        <v>0.0034</v>
      </c>
    </row>
    <row r="31" spans="1:8" s="76" customFormat="1" ht="13.5" customHeight="1">
      <c r="A31" s="91">
        <v>18</v>
      </c>
      <c r="B31" s="92" t="s">
        <v>1823</v>
      </c>
      <c r="C31" s="92" t="s">
        <v>1824</v>
      </c>
      <c r="D31" s="92" t="s">
        <v>225</v>
      </c>
      <c r="E31" s="93">
        <v>2</v>
      </c>
      <c r="F31" s="364"/>
      <c r="G31" s="94">
        <f t="shared" si="0"/>
        <v>0</v>
      </c>
      <c r="H31" s="93">
        <v>0.00044</v>
      </c>
    </row>
    <row r="32" spans="1:8" s="76" customFormat="1" ht="24" customHeight="1">
      <c r="A32" s="91">
        <v>19</v>
      </c>
      <c r="B32" s="92" t="s">
        <v>1825</v>
      </c>
      <c r="C32" s="92" t="s">
        <v>1826</v>
      </c>
      <c r="D32" s="92" t="s">
        <v>225</v>
      </c>
      <c r="E32" s="93">
        <v>4</v>
      </c>
      <c r="F32" s="364"/>
      <c r="G32" s="94">
        <f t="shared" si="0"/>
        <v>0</v>
      </c>
      <c r="H32" s="93">
        <v>0.00848</v>
      </c>
    </row>
    <row r="33" spans="1:8" s="76" customFormat="1" ht="24" customHeight="1">
      <c r="A33" s="91">
        <v>20</v>
      </c>
      <c r="B33" s="92" t="s">
        <v>1827</v>
      </c>
      <c r="C33" s="92" t="s">
        <v>1828</v>
      </c>
      <c r="D33" s="92" t="s">
        <v>225</v>
      </c>
      <c r="E33" s="93">
        <v>2</v>
      </c>
      <c r="F33" s="364"/>
      <c r="G33" s="94">
        <f t="shared" si="0"/>
        <v>0</v>
      </c>
      <c r="H33" s="93">
        <v>0.00334</v>
      </c>
    </row>
    <row r="34" spans="1:8" s="76" customFormat="1" ht="24" customHeight="1">
      <c r="A34" s="91">
        <v>21</v>
      </c>
      <c r="B34" s="92" t="s">
        <v>1829</v>
      </c>
      <c r="C34" s="92" t="s">
        <v>1830</v>
      </c>
      <c r="D34" s="92" t="s">
        <v>225</v>
      </c>
      <c r="E34" s="93">
        <v>6</v>
      </c>
      <c r="F34" s="364"/>
      <c r="G34" s="94">
        <f t="shared" si="0"/>
        <v>0</v>
      </c>
      <c r="H34" s="93">
        <v>0.0066</v>
      </c>
    </row>
    <row r="35" spans="1:8" s="76" customFormat="1" ht="13.5" customHeight="1">
      <c r="A35" s="91">
        <v>22</v>
      </c>
      <c r="B35" s="92" t="s">
        <v>1831</v>
      </c>
      <c r="C35" s="92" t="s">
        <v>1832</v>
      </c>
      <c r="D35" s="92" t="s">
        <v>225</v>
      </c>
      <c r="E35" s="93">
        <v>3</v>
      </c>
      <c r="F35" s="364"/>
      <c r="G35" s="94">
        <f t="shared" si="0"/>
        <v>0</v>
      </c>
      <c r="H35" s="93">
        <v>0.00087</v>
      </c>
    </row>
    <row r="36" spans="1:8" s="76" customFormat="1" ht="13.5" customHeight="1">
      <c r="A36" s="91">
        <v>23</v>
      </c>
      <c r="B36" s="92" t="s">
        <v>1833</v>
      </c>
      <c r="C36" s="92" t="s">
        <v>1834</v>
      </c>
      <c r="D36" s="92" t="s">
        <v>395</v>
      </c>
      <c r="E36" s="93">
        <v>236</v>
      </c>
      <c r="F36" s="364"/>
      <c r="G36" s="94">
        <f t="shared" si="0"/>
        <v>0</v>
      </c>
      <c r="H36" s="93">
        <v>0</v>
      </c>
    </row>
    <row r="37" spans="1:8" s="76" customFormat="1" ht="13.5" customHeight="1">
      <c r="A37" s="91">
        <v>24</v>
      </c>
      <c r="B37" s="92" t="s">
        <v>1835</v>
      </c>
      <c r="C37" s="92" t="s">
        <v>1836</v>
      </c>
      <c r="D37" s="92" t="s">
        <v>395</v>
      </c>
      <c r="E37" s="93">
        <v>21</v>
      </c>
      <c r="F37" s="364"/>
      <c r="G37" s="94">
        <f t="shared" si="0"/>
        <v>0</v>
      </c>
      <c r="H37" s="93">
        <v>0</v>
      </c>
    </row>
    <row r="38" spans="1:8" s="76" customFormat="1" ht="24" customHeight="1">
      <c r="A38" s="91">
        <v>25</v>
      </c>
      <c r="B38" s="92" t="s">
        <v>1837</v>
      </c>
      <c r="C38" s="92" t="s">
        <v>1838</v>
      </c>
      <c r="D38" s="92" t="s">
        <v>1765</v>
      </c>
      <c r="E38" s="93">
        <v>2121.834</v>
      </c>
      <c r="F38" s="364"/>
      <c r="G38" s="94">
        <f t="shared" si="0"/>
        <v>0</v>
      </c>
      <c r="H38" s="93">
        <v>0</v>
      </c>
    </row>
    <row r="39" spans="1:8" s="76" customFormat="1" ht="24" customHeight="1">
      <c r="A39" s="91">
        <v>26</v>
      </c>
      <c r="B39" s="92" t="s">
        <v>1839</v>
      </c>
      <c r="C39" s="92" t="s">
        <v>1840</v>
      </c>
      <c r="D39" s="92" t="s">
        <v>1765</v>
      </c>
      <c r="E39" s="93">
        <v>2121.834</v>
      </c>
      <c r="F39" s="364"/>
      <c r="G39" s="94">
        <f t="shared" si="0"/>
        <v>0</v>
      </c>
      <c r="H39" s="93">
        <v>0</v>
      </c>
    </row>
    <row r="40" spans="1:8" ht="28.5" customHeight="1">
      <c r="A40" s="107"/>
      <c r="B40" s="108" t="s">
        <v>1841</v>
      </c>
      <c r="C40" s="108" t="s">
        <v>1842</v>
      </c>
      <c r="D40" s="108"/>
      <c r="E40" s="109"/>
      <c r="F40" s="110"/>
      <c r="G40" s="110">
        <f>SUM(G41:G77)</f>
        <v>0</v>
      </c>
      <c r="H40" s="109">
        <v>1.29516</v>
      </c>
    </row>
    <row r="41" spans="1:8" s="76" customFormat="1" ht="24" customHeight="1">
      <c r="A41" s="91">
        <v>27</v>
      </c>
      <c r="B41" s="92" t="s">
        <v>1843</v>
      </c>
      <c r="C41" s="92" t="s">
        <v>1844</v>
      </c>
      <c r="D41" s="92" t="s">
        <v>395</v>
      </c>
      <c r="E41" s="93">
        <v>5</v>
      </c>
      <c r="F41" s="364"/>
      <c r="G41" s="94">
        <f t="shared" si="0"/>
        <v>0</v>
      </c>
      <c r="H41" s="93">
        <v>0.01545</v>
      </c>
    </row>
    <row r="42" spans="1:8" s="76" customFormat="1" ht="24" customHeight="1">
      <c r="A42" s="91">
        <v>28</v>
      </c>
      <c r="B42" s="92" t="s">
        <v>1845</v>
      </c>
      <c r="C42" s="92" t="s">
        <v>1846</v>
      </c>
      <c r="D42" s="92" t="s">
        <v>395</v>
      </c>
      <c r="E42" s="93">
        <v>22</v>
      </c>
      <c r="F42" s="364"/>
      <c r="G42" s="94">
        <f t="shared" si="0"/>
        <v>0</v>
      </c>
      <c r="H42" s="93">
        <v>0.09922</v>
      </c>
    </row>
    <row r="43" spans="1:8" s="76" customFormat="1" ht="24" customHeight="1">
      <c r="A43" s="91">
        <v>29</v>
      </c>
      <c r="B43" s="92" t="s">
        <v>1847</v>
      </c>
      <c r="C43" s="92" t="s">
        <v>1848</v>
      </c>
      <c r="D43" s="92" t="s">
        <v>395</v>
      </c>
      <c r="E43" s="93">
        <v>30</v>
      </c>
      <c r="F43" s="364"/>
      <c r="G43" s="94">
        <f t="shared" si="0"/>
        <v>0</v>
      </c>
      <c r="H43" s="93">
        <v>0.0156</v>
      </c>
    </row>
    <row r="44" spans="1:8" s="76" customFormat="1" ht="24" customHeight="1">
      <c r="A44" s="91">
        <v>30</v>
      </c>
      <c r="B44" s="92" t="s">
        <v>1849</v>
      </c>
      <c r="C44" s="92" t="s">
        <v>1850</v>
      </c>
      <c r="D44" s="92" t="s">
        <v>395</v>
      </c>
      <c r="E44" s="93">
        <v>5</v>
      </c>
      <c r="F44" s="364"/>
      <c r="G44" s="94">
        <f t="shared" si="0"/>
        <v>0</v>
      </c>
      <c r="H44" s="93">
        <v>0.0033</v>
      </c>
    </row>
    <row r="45" spans="1:8" s="76" customFormat="1" ht="24" customHeight="1">
      <c r="A45" s="91">
        <v>31</v>
      </c>
      <c r="B45" s="92" t="s">
        <v>1851</v>
      </c>
      <c r="C45" s="92" t="s">
        <v>1852</v>
      </c>
      <c r="D45" s="92" t="s">
        <v>395</v>
      </c>
      <c r="E45" s="93">
        <v>160</v>
      </c>
      <c r="F45" s="364"/>
      <c r="G45" s="94">
        <f t="shared" si="0"/>
        <v>0</v>
      </c>
      <c r="H45" s="93">
        <v>0.1056</v>
      </c>
    </row>
    <row r="46" spans="1:8" s="76" customFormat="1" ht="24" customHeight="1">
      <c r="A46" s="91">
        <v>32</v>
      </c>
      <c r="B46" s="92" t="s">
        <v>1853</v>
      </c>
      <c r="C46" s="92" t="s">
        <v>1854</v>
      </c>
      <c r="D46" s="92" t="s">
        <v>395</v>
      </c>
      <c r="E46" s="93">
        <v>155</v>
      </c>
      <c r="F46" s="364"/>
      <c r="G46" s="94">
        <f t="shared" si="0"/>
        <v>0</v>
      </c>
      <c r="H46" s="93">
        <v>0.14105</v>
      </c>
    </row>
    <row r="47" spans="1:8" s="76" customFormat="1" ht="24" customHeight="1">
      <c r="A47" s="91">
        <v>33</v>
      </c>
      <c r="B47" s="92" t="s">
        <v>1855</v>
      </c>
      <c r="C47" s="92" t="s">
        <v>1856</v>
      </c>
      <c r="D47" s="92" t="s">
        <v>395</v>
      </c>
      <c r="E47" s="93">
        <v>18</v>
      </c>
      <c r="F47" s="364"/>
      <c r="G47" s="94">
        <f t="shared" si="0"/>
        <v>0</v>
      </c>
      <c r="H47" s="93">
        <v>0.02142</v>
      </c>
    </row>
    <row r="48" spans="1:8" s="76" customFormat="1" ht="24" customHeight="1">
      <c r="A48" s="91">
        <v>34</v>
      </c>
      <c r="B48" s="92" t="s">
        <v>1857</v>
      </c>
      <c r="C48" s="92" t="s">
        <v>1858</v>
      </c>
      <c r="D48" s="92" t="s">
        <v>395</v>
      </c>
      <c r="E48" s="93">
        <v>48</v>
      </c>
      <c r="F48" s="364"/>
      <c r="G48" s="94">
        <f t="shared" si="0"/>
        <v>0</v>
      </c>
      <c r="H48" s="93">
        <v>0.05712</v>
      </c>
    </row>
    <row r="49" spans="1:8" s="76" customFormat="1" ht="24" customHeight="1">
      <c r="A49" s="91">
        <v>35</v>
      </c>
      <c r="B49" s="92" t="s">
        <v>1859</v>
      </c>
      <c r="C49" s="92" t="s">
        <v>1860</v>
      </c>
      <c r="D49" s="92" t="s">
        <v>395</v>
      </c>
      <c r="E49" s="93">
        <v>63</v>
      </c>
      <c r="F49" s="364"/>
      <c r="G49" s="94">
        <f t="shared" si="0"/>
        <v>0</v>
      </c>
      <c r="H49" s="93">
        <v>0.15876</v>
      </c>
    </row>
    <row r="50" spans="1:8" s="76" customFormat="1" ht="24" customHeight="1">
      <c r="A50" s="91">
        <v>36</v>
      </c>
      <c r="B50" s="92" t="s">
        <v>1861</v>
      </c>
      <c r="C50" s="92" t="s">
        <v>1862</v>
      </c>
      <c r="D50" s="92" t="s">
        <v>395</v>
      </c>
      <c r="E50" s="93">
        <v>58</v>
      </c>
      <c r="F50" s="364"/>
      <c r="G50" s="94">
        <f t="shared" si="0"/>
        <v>0</v>
      </c>
      <c r="H50" s="93">
        <v>0.203</v>
      </c>
    </row>
    <row r="51" spans="1:8" s="76" customFormat="1" ht="24" customHeight="1">
      <c r="A51" s="91">
        <v>37</v>
      </c>
      <c r="B51" s="92" t="s">
        <v>1863</v>
      </c>
      <c r="C51" s="92" t="s">
        <v>1864</v>
      </c>
      <c r="D51" s="92" t="s">
        <v>395</v>
      </c>
      <c r="E51" s="93">
        <v>32</v>
      </c>
      <c r="F51" s="364"/>
      <c r="G51" s="94">
        <f t="shared" si="0"/>
        <v>0</v>
      </c>
      <c r="H51" s="93">
        <v>0.18752</v>
      </c>
    </row>
    <row r="52" spans="1:8" s="76" customFormat="1" ht="24" customHeight="1">
      <c r="A52" s="91">
        <v>38</v>
      </c>
      <c r="B52" s="92" t="s">
        <v>1865</v>
      </c>
      <c r="C52" s="92" t="s">
        <v>1866</v>
      </c>
      <c r="D52" s="92" t="s">
        <v>395</v>
      </c>
      <c r="E52" s="93">
        <v>60</v>
      </c>
      <c r="F52" s="364"/>
      <c r="G52" s="94">
        <f t="shared" si="0"/>
        <v>0</v>
      </c>
      <c r="H52" s="93">
        <v>0.0024</v>
      </c>
    </row>
    <row r="53" spans="1:8" s="76" customFormat="1" ht="24" customHeight="1">
      <c r="A53" s="91">
        <v>39</v>
      </c>
      <c r="B53" s="92" t="s">
        <v>1867</v>
      </c>
      <c r="C53" s="92" t="s">
        <v>1868</v>
      </c>
      <c r="D53" s="92" t="s">
        <v>395</v>
      </c>
      <c r="E53" s="93">
        <v>30</v>
      </c>
      <c r="F53" s="364"/>
      <c r="G53" s="94">
        <f t="shared" si="0"/>
        <v>0</v>
      </c>
      <c r="H53" s="93">
        <v>0.0012</v>
      </c>
    </row>
    <row r="54" spans="1:8" s="76" customFormat="1" ht="24" customHeight="1">
      <c r="A54" s="91">
        <v>40</v>
      </c>
      <c r="B54" s="92" t="s">
        <v>1869</v>
      </c>
      <c r="C54" s="92" t="s">
        <v>1870</v>
      </c>
      <c r="D54" s="92" t="s">
        <v>395</v>
      </c>
      <c r="E54" s="93">
        <v>140</v>
      </c>
      <c r="F54" s="364"/>
      <c r="G54" s="94">
        <f t="shared" si="0"/>
        <v>0</v>
      </c>
      <c r="H54" s="93">
        <v>0.0056</v>
      </c>
    </row>
    <row r="55" spans="1:8" s="76" customFormat="1" ht="24" customHeight="1">
      <c r="A55" s="91">
        <v>41</v>
      </c>
      <c r="B55" s="92" t="s">
        <v>1871</v>
      </c>
      <c r="C55" s="92" t="s">
        <v>1872</v>
      </c>
      <c r="D55" s="92" t="s">
        <v>395</v>
      </c>
      <c r="E55" s="93">
        <v>150</v>
      </c>
      <c r="F55" s="364"/>
      <c r="G55" s="94">
        <f t="shared" si="0"/>
        <v>0</v>
      </c>
      <c r="H55" s="93">
        <v>0.0105</v>
      </c>
    </row>
    <row r="56" spans="1:8" s="76" customFormat="1" ht="24" customHeight="1">
      <c r="A56" s="91">
        <v>42</v>
      </c>
      <c r="B56" s="92" t="s">
        <v>1873</v>
      </c>
      <c r="C56" s="92" t="s">
        <v>1874</v>
      </c>
      <c r="D56" s="92" t="s">
        <v>395</v>
      </c>
      <c r="E56" s="93">
        <v>115</v>
      </c>
      <c r="F56" s="364"/>
      <c r="G56" s="94">
        <f t="shared" si="0"/>
        <v>0</v>
      </c>
      <c r="H56" s="93">
        <v>0.0276</v>
      </c>
    </row>
    <row r="57" spans="1:8" s="76" customFormat="1" ht="13.5" customHeight="1">
      <c r="A57" s="91">
        <v>43</v>
      </c>
      <c r="B57" s="92" t="s">
        <v>1875</v>
      </c>
      <c r="C57" s="92" t="s">
        <v>1876</v>
      </c>
      <c r="D57" s="92" t="s">
        <v>225</v>
      </c>
      <c r="E57" s="93">
        <v>109</v>
      </c>
      <c r="F57" s="364"/>
      <c r="G57" s="94">
        <f t="shared" si="0"/>
        <v>0</v>
      </c>
      <c r="H57" s="93">
        <v>0</v>
      </c>
    </row>
    <row r="58" spans="1:8" s="76" customFormat="1" ht="24" customHeight="1">
      <c r="A58" s="91">
        <v>44</v>
      </c>
      <c r="B58" s="92" t="s">
        <v>1877</v>
      </c>
      <c r="C58" s="92" t="s">
        <v>1878</v>
      </c>
      <c r="D58" s="92" t="s">
        <v>225</v>
      </c>
      <c r="E58" s="93">
        <v>5</v>
      </c>
      <c r="F58" s="364"/>
      <c r="G58" s="94">
        <f t="shared" si="0"/>
        <v>0</v>
      </c>
      <c r="H58" s="93">
        <v>0.0009</v>
      </c>
    </row>
    <row r="59" spans="1:8" s="76" customFormat="1" ht="24" customHeight="1">
      <c r="A59" s="91">
        <v>45</v>
      </c>
      <c r="B59" s="92" t="s">
        <v>1879</v>
      </c>
      <c r="C59" s="92" t="s">
        <v>1880</v>
      </c>
      <c r="D59" s="92" t="s">
        <v>225</v>
      </c>
      <c r="E59" s="93">
        <v>1</v>
      </c>
      <c r="F59" s="364"/>
      <c r="G59" s="94">
        <f t="shared" si="0"/>
        <v>0</v>
      </c>
      <c r="H59" s="93">
        <v>0.00036</v>
      </c>
    </row>
    <row r="60" spans="1:8" s="76" customFormat="1" ht="13.5" customHeight="1">
      <c r="A60" s="91">
        <v>46</v>
      </c>
      <c r="B60" s="92" t="s">
        <v>1881</v>
      </c>
      <c r="C60" s="92" t="s">
        <v>1882</v>
      </c>
      <c r="D60" s="92" t="s">
        <v>225</v>
      </c>
      <c r="E60" s="93">
        <v>2</v>
      </c>
      <c r="F60" s="364"/>
      <c r="G60" s="94">
        <f t="shared" si="0"/>
        <v>0</v>
      </c>
      <c r="H60" s="93">
        <v>0.00044</v>
      </c>
    </row>
    <row r="61" spans="1:8" s="76" customFormat="1" ht="13.5" customHeight="1">
      <c r="A61" s="91">
        <v>47</v>
      </c>
      <c r="B61" s="92" t="s">
        <v>1883</v>
      </c>
      <c r="C61" s="92" t="s">
        <v>1884</v>
      </c>
      <c r="D61" s="92" t="s">
        <v>225</v>
      </c>
      <c r="E61" s="93">
        <v>2</v>
      </c>
      <c r="F61" s="364"/>
      <c r="G61" s="94">
        <f t="shared" si="0"/>
        <v>0</v>
      </c>
      <c r="H61" s="93">
        <v>0.00264</v>
      </c>
    </row>
    <row r="62" spans="1:8" s="76" customFormat="1" ht="13.5" customHeight="1">
      <c r="A62" s="91">
        <v>48</v>
      </c>
      <c r="B62" s="92" t="s">
        <v>1885</v>
      </c>
      <c r="C62" s="92" t="s">
        <v>1886</v>
      </c>
      <c r="D62" s="92" t="s">
        <v>225</v>
      </c>
      <c r="E62" s="93">
        <v>2</v>
      </c>
      <c r="F62" s="364"/>
      <c r="G62" s="94">
        <f t="shared" si="0"/>
        <v>0</v>
      </c>
      <c r="H62" s="93">
        <v>0.00304</v>
      </c>
    </row>
    <row r="63" spans="1:8" s="76" customFormat="1" ht="13.5" customHeight="1">
      <c r="A63" s="91">
        <v>49</v>
      </c>
      <c r="B63" s="92" t="s">
        <v>1887</v>
      </c>
      <c r="C63" s="92" t="s">
        <v>1888</v>
      </c>
      <c r="D63" s="92" t="s">
        <v>225</v>
      </c>
      <c r="E63" s="93">
        <v>1</v>
      </c>
      <c r="F63" s="364"/>
      <c r="G63" s="94">
        <f t="shared" si="0"/>
        <v>0</v>
      </c>
      <c r="H63" s="93">
        <v>0.00132</v>
      </c>
    </row>
    <row r="64" spans="1:8" s="76" customFormat="1" ht="13.5" customHeight="1">
      <c r="A64" s="91">
        <v>50</v>
      </c>
      <c r="B64" s="92" t="s">
        <v>1889</v>
      </c>
      <c r="C64" s="92" t="s">
        <v>1890</v>
      </c>
      <c r="D64" s="92" t="s">
        <v>225</v>
      </c>
      <c r="E64" s="93">
        <v>1</v>
      </c>
      <c r="F64" s="364"/>
      <c r="G64" s="94">
        <f t="shared" si="0"/>
        <v>0</v>
      </c>
      <c r="H64" s="93">
        <v>0.00024</v>
      </c>
    </row>
    <row r="65" spans="1:8" s="76" customFormat="1" ht="24" customHeight="1">
      <c r="A65" s="91">
        <v>51</v>
      </c>
      <c r="B65" s="92" t="s">
        <v>1891</v>
      </c>
      <c r="C65" s="92" t="s">
        <v>1892</v>
      </c>
      <c r="D65" s="92" t="s">
        <v>225</v>
      </c>
      <c r="E65" s="93">
        <v>2</v>
      </c>
      <c r="F65" s="364"/>
      <c r="G65" s="94">
        <f t="shared" si="0"/>
        <v>0</v>
      </c>
      <c r="H65" s="93">
        <v>0.00072</v>
      </c>
    </row>
    <row r="66" spans="1:8" s="76" customFormat="1" ht="24" customHeight="1">
      <c r="A66" s="91">
        <v>52</v>
      </c>
      <c r="B66" s="92" t="s">
        <v>1893</v>
      </c>
      <c r="C66" s="92" t="s">
        <v>1894</v>
      </c>
      <c r="D66" s="92" t="s">
        <v>225</v>
      </c>
      <c r="E66" s="93">
        <v>3</v>
      </c>
      <c r="F66" s="364"/>
      <c r="G66" s="94">
        <f t="shared" si="0"/>
        <v>0</v>
      </c>
      <c r="H66" s="93">
        <v>0.00273</v>
      </c>
    </row>
    <row r="67" spans="1:8" s="76" customFormat="1" ht="13.5" customHeight="1">
      <c r="A67" s="91">
        <v>53</v>
      </c>
      <c r="B67" s="92" t="s">
        <v>1895</v>
      </c>
      <c r="C67" s="92" t="s">
        <v>1896</v>
      </c>
      <c r="D67" s="92" t="s">
        <v>225</v>
      </c>
      <c r="E67" s="93">
        <v>8</v>
      </c>
      <c r="F67" s="364"/>
      <c r="G67" s="94">
        <f t="shared" si="0"/>
        <v>0</v>
      </c>
      <c r="H67" s="93">
        <v>0.00232</v>
      </c>
    </row>
    <row r="68" spans="1:8" s="76" customFormat="1" ht="24" customHeight="1">
      <c r="A68" s="91">
        <v>54</v>
      </c>
      <c r="B68" s="92" t="s">
        <v>1897</v>
      </c>
      <c r="C68" s="92" t="s">
        <v>1898</v>
      </c>
      <c r="D68" s="92" t="s">
        <v>225</v>
      </c>
      <c r="E68" s="93">
        <v>1</v>
      </c>
      <c r="F68" s="364"/>
      <c r="G68" s="94">
        <f t="shared" si="0"/>
        <v>0</v>
      </c>
      <c r="H68" s="93">
        <v>3E-05</v>
      </c>
    </row>
    <row r="69" spans="1:8" s="76" customFormat="1" ht="24" customHeight="1">
      <c r="A69" s="91">
        <v>55</v>
      </c>
      <c r="B69" s="92" t="s">
        <v>1899</v>
      </c>
      <c r="C69" s="92" t="s">
        <v>1900</v>
      </c>
      <c r="D69" s="92" t="s">
        <v>225</v>
      </c>
      <c r="E69" s="93">
        <v>2</v>
      </c>
      <c r="F69" s="364"/>
      <c r="G69" s="94">
        <f t="shared" si="0"/>
        <v>0</v>
      </c>
      <c r="H69" s="93">
        <v>0.0008</v>
      </c>
    </row>
    <row r="70" spans="1:8" s="76" customFormat="1" ht="24" customHeight="1">
      <c r="A70" s="91">
        <v>56</v>
      </c>
      <c r="B70" s="92" t="s">
        <v>1901</v>
      </c>
      <c r="C70" s="92" t="s">
        <v>1902</v>
      </c>
      <c r="D70" s="92" t="s">
        <v>225</v>
      </c>
      <c r="E70" s="93">
        <v>4</v>
      </c>
      <c r="F70" s="364"/>
      <c r="G70" s="94">
        <f t="shared" si="0"/>
        <v>0</v>
      </c>
      <c r="H70" s="93">
        <v>0.00228</v>
      </c>
    </row>
    <row r="71" spans="1:8" s="76" customFormat="1" ht="24" customHeight="1">
      <c r="A71" s="91">
        <v>57</v>
      </c>
      <c r="B71" s="92" t="s">
        <v>1903</v>
      </c>
      <c r="C71" s="92" t="s">
        <v>1904</v>
      </c>
      <c r="D71" s="92" t="s">
        <v>225</v>
      </c>
      <c r="E71" s="93">
        <v>1</v>
      </c>
      <c r="F71" s="364"/>
      <c r="G71" s="94">
        <f t="shared" si="0"/>
        <v>0</v>
      </c>
      <c r="H71" s="93">
        <v>0.0008</v>
      </c>
    </row>
    <row r="72" spans="1:8" s="76" customFormat="1" ht="24" customHeight="1">
      <c r="A72" s="91">
        <v>58</v>
      </c>
      <c r="B72" s="92" t="s">
        <v>1905</v>
      </c>
      <c r="C72" s="92" t="s">
        <v>1906</v>
      </c>
      <c r="D72" s="92" t="s">
        <v>1907</v>
      </c>
      <c r="E72" s="93">
        <v>3</v>
      </c>
      <c r="F72" s="364"/>
      <c r="G72" s="94">
        <f t="shared" si="0"/>
        <v>0</v>
      </c>
      <c r="H72" s="93">
        <v>0.09042</v>
      </c>
    </row>
    <row r="73" spans="1:8" s="76" customFormat="1" ht="24" customHeight="1">
      <c r="A73" s="91">
        <v>59</v>
      </c>
      <c r="B73" s="92" t="s">
        <v>1908</v>
      </c>
      <c r="C73" s="92" t="s">
        <v>1909</v>
      </c>
      <c r="D73" s="92" t="s">
        <v>225</v>
      </c>
      <c r="E73" s="93">
        <v>1</v>
      </c>
      <c r="F73" s="364"/>
      <c r="G73" s="94">
        <f t="shared" si="0"/>
        <v>0</v>
      </c>
      <c r="H73" s="93">
        <v>0.01158</v>
      </c>
    </row>
    <row r="74" spans="1:8" s="76" customFormat="1" ht="13.5" customHeight="1">
      <c r="A74" s="91">
        <v>60</v>
      </c>
      <c r="B74" s="92" t="s">
        <v>1910</v>
      </c>
      <c r="C74" s="92" t="s">
        <v>1911</v>
      </c>
      <c r="D74" s="92" t="s">
        <v>395</v>
      </c>
      <c r="E74" s="93">
        <v>596</v>
      </c>
      <c r="F74" s="364"/>
      <c r="G74" s="94">
        <f t="shared" si="0"/>
        <v>0</v>
      </c>
      <c r="H74" s="93">
        <v>0.11324</v>
      </c>
    </row>
    <row r="75" spans="1:8" s="76" customFormat="1" ht="13.5" customHeight="1">
      <c r="A75" s="91">
        <v>61</v>
      </c>
      <c r="B75" s="92" t="s">
        <v>1912</v>
      </c>
      <c r="C75" s="92" t="s">
        <v>1913</v>
      </c>
      <c r="D75" s="92" t="s">
        <v>395</v>
      </c>
      <c r="E75" s="93">
        <v>596</v>
      </c>
      <c r="F75" s="364"/>
      <c r="G75" s="94">
        <f t="shared" si="0"/>
        <v>0</v>
      </c>
      <c r="H75" s="93">
        <v>0.00596</v>
      </c>
    </row>
    <row r="76" spans="1:8" s="76" customFormat="1" ht="24" customHeight="1">
      <c r="A76" s="91">
        <v>62</v>
      </c>
      <c r="B76" s="92" t="s">
        <v>1914</v>
      </c>
      <c r="C76" s="92" t="s">
        <v>1915</v>
      </c>
      <c r="D76" s="92" t="s">
        <v>1765</v>
      </c>
      <c r="E76" s="93">
        <v>4162.89</v>
      </c>
      <c r="F76" s="364"/>
      <c r="G76" s="94">
        <f t="shared" si="0"/>
        <v>0</v>
      </c>
      <c r="H76" s="93">
        <v>0</v>
      </c>
    </row>
    <row r="77" spans="1:8" s="76" customFormat="1" ht="24" customHeight="1">
      <c r="A77" s="91">
        <v>63</v>
      </c>
      <c r="B77" s="92" t="s">
        <v>1916</v>
      </c>
      <c r="C77" s="92" t="s">
        <v>1917</v>
      </c>
      <c r="D77" s="92" t="s">
        <v>1765</v>
      </c>
      <c r="E77" s="93">
        <v>4162.89</v>
      </c>
      <c r="F77" s="364"/>
      <c r="G77" s="94">
        <f t="shared" si="0"/>
        <v>0</v>
      </c>
      <c r="H77" s="93">
        <v>0</v>
      </c>
    </row>
    <row r="78" spans="1:8" ht="28.5" customHeight="1">
      <c r="A78" s="107"/>
      <c r="B78" s="108" t="s">
        <v>1918</v>
      </c>
      <c r="C78" s="108" t="s">
        <v>1919</v>
      </c>
      <c r="D78" s="108"/>
      <c r="E78" s="109"/>
      <c r="F78" s="110"/>
      <c r="G78" s="110">
        <f>SUM(G79:G93)</f>
        <v>0</v>
      </c>
      <c r="H78" s="109">
        <v>0.21817</v>
      </c>
    </row>
    <row r="79" spans="1:8" s="76" customFormat="1" ht="24" customHeight="1">
      <c r="A79" s="91">
        <v>64</v>
      </c>
      <c r="B79" s="92" t="s">
        <v>1920</v>
      </c>
      <c r="C79" s="92" t="s">
        <v>1921</v>
      </c>
      <c r="D79" s="92" t="s">
        <v>395</v>
      </c>
      <c r="E79" s="93">
        <v>2</v>
      </c>
      <c r="F79" s="364"/>
      <c r="G79" s="94">
        <f t="shared" si="0"/>
        <v>0</v>
      </c>
      <c r="H79" s="93">
        <v>0.00294</v>
      </c>
    </row>
    <row r="80" spans="1:8" s="76" customFormat="1" ht="24" customHeight="1">
      <c r="A80" s="91">
        <v>65</v>
      </c>
      <c r="B80" s="92" t="s">
        <v>1922</v>
      </c>
      <c r="C80" s="92" t="s">
        <v>1923</v>
      </c>
      <c r="D80" s="92" t="s">
        <v>395</v>
      </c>
      <c r="E80" s="93">
        <v>19</v>
      </c>
      <c r="F80" s="364"/>
      <c r="G80" s="94">
        <f t="shared" si="0"/>
        <v>0</v>
      </c>
      <c r="H80" s="93">
        <v>0.03515</v>
      </c>
    </row>
    <row r="81" spans="1:8" s="76" customFormat="1" ht="24" customHeight="1">
      <c r="A81" s="91">
        <v>66</v>
      </c>
      <c r="B81" s="92" t="s">
        <v>1924</v>
      </c>
      <c r="C81" s="92" t="s">
        <v>1925</v>
      </c>
      <c r="D81" s="92" t="s">
        <v>395</v>
      </c>
      <c r="E81" s="93">
        <v>3</v>
      </c>
      <c r="F81" s="364"/>
      <c r="G81" s="94">
        <f aca="true" t="shared" si="1" ref="G81:G100">SUM(E81*F81)</f>
        <v>0</v>
      </c>
      <c r="H81" s="93">
        <v>0.00792</v>
      </c>
    </row>
    <row r="82" spans="1:8" s="76" customFormat="1" ht="24" customHeight="1">
      <c r="A82" s="91">
        <v>67</v>
      </c>
      <c r="B82" s="92" t="s">
        <v>1926</v>
      </c>
      <c r="C82" s="92" t="s">
        <v>1927</v>
      </c>
      <c r="D82" s="92" t="s">
        <v>395</v>
      </c>
      <c r="E82" s="93">
        <v>12</v>
      </c>
      <c r="F82" s="364"/>
      <c r="G82" s="94">
        <f t="shared" si="1"/>
        <v>0</v>
      </c>
      <c r="H82" s="93">
        <v>0.05916</v>
      </c>
    </row>
    <row r="83" spans="1:8" s="76" customFormat="1" ht="24" customHeight="1">
      <c r="A83" s="91">
        <v>68</v>
      </c>
      <c r="B83" s="92" t="s">
        <v>1928</v>
      </c>
      <c r="C83" s="92" t="s">
        <v>1929</v>
      </c>
      <c r="D83" s="92" t="s">
        <v>395</v>
      </c>
      <c r="E83" s="93">
        <v>3</v>
      </c>
      <c r="F83" s="364"/>
      <c r="G83" s="94">
        <f t="shared" si="1"/>
        <v>0</v>
      </c>
      <c r="H83" s="93">
        <v>0.03513</v>
      </c>
    </row>
    <row r="84" spans="1:8" s="76" customFormat="1" ht="24" customHeight="1">
      <c r="A84" s="91">
        <v>69</v>
      </c>
      <c r="B84" s="92" t="s">
        <v>1930</v>
      </c>
      <c r="C84" s="92" t="s">
        <v>1931</v>
      </c>
      <c r="D84" s="92" t="s">
        <v>1907</v>
      </c>
      <c r="E84" s="93">
        <v>2</v>
      </c>
      <c r="F84" s="364"/>
      <c r="G84" s="94">
        <f t="shared" si="1"/>
        <v>0</v>
      </c>
      <c r="H84" s="93">
        <v>0.01358</v>
      </c>
    </row>
    <row r="85" spans="1:8" s="76" customFormat="1" ht="13.5" customHeight="1">
      <c r="A85" s="91">
        <v>70</v>
      </c>
      <c r="B85" s="92" t="s">
        <v>1932</v>
      </c>
      <c r="C85" s="92" t="s">
        <v>1933</v>
      </c>
      <c r="D85" s="92" t="s">
        <v>225</v>
      </c>
      <c r="E85" s="93">
        <v>2</v>
      </c>
      <c r="F85" s="364"/>
      <c r="G85" s="94">
        <f t="shared" si="1"/>
        <v>0</v>
      </c>
      <c r="H85" s="93">
        <v>0</v>
      </c>
    </row>
    <row r="86" spans="1:8" s="76" customFormat="1" ht="24" customHeight="1">
      <c r="A86" s="91">
        <v>71</v>
      </c>
      <c r="B86" s="92" t="s">
        <v>1934</v>
      </c>
      <c r="C86" s="92" t="s">
        <v>1935</v>
      </c>
      <c r="D86" s="92" t="s">
        <v>1907</v>
      </c>
      <c r="E86" s="93">
        <v>1</v>
      </c>
      <c r="F86" s="364"/>
      <c r="G86" s="94">
        <f t="shared" si="1"/>
        <v>0</v>
      </c>
      <c r="H86" s="93">
        <v>0.01639</v>
      </c>
    </row>
    <row r="87" spans="1:8" s="76" customFormat="1" ht="13.5" customHeight="1">
      <c r="A87" s="91">
        <v>72</v>
      </c>
      <c r="B87" s="92" t="s">
        <v>1936</v>
      </c>
      <c r="C87" s="92" t="s">
        <v>1937</v>
      </c>
      <c r="D87" s="92" t="s">
        <v>225</v>
      </c>
      <c r="E87" s="93">
        <v>3</v>
      </c>
      <c r="F87" s="364"/>
      <c r="G87" s="94">
        <f t="shared" si="1"/>
        <v>0</v>
      </c>
      <c r="H87" s="93">
        <v>0.00048</v>
      </c>
    </row>
    <row r="88" spans="1:8" s="76" customFormat="1" ht="24" customHeight="1">
      <c r="A88" s="91">
        <v>73</v>
      </c>
      <c r="B88" s="92" t="s">
        <v>1938</v>
      </c>
      <c r="C88" s="92" t="s">
        <v>1939</v>
      </c>
      <c r="D88" s="92" t="s">
        <v>225</v>
      </c>
      <c r="E88" s="93">
        <v>5</v>
      </c>
      <c r="F88" s="364"/>
      <c r="G88" s="94">
        <f t="shared" si="1"/>
        <v>0</v>
      </c>
      <c r="H88" s="93">
        <v>0.0012</v>
      </c>
    </row>
    <row r="89" spans="1:8" s="76" customFormat="1" ht="24" customHeight="1">
      <c r="A89" s="91">
        <v>74</v>
      </c>
      <c r="B89" s="92" t="s">
        <v>1940</v>
      </c>
      <c r="C89" s="92" t="s">
        <v>1941</v>
      </c>
      <c r="D89" s="92" t="s">
        <v>225</v>
      </c>
      <c r="E89" s="93">
        <v>2</v>
      </c>
      <c r="F89" s="364"/>
      <c r="G89" s="94">
        <f t="shared" si="1"/>
        <v>0</v>
      </c>
      <c r="H89" s="93">
        <v>0.00122</v>
      </c>
    </row>
    <row r="90" spans="1:8" s="76" customFormat="1" ht="13.5" customHeight="1">
      <c r="A90" s="91">
        <v>75</v>
      </c>
      <c r="B90" s="92" t="s">
        <v>1942</v>
      </c>
      <c r="C90" s="92" t="s">
        <v>1943</v>
      </c>
      <c r="D90" s="92" t="s">
        <v>225</v>
      </c>
      <c r="E90" s="93">
        <v>1</v>
      </c>
      <c r="F90" s="364"/>
      <c r="G90" s="94">
        <f t="shared" si="1"/>
        <v>0</v>
      </c>
      <c r="H90" s="93">
        <v>0</v>
      </c>
    </row>
    <row r="91" spans="1:8" s="76" customFormat="1" ht="24" customHeight="1">
      <c r="A91" s="95">
        <v>76</v>
      </c>
      <c r="B91" s="96" t="s">
        <v>1944</v>
      </c>
      <c r="C91" s="96" t="s">
        <v>1945</v>
      </c>
      <c r="D91" s="96" t="s">
        <v>225</v>
      </c>
      <c r="E91" s="97">
        <v>1</v>
      </c>
      <c r="F91" s="365"/>
      <c r="G91" s="94">
        <f t="shared" si="1"/>
        <v>0</v>
      </c>
      <c r="H91" s="97">
        <v>0.045</v>
      </c>
    </row>
    <row r="92" spans="1:8" s="76" customFormat="1" ht="24" customHeight="1">
      <c r="A92" s="91">
        <v>77</v>
      </c>
      <c r="B92" s="92" t="s">
        <v>1946</v>
      </c>
      <c r="C92" s="92" t="s">
        <v>1947</v>
      </c>
      <c r="D92" s="92" t="s">
        <v>1765</v>
      </c>
      <c r="E92" s="93">
        <v>387.39</v>
      </c>
      <c r="F92" s="364"/>
      <c r="G92" s="94">
        <f t="shared" si="1"/>
        <v>0</v>
      </c>
      <c r="H92" s="93">
        <v>0</v>
      </c>
    </row>
    <row r="93" spans="1:8" s="76" customFormat="1" ht="24" customHeight="1">
      <c r="A93" s="91">
        <v>78</v>
      </c>
      <c r="B93" s="92" t="s">
        <v>1948</v>
      </c>
      <c r="C93" s="92" t="s">
        <v>1949</v>
      </c>
      <c r="D93" s="92" t="s">
        <v>1765</v>
      </c>
      <c r="E93" s="93">
        <v>387.39</v>
      </c>
      <c r="F93" s="364"/>
      <c r="G93" s="94">
        <f t="shared" si="1"/>
        <v>0</v>
      </c>
      <c r="H93" s="93">
        <v>0</v>
      </c>
    </row>
    <row r="94" spans="1:8" ht="28.5" customHeight="1">
      <c r="A94" s="107"/>
      <c r="B94" s="108" t="s">
        <v>1950</v>
      </c>
      <c r="C94" s="108" t="s">
        <v>1951</v>
      </c>
      <c r="D94" s="108"/>
      <c r="E94" s="109"/>
      <c r="F94" s="110"/>
      <c r="G94" s="110">
        <f>SUM(G95:G100)</f>
        <v>0</v>
      </c>
      <c r="H94" s="109">
        <v>0.19423</v>
      </c>
    </row>
    <row r="95" spans="1:8" s="76" customFormat="1" ht="24" customHeight="1">
      <c r="A95" s="91">
        <v>79</v>
      </c>
      <c r="B95" s="92" t="s">
        <v>1952</v>
      </c>
      <c r="C95" s="92" t="s">
        <v>1953</v>
      </c>
      <c r="D95" s="92" t="s">
        <v>1907</v>
      </c>
      <c r="E95" s="93">
        <v>2</v>
      </c>
      <c r="F95" s="364"/>
      <c r="G95" s="94">
        <f t="shared" si="1"/>
        <v>0</v>
      </c>
      <c r="H95" s="93">
        <v>0.0032</v>
      </c>
    </row>
    <row r="96" spans="1:8" s="76" customFormat="1" ht="34.5" customHeight="1">
      <c r="A96" s="95">
        <v>80</v>
      </c>
      <c r="B96" s="96" t="s">
        <v>1954</v>
      </c>
      <c r="C96" s="96" t="s">
        <v>1955</v>
      </c>
      <c r="D96" s="96" t="s">
        <v>225</v>
      </c>
      <c r="E96" s="97">
        <v>2</v>
      </c>
      <c r="F96" s="365"/>
      <c r="G96" s="94">
        <f t="shared" si="1"/>
        <v>0</v>
      </c>
      <c r="H96" s="97">
        <v>0.152</v>
      </c>
    </row>
    <row r="97" spans="1:8" s="76" customFormat="1" ht="13.5" customHeight="1">
      <c r="A97" s="91">
        <v>81</v>
      </c>
      <c r="B97" s="92" t="s">
        <v>1956</v>
      </c>
      <c r="C97" s="92" t="s">
        <v>1957</v>
      </c>
      <c r="D97" s="92" t="s">
        <v>225</v>
      </c>
      <c r="E97" s="93">
        <v>1</v>
      </c>
      <c r="F97" s="364"/>
      <c r="G97" s="94">
        <f t="shared" si="1"/>
        <v>0</v>
      </c>
      <c r="H97" s="93">
        <v>3E-05</v>
      </c>
    </row>
    <row r="98" spans="1:8" s="76" customFormat="1" ht="34.5" customHeight="1">
      <c r="A98" s="95">
        <v>82</v>
      </c>
      <c r="B98" s="96" t="s">
        <v>1958</v>
      </c>
      <c r="C98" s="96" t="s">
        <v>1959</v>
      </c>
      <c r="D98" s="96" t="s">
        <v>225</v>
      </c>
      <c r="E98" s="97">
        <v>1</v>
      </c>
      <c r="F98" s="365"/>
      <c r="G98" s="94">
        <f t="shared" si="1"/>
        <v>0</v>
      </c>
      <c r="H98" s="97">
        <v>0.039</v>
      </c>
    </row>
    <row r="99" spans="1:8" s="76" customFormat="1" ht="24" customHeight="1">
      <c r="A99" s="91">
        <v>83</v>
      </c>
      <c r="B99" s="92" t="s">
        <v>1960</v>
      </c>
      <c r="C99" s="92" t="s">
        <v>1961</v>
      </c>
      <c r="D99" s="92" t="s">
        <v>1765</v>
      </c>
      <c r="E99" s="93">
        <v>440.5</v>
      </c>
      <c r="F99" s="364"/>
      <c r="G99" s="94">
        <f t="shared" si="1"/>
        <v>0</v>
      </c>
      <c r="H99" s="93">
        <v>0</v>
      </c>
    </row>
    <row r="100" spans="1:8" s="76" customFormat="1" ht="24" customHeight="1">
      <c r="A100" s="91">
        <v>84</v>
      </c>
      <c r="B100" s="92" t="s">
        <v>1962</v>
      </c>
      <c r="C100" s="92" t="s">
        <v>1963</v>
      </c>
      <c r="D100" s="92" t="s">
        <v>1765</v>
      </c>
      <c r="E100" s="93">
        <v>440.5</v>
      </c>
      <c r="F100" s="364"/>
      <c r="G100" s="94">
        <f t="shared" si="1"/>
        <v>0</v>
      </c>
      <c r="H100" s="93">
        <v>0</v>
      </c>
    </row>
    <row r="101" spans="1:8" ht="28.5" customHeight="1">
      <c r="A101" s="107"/>
      <c r="B101" s="108" t="s">
        <v>1964</v>
      </c>
      <c r="C101" s="108" t="s">
        <v>1965</v>
      </c>
      <c r="D101" s="108"/>
      <c r="E101" s="109"/>
      <c r="F101" s="110"/>
      <c r="G101" s="110">
        <f>SUM(G102:G117)</f>
        <v>0</v>
      </c>
      <c r="H101" s="109">
        <v>0.84382</v>
      </c>
    </row>
    <row r="102" spans="1:8" s="76" customFormat="1" ht="34.5" customHeight="1">
      <c r="A102" s="91">
        <v>85</v>
      </c>
      <c r="B102" s="92" t="s">
        <v>1966</v>
      </c>
      <c r="C102" s="92" t="s">
        <v>1967</v>
      </c>
      <c r="D102" s="92" t="s">
        <v>1907</v>
      </c>
      <c r="E102" s="93">
        <v>14</v>
      </c>
      <c r="F102" s="364"/>
      <c r="G102" s="94">
        <f aca="true" t="shared" si="2" ref="G102:G130">SUM(E102*F102)</f>
        <v>0</v>
      </c>
      <c r="H102" s="93">
        <v>0.02842</v>
      </c>
    </row>
    <row r="103" spans="1:8" s="76" customFormat="1" ht="55.5" customHeight="1">
      <c r="A103" s="91">
        <v>86</v>
      </c>
      <c r="B103" s="92" t="s">
        <v>1968</v>
      </c>
      <c r="C103" s="92" t="s">
        <v>1969</v>
      </c>
      <c r="D103" s="92" t="s">
        <v>1907</v>
      </c>
      <c r="E103" s="93">
        <v>3</v>
      </c>
      <c r="F103" s="364"/>
      <c r="G103" s="94">
        <f t="shared" si="2"/>
        <v>0</v>
      </c>
      <c r="H103" s="93">
        <v>0.04146</v>
      </c>
    </row>
    <row r="104" spans="1:8" s="76" customFormat="1" ht="34.5" customHeight="1">
      <c r="A104" s="91">
        <v>87</v>
      </c>
      <c r="B104" s="92" t="s">
        <v>1970</v>
      </c>
      <c r="C104" s="92" t="s">
        <v>1971</v>
      </c>
      <c r="D104" s="92" t="s">
        <v>1907</v>
      </c>
      <c r="E104" s="93">
        <v>14</v>
      </c>
      <c r="F104" s="364"/>
      <c r="G104" s="94">
        <f t="shared" si="2"/>
        <v>0</v>
      </c>
      <c r="H104" s="93">
        <v>0.23688</v>
      </c>
    </row>
    <row r="105" spans="1:8" s="76" customFormat="1" ht="24" customHeight="1">
      <c r="A105" s="91">
        <v>88</v>
      </c>
      <c r="B105" s="92" t="s">
        <v>1972</v>
      </c>
      <c r="C105" s="92" t="s">
        <v>1973</v>
      </c>
      <c r="D105" s="92" t="s">
        <v>1907</v>
      </c>
      <c r="E105" s="93">
        <v>2</v>
      </c>
      <c r="F105" s="364"/>
      <c r="G105" s="94">
        <f t="shared" si="2"/>
        <v>0</v>
      </c>
      <c r="H105" s="93">
        <v>0.00316</v>
      </c>
    </row>
    <row r="106" spans="1:8" s="76" customFormat="1" ht="45" customHeight="1">
      <c r="A106" s="91">
        <v>89</v>
      </c>
      <c r="B106" s="92" t="s">
        <v>1974</v>
      </c>
      <c r="C106" s="92" t="s">
        <v>1975</v>
      </c>
      <c r="D106" s="92" t="s">
        <v>1907</v>
      </c>
      <c r="E106" s="93">
        <v>4</v>
      </c>
      <c r="F106" s="364"/>
      <c r="G106" s="94">
        <f t="shared" si="2"/>
        <v>0</v>
      </c>
      <c r="H106" s="93">
        <v>0.07632</v>
      </c>
    </row>
    <row r="107" spans="1:8" s="76" customFormat="1" ht="55.5" customHeight="1">
      <c r="A107" s="91">
        <v>90</v>
      </c>
      <c r="B107" s="92" t="s">
        <v>1976</v>
      </c>
      <c r="C107" s="92" t="s">
        <v>1977</v>
      </c>
      <c r="D107" s="92" t="s">
        <v>1907</v>
      </c>
      <c r="E107" s="93">
        <v>18</v>
      </c>
      <c r="F107" s="364"/>
      <c r="G107" s="94">
        <f t="shared" si="2"/>
        <v>0</v>
      </c>
      <c r="H107" s="93">
        <v>0.26946</v>
      </c>
    </row>
    <row r="108" spans="1:8" s="76" customFormat="1" ht="55.5" customHeight="1">
      <c r="A108" s="91">
        <v>91</v>
      </c>
      <c r="B108" s="92" t="s">
        <v>1978</v>
      </c>
      <c r="C108" s="92" t="s">
        <v>1979</v>
      </c>
      <c r="D108" s="92" t="s">
        <v>1907</v>
      </c>
      <c r="E108" s="93">
        <v>3</v>
      </c>
      <c r="F108" s="364"/>
      <c r="G108" s="94">
        <f t="shared" si="2"/>
        <v>0</v>
      </c>
      <c r="H108" s="93">
        <v>0.04584</v>
      </c>
    </row>
    <row r="109" spans="1:8" s="76" customFormat="1" ht="45" customHeight="1">
      <c r="A109" s="91">
        <v>92</v>
      </c>
      <c r="B109" s="92" t="s">
        <v>1980</v>
      </c>
      <c r="C109" s="92" t="s">
        <v>1981</v>
      </c>
      <c r="D109" s="92" t="s">
        <v>1907</v>
      </c>
      <c r="E109" s="93">
        <v>1</v>
      </c>
      <c r="F109" s="364"/>
      <c r="G109" s="94">
        <f t="shared" si="2"/>
        <v>0</v>
      </c>
      <c r="H109" s="93">
        <v>0.03036</v>
      </c>
    </row>
    <row r="110" spans="1:8" s="76" customFormat="1" ht="34.5" customHeight="1">
      <c r="A110" s="91">
        <v>93</v>
      </c>
      <c r="B110" s="92" t="s">
        <v>1982</v>
      </c>
      <c r="C110" s="92" t="s">
        <v>1983</v>
      </c>
      <c r="D110" s="92" t="s">
        <v>1907</v>
      </c>
      <c r="E110" s="93">
        <v>1</v>
      </c>
      <c r="F110" s="364"/>
      <c r="G110" s="94">
        <f t="shared" si="2"/>
        <v>0</v>
      </c>
      <c r="H110" s="93">
        <v>0.0147</v>
      </c>
    </row>
    <row r="111" spans="1:8" s="76" customFormat="1" ht="34.5" customHeight="1">
      <c r="A111" s="91">
        <v>94</v>
      </c>
      <c r="B111" s="92" t="s">
        <v>1984</v>
      </c>
      <c r="C111" s="92" t="s">
        <v>1985</v>
      </c>
      <c r="D111" s="92" t="s">
        <v>1907</v>
      </c>
      <c r="E111" s="93">
        <v>1</v>
      </c>
      <c r="F111" s="364"/>
      <c r="G111" s="94">
        <f t="shared" si="2"/>
        <v>0</v>
      </c>
      <c r="H111" s="93">
        <v>0.0147</v>
      </c>
    </row>
    <row r="112" spans="1:8" s="76" customFormat="1" ht="34.5" customHeight="1">
      <c r="A112" s="91">
        <v>95</v>
      </c>
      <c r="B112" s="92" t="s">
        <v>1986</v>
      </c>
      <c r="C112" s="92" t="s">
        <v>1987</v>
      </c>
      <c r="D112" s="92" t="s">
        <v>1907</v>
      </c>
      <c r="E112" s="93">
        <v>2</v>
      </c>
      <c r="F112" s="364"/>
      <c r="G112" s="94">
        <f t="shared" si="2"/>
        <v>0</v>
      </c>
      <c r="H112" s="93">
        <v>0.00416</v>
      </c>
    </row>
    <row r="113" spans="1:8" s="76" customFormat="1" ht="34.5" customHeight="1">
      <c r="A113" s="91">
        <v>96</v>
      </c>
      <c r="B113" s="92" t="s">
        <v>1988</v>
      </c>
      <c r="C113" s="92" t="s">
        <v>1989</v>
      </c>
      <c r="D113" s="92" t="s">
        <v>1907</v>
      </c>
      <c r="E113" s="93">
        <v>1</v>
      </c>
      <c r="F113" s="364"/>
      <c r="G113" s="94">
        <f t="shared" si="2"/>
        <v>0</v>
      </c>
      <c r="H113" s="93">
        <v>0.0018</v>
      </c>
    </row>
    <row r="114" spans="1:8" s="76" customFormat="1" ht="34.5" customHeight="1">
      <c r="A114" s="91">
        <v>97</v>
      </c>
      <c r="B114" s="92" t="s">
        <v>1990</v>
      </c>
      <c r="C114" s="92" t="s">
        <v>1991</v>
      </c>
      <c r="D114" s="92" t="s">
        <v>1907</v>
      </c>
      <c r="E114" s="93">
        <v>21</v>
      </c>
      <c r="F114" s="364"/>
      <c r="G114" s="94">
        <f t="shared" si="2"/>
        <v>0</v>
      </c>
      <c r="H114" s="93">
        <v>0.0378</v>
      </c>
    </row>
    <row r="115" spans="1:8" s="76" customFormat="1" ht="55.5" customHeight="1">
      <c r="A115" s="91">
        <v>98</v>
      </c>
      <c r="B115" s="92" t="s">
        <v>1992</v>
      </c>
      <c r="C115" s="92" t="s">
        <v>1993</v>
      </c>
      <c r="D115" s="92" t="s">
        <v>1907</v>
      </c>
      <c r="E115" s="93">
        <v>19</v>
      </c>
      <c r="F115" s="364"/>
      <c r="G115" s="94">
        <f t="shared" si="2"/>
        <v>0</v>
      </c>
      <c r="H115" s="93">
        <v>0.03876</v>
      </c>
    </row>
    <row r="116" spans="1:8" s="76" customFormat="1" ht="24" customHeight="1">
      <c r="A116" s="91">
        <v>99</v>
      </c>
      <c r="B116" s="92" t="s">
        <v>1994</v>
      </c>
      <c r="C116" s="92" t="s">
        <v>1995</v>
      </c>
      <c r="D116" s="92" t="s">
        <v>1765</v>
      </c>
      <c r="E116" s="93">
        <v>3934.47</v>
      </c>
      <c r="F116" s="364"/>
      <c r="G116" s="94">
        <f t="shared" si="2"/>
        <v>0</v>
      </c>
      <c r="H116" s="93">
        <v>0</v>
      </c>
    </row>
    <row r="117" spans="1:8" s="76" customFormat="1" ht="24" customHeight="1">
      <c r="A117" s="91">
        <v>100</v>
      </c>
      <c r="B117" s="92" t="s">
        <v>1996</v>
      </c>
      <c r="C117" s="92" t="s">
        <v>1997</v>
      </c>
      <c r="D117" s="92" t="s">
        <v>1765</v>
      </c>
      <c r="E117" s="93">
        <v>3934.47</v>
      </c>
      <c r="F117" s="364"/>
      <c r="G117" s="94">
        <f t="shared" si="2"/>
        <v>0</v>
      </c>
      <c r="H117" s="93">
        <v>0</v>
      </c>
    </row>
    <row r="118" spans="1:8" ht="28.5" customHeight="1">
      <c r="A118" s="107"/>
      <c r="B118" s="108" t="s">
        <v>1998</v>
      </c>
      <c r="C118" s="108" t="s">
        <v>1999</v>
      </c>
      <c r="D118" s="108"/>
      <c r="E118" s="109"/>
      <c r="F118" s="110"/>
      <c r="G118" s="110">
        <f>SUM(G119)</f>
        <v>0</v>
      </c>
      <c r="H118" s="109">
        <v>0.00328</v>
      </c>
    </row>
    <row r="119" spans="1:8" s="76" customFormat="1" ht="24" customHeight="1">
      <c r="A119" s="91">
        <v>101</v>
      </c>
      <c r="B119" s="92" t="s">
        <v>2000</v>
      </c>
      <c r="C119" s="92" t="s">
        <v>2001</v>
      </c>
      <c r="D119" s="92" t="s">
        <v>1907</v>
      </c>
      <c r="E119" s="93">
        <v>1</v>
      </c>
      <c r="F119" s="364"/>
      <c r="G119" s="94">
        <f t="shared" si="2"/>
        <v>0</v>
      </c>
      <c r="H119" s="93">
        <v>0.00328</v>
      </c>
    </row>
    <row r="120" spans="1:8" ht="28.5" customHeight="1">
      <c r="A120" s="107"/>
      <c r="B120" s="108" t="s">
        <v>2002</v>
      </c>
      <c r="C120" s="108" t="s">
        <v>2003</v>
      </c>
      <c r="D120" s="108"/>
      <c r="E120" s="109"/>
      <c r="F120" s="110"/>
      <c r="G120" s="110">
        <f>SUM(G121:G123)</f>
        <v>0</v>
      </c>
      <c r="H120" s="109">
        <v>0.00939</v>
      </c>
    </row>
    <row r="121" spans="1:8" s="76" customFormat="1" ht="24" customHeight="1">
      <c r="A121" s="91">
        <v>102</v>
      </c>
      <c r="B121" s="92" t="s">
        <v>2004</v>
      </c>
      <c r="C121" s="92" t="s">
        <v>2005</v>
      </c>
      <c r="D121" s="92" t="s">
        <v>225</v>
      </c>
      <c r="E121" s="93">
        <v>1</v>
      </c>
      <c r="F121" s="364"/>
      <c r="G121" s="94">
        <f t="shared" si="2"/>
        <v>0</v>
      </c>
      <c r="H121" s="93">
        <v>0.00055</v>
      </c>
    </row>
    <row r="122" spans="1:8" s="76" customFormat="1" ht="24" customHeight="1">
      <c r="A122" s="91">
        <v>103</v>
      </c>
      <c r="B122" s="92" t="s">
        <v>2006</v>
      </c>
      <c r="C122" s="92" t="s">
        <v>2007</v>
      </c>
      <c r="D122" s="92" t="s">
        <v>225</v>
      </c>
      <c r="E122" s="93">
        <v>2</v>
      </c>
      <c r="F122" s="364"/>
      <c r="G122" s="94">
        <f t="shared" si="2"/>
        <v>0</v>
      </c>
      <c r="H122" s="93">
        <v>0.00442</v>
      </c>
    </row>
    <row r="123" spans="1:8" s="76" customFormat="1" ht="13.5" customHeight="1">
      <c r="A123" s="91">
        <v>104</v>
      </c>
      <c r="B123" s="92" t="s">
        <v>2008</v>
      </c>
      <c r="C123" s="92" t="s">
        <v>2009</v>
      </c>
      <c r="D123" s="92" t="s">
        <v>225</v>
      </c>
      <c r="E123" s="93">
        <v>2</v>
      </c>
      <c r="F123" s="364"/>
      <c r="G123" s="94">
        <f t="shared" si="2"/>
        <v>0</v>
      </c>
      <c r="H123" s="93">
        <v>0.00442</v>
      </c>
    </row>
    <row r="124" spans="1:8" ht="28.5" customHeight="1">
      <c r="A124" s="107"/>
      <c r="B124" s="108" t="s">
        <v>1691</v>
      </c>
      <c r="C124" s="108" t="s">
        <v>2010</v>
      </c>
      <c r="D124" s="108"/>
      <c r="E124" s="109"/>
      <c r="F124" s="110"/>
      <c r="G124" s="110">
        <f>SUM(G125:G130)</f>
        <v>0</v>
      </c>
      <c r="H124" s="109">
        <v>0.00276</v>
      </c>
    </row>
    <row r="125" spans="1:8" s="76" customFormat="1" ht="13.5" customHeight="1">
      <c r="A125" s="91">
        <v>105</v>
      </c>
      <c r="B125" s="92" t="s">
        <v>2011</v>
      </c>
      <c r="C125" s="92" t="s">
        <v>2012</v>
      </c>
      <c r="D125" s="92" t="s">
        <v>395</v>
      </c>
      <c r="E125" s="93">
        <v>40</v>
      </c>
      <c r="F125" s="364"/>
      <c r="G125" s="94">
        <f t="shared" si="2"/>
        <v>0</v>
      </c>
      <c r="H125" s="93">
        <v>0.0004</v>
      </c>
    </row>
    <row r="126" spans="1:8" s="76" customFormat="1" ht="13.5" customHeight="1">
      <c r="A126" s="91">
        <v>106</v>
      </c>
      <c r="B126" s="92" t="s">
        <v>2013</v>
      </c>
      <c r="C126" s="92" t="s">
        <v>2014</v>
      </c>
      <c r="D126" s="92" t="s">
        <v>395</v>
      </c>
      <c r="E126" s="93">
        <v>4</v>
      </c>
      <c r="F126" s="364"/>
      <c r="G126" s="94">
        <f t="shared" si="2"/>
        <v>0</v>
      </c>
      <c r="H126" s="93">
        <v>4E-05</v>
      </c>
    </row>
    <row r="127" spans="1:8" s="76" customFormat="1" ht="24" customHeight="1">
      <c r="A127" s="91">
        <v>107</v>
      </c>
      <c r="B127" s="92" t="s">
        <v>2015</v>
      </c>
      <c r="C127" s="92" t="s">
        <v>2016</v>
      </c>
      <c r="D127" s="92" t="s">
        <v>395</v>
      </c>
      <c r="E127" s="93">
        <v>40</v>
      </c>
      <c r="F127" s="364"/>
      <c r="G127" s="94">
        <f t="shared" si="2"/>
        <v>0</v>
      </c>
      <c r="H127" s="93">
        <v>0.0008</v>
      </c>
    </row>
    <row r="128" spans="1:8" s="76" customFormat="1" ht="24" customHeight="1">
      <c r="A128" s="91">
        <v>108</v>
      </c>
      <c r="B128" s="92" t="s">
        <v>2017</v>
      </c>
      <c r="C128" s="92" t="s">
        <v>2018</v>
      </c>
      <c r="D128" s="92" t="s">
        <v>395</v>
      </c>
      <c r="E128" s="93">
        <v>4</v>
      </c>
      <c r="F128" s="364"/>
      <c r="G128" s="94">
        <f t="shared" si="2"/>
        <v>0</v>
      </c>
      <c r="H128" s="93">
        <v>0.00016</v>
      </c>
    </row>
    <row r="129" spans="1:8" s="76" customFormat="1" ht="13.5" customHeight="1">
      <c r="A129" s="91">
        <v>109</v>
      </c>
      <c r="B129" s="92" t="s">
        <v>2019</v>
      </c>
      <c r="C129" s="92" t="s">
        <v>2020</v>
      </c>
      <c r="D129" s="92" t="s">
        <v>395</v>
      </c>
      <c r="E129" s="93">
        <v>40</v>
      </c>
      <c r="F129" s="364"/>
      <c r="G129" s="94">
        <f t="shared" si="2"/>
        <v>0</v>
      </c>
      <c r="H129" s="93">
        <v>0.0012</v>
      </c>
    </row>
    <row r="130" spans="1:8" s="76" customFormat="1" ht="13.5" customHeight="1">
      <c r="A130" s="91">
        <v>110</v>
      </c>
      <c r="B130" s="92" t="s">
        <v>2021</v>
      </c>
      <c r="C130" s="92" t="s">
        <v>2022</v>
      </c>
      <c r="D130" s="92" t="s">
        <v>395</v>
      </c>
      <c r="E130" s="93">
        <v>4</v>
      </c>
      <c r="F130" s="364"/>
      <c r="G130" s="94">
        <f t="shared" si="2"/>
        <v>0</v>
      </c>
      <c r="H130" s="93">
        <v>0.00016</v>
      </c>
    </row>
    <row r="131" spans="1:8" s="76" customFormat="1" ht="30.75" customHeight="1">
      <c r="A131" s="98"/>
      <c r="B131" s="99"/>
      <c r="C131" s="99" t="s">
        <v>2023</v>
      </c>
      <c r="D131" s="99"/>
      <c r="E131" s="100"/>
      <c r="F131" s="101"/>
      <c r="G131" s="101">
        <f>SUM(G13+G40+G78+G94+G101+G118+G120+G124)</f>
        <v>0</v>
      </c>
      <c r="H131" s="100">
        <v>2.90232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5"/>
  <sheetViews>
    <sheetView workbookViewId="0" topLeftCell="A1">
      <selection activeCell="A1" sqref="A1:XFD1"/>
    </sheetView>
  </sheetViews>
  <sheetFormatPr defaultColWidth="8.140625" defaultRowHeight="12" customHeight="1"/>
  <cols>
    <col min="1" max="1" width="3.00390625" style="102" customWidth="1"/>
    <col min="2" max="2" width="12.00390625" style="103" customWidth="1"/>
    <col min="3" max="3" width="38.7109375" style="103" customWidth="1"/>
    <col min="4" max="4" width="4.28125" style="103" customWidth="1"/>
    <col min="5" max="5" width="8.7109375" style="104" customWidth="1"/>
    <col min="6" max="6" width="10.28125" style="105" customWidth="1"/>
    <col min="7" max="7" width="13.8515625" style="105" customWidth="1"/>
    <col min="8" max="8" width="10.28125" style="104" customWidth="1"/>
    <col min="9" max="256" width="8.140625" style="106" customWidth="1"/>
    <col min="257" max="257" width="3.00390625" style="106" customWidth="1"/>
    <col min="258" max="258" width="12.00390625" style="106" customWidth="1"/>
    <col min="259" max="259" width="38.7109375" style="106" customWidth="1"/>
    <col min="260" max="260" width="4.28125" style="106" customWidth="1"/>
    <col min="261" max="261" width="8.7109375" style="106" customWidth="1"/>
    <col min="262" max="262" width="10.28125" style="106" customWidth="1"/>
    <col min="263" max="263" width="13.8515625" style="106" customWidth="1"/>
    <col min="264" max="264" width="10.28125" style="106" customWidth="1"/>
    <col min="265" max="512" width="8.140625" style="106" customWidth="1"/>
    <col min="513" max="513" width="3.00390625" style="106" customWidth="1"/>
    <col min="514" max="514" width="12.00390625" style="106" customWidth="1"/>
    <col min="515" max="515" width="38.7109375" style="106" customWidth="1"/>
    <col min="516" max="516" width="4.28125" style="106" customWidth="1"/>
    <col min="517" max="517" width="8.7109375" style="106" customWidth="1"/>
    <col min="518" max="518" width="10.28125" style="106" customWidth="1"/>
    <col min="519" max="519" width="13.8515625" style="106" customWidth="1"/>
    <col min="520" max="520" width="10.28125" style="106" customWidth="1"/>
    <col min="521" max="768" width="8.140625" style="106" customWidth="1"/>
    <col min="769" max="769" width="3.00390625" style="106" customWidth="1"/>
    <col min="770" max="770" width="12.00390625" style="106" customWidth="1"/>
    <col min="771" max="771" width="38.7109375" style="106" customWidth="1"/>
    <col min="772" max="772" width="4.28125" style="106" customWidth="1"/>
    <col min="773" max="773" width="8.7109375" style="106" customWidth="1"/>
    <col min="774" max="774" width="10.28125" style="106" customWidth="1"/>
    <col min="775" max="775" width="13.8515625" style="106" customWidth="1"/>
    <col min="776" max="776" width="10.28125" style="106" customWidth="1"/>
    <col min="777" max="1024" width="8.140625" style="106" customWidth="1"/>
    <col min="1025" max="1025" width="3.00390625" style="106" customWidth="1"/>
    <col min="1026" max="1026" width="12.00390625" style="106" customWidth="1"/>
    <col min="1027" max="1027" width="38.7109375" style="106" customWidth="1"/>
    <col min="1028" max="1028" width="4.28125" style="106" customWidth="1"/>
    <col min="1029" max="1029" width="8.7109375" style="106" customWidth="1"/>
    <col min="1030" max="1030" width="10.28125" style="106" customWidth="1"/>
    <col min="1031" max="1031" width="13.8515625" style="106" customWidth="1"/>
    <col min="1032" max="1032" width="10.28125" style="106" customWidth="1"/>
    <col min="1033" max="1280" width="8.140625" style="106" customWidth="1"/>
    <col min="1281" max="1281" width="3.00390625" style="106" customWidth="1"/>
    <col min="1282" max="1282" width="12.00390625" style="106" customWidth="1"/>
    <col min="1283" max="1283" width="38.7109375" style="106" customWidth="1"/>
    <col min="1284" max="1284" width="4.28125" style="106" customWidth="1"/>
    <col min="1285" max="1285" width="8.7109375" style="106" customWidth="1"/>
    <col min="1286" max="1286" width="10.28125" style="106" customWidth="1"/>
    <col min="1287" max="1287" width="13.8515625" style="106" customWidth="1"/>
    <col min="1288" max="1288" width="10.28125" style="106" customWidth="1"/>
    <col min="1289" max="1536" width="8.140625" style="106" customWidth="1"/>
    <col min="1537" max="1537" width="3.00390625" style="106" customWidth="1"/>
    <col min="1538" max="1538" width="12.00390625" style="106" customWidth="1"/>
    <col min="1539" max="1539" width="38.7109375" style="106" customWidth="1"/>
    <col min="1540" max="1540" width="4.28125" style="106" customWidth="1"/>
    <col min="1541" max="1541" width="8.7109375" style="106" customWidth="1"/>
    <col min="1542" max="1542" width="10.28125" style="106" customWidth="1"/>
    <col min="1543" max="1543" width="13.8515625" style="106" customWidth="1"/>
    <col min="1544" max="1544" width="10.28125" style="106" customWidth="1"/>
    <col min="1545" max="1792" width="8.140625" style="106" customWidth="1"/>
    <col min="1793" max="1793" width="3.00390625" style="106" customWidth="1"/>
    <col min="1794" max="1794" width="12.00390625" style="106" customWidth="1"/>
    <col min="1795" max="1795" width="38.7109375" style="106" customWidth="1"/>
    <col min="1796" max="1796" width="4.28125" style="106" customWidth="1"/>
    <col min="1797" max="1797" width="8.7109375" style="106" customWidth="1"/>
    <col min="1798" max="1798" width="10.28125" style="106" customWidth="1"/>
    <col min="1799" max="1799" width="13.8515625" style="106" customWidth="1"/>
    <col min="1800" max="1800" width="10.28125" style="106" customWidth="1"/>
    <col min="1801" max="2048" width="8.140625" style="106" customWidth="1"/>
    <col min="2049" max="2049" width="3.00390625" style="106" customWidth="1"/>
    <col min="2050" max="2050" width="12.00390625" style="106" customWidth="1"/>
    <col min="2051" max="2051" width="38.7109375" style="106" customWidth="1"/>
    <col min="2052" max="2052" width="4.28125" style="106" customWidth="1"/>
    <col min="2053" max="2053" width="8.7109375" style="106" customWidth="1"/>
    <col min="2054" max="2054" width="10.28125" style="106" customWidth="1"/>
    <col min="2055" max="2055" width="13.8515625" style="106" customWidth="1"/>
    <col min="2056" max="2056" width="10.28125" style="106" customWidth="1"/>
    <col min="2057" max="2304" width="8.140625" style="106" customWidth="1"/>
    <col min="2305" max="2305" width="3.00390625" style="106" customWidth="1"/>
    <col min="2306" max="2306" width="12.00390625" style="106" customWidth="1"/>
    <col min="2307" max="2307" width="38.7109375" style="106" customWidth="1"/>
    <col min="2308" max="2308" width="4.28125" style="106" customWidth="1"/>
    <col min="2309" max="2309" width="8.7109375" style="106" customWidth="1"/>
    <col min="2310" max="2310" width="10.28125" style="106" customWidth="1"/>
    <col min="2311" max="2311" width="13.8515625" style="106" customWidth="1"/>
    <col min="2312" max="2312" width="10.28125" style="106" customWidth="1"/>
    <col min="2313" max="2560" width="8.140625" style="106" customWidth="1"/>
    <col min="2561" max="2561" width="3.00390625" style="106" customWidth="1"/>
    <col min="2562" max="2562" width="12.00390625" style="106" customWidth="1"/>
    <col min="2563" max="2563" width="38.7109375" style="106" customWidth="1"/>
    <col min="2564" max="2564" width="4.28125" style="106" customWidth="1"/>
    <col min="2565" max="2565" width="8.7109375" style="106" customWidth="1"/>
    <col min="2566" max="2566" width="10.28125" style="106" customWidth="1"/>
    <col min="2567" max="2567" width="13.8515625" style="106" customWidth="1"/>
    <col min="2568" max="2568" width="10.28125" style="106" customWidth="1"/>
    <col min="2569" max="2816" width="8.140625" style="106" customWidth="1"/>
    <col min="2817" max="2817" width="3.00390625" style="106" customWidth="1"/>
    <col min="2818" max="2818" width="12.00390625" style="106" customWidth="1"/>
    <col min="2819" max="2819" width="38.7109375" style="106" customWidth="1"/>
    <col min="2820" max="2820" width="4.28125" style="106" customWidth="1"/>
    <col min="2821" max="2821" width="8.7109375" style="106" customWidth="1"/>
    <col min="2822" max="2822" width="10.28125" style="106" customWidth="1"/>
    <col min="2823" max="2823" width="13.8515625" style="106" customWidth="1"/>
    <col min="2824" max="2824" width="10.28125" style="106" customWidth="1"/>
    <col min="2825" max="3072" width="8.140625" style="106" customWidth="1"/>
    <col min="3073" max="3073" width="3.00390625" style="106" customWidth="1"/>
    <col min="3074" max="3074" width="12.00390625" style="106" customWidth="1"/>
    <col min="3075" max="3075" width="38.7109375" style="106" customWidth="1"/>
    <col min="3076" max="3076" width="4.28125" style="106" customWidth="1"/>
    <col min="3077" max="3077" width="8.7109375" style="106" customWidth="1"/>
    <col min="3078" max="3078" width="10.28125" style="106" customWidth="1"/>
    <col min="3079" max="3079" width="13.8515625" style="106" customWidth="1"/>
    <col min="3080" max="3080" width="10.28125" style="106" customWidth="1"/>
    <col min="3081" max="3328" width="8.140625" style="106" customWidth="1"/>
    <col min="3329" max="3329" width="3.00390625" style="106" customWidth="1"/>
    <col min="3330" max="3330" width="12.00390625" style="106" customWidth="1"/>
    <col min="3331" max="3331" width="38.7109375" style="106" customWidth="1"/>
    <col min="3332" max="3332" width="4.28125" style="106" customWidth="1"/>
    <col min="3333" max="3333" width="8.7109375" style="106" customWidth="1"/>
    <col min="3334" max="3334" width="10.28125" style="106" customWidth="1"/>
    <col min="3335" max="3335" width="13.8515625" style="106" customWidth="1"/>
    <col min="3336" max="3336" width="10.28125" style="106" customWidth="1"/>
    <col min="3337" max="3584" width="8.140625" style="106" customWidth="1"/>
    <col min="3585" max="3585" width="3.00390625" style="106" customWidth="1"/>
    <col min="3586" max="3586" width="12.00390625" style="106" customWidth="1"/>
    <col min="3587" max="3587" width="38.7109375" style="106" customWidth="1"/>
    <col min="3588" max="3588" width="4.28125" style="106" customWidth="1"/>
    <col min="3589" max="3589" width="8.7109375" style="106" customWidth="1"/>
    <col min="3590" max="3590" width="10.28125" style="106" customWidth="1"/>
    <col min="3591" max="3591" width="13.8515625" style="106" customWidth="1"/>
    <col min="3592" max="3592" width="10.28125" style="106" customWidth="1"/>
    <col min="3593" max="3840" width="8.140625" style="106" customWidth="1"/>
    <col min="3841" max="3841" width="3.00390625" style="106" customWidth="1"/>
    <col min="3842" max="3842" width="12.00390625" style="106" customWidth="1"/>
    <col min="3843" max="3843" width="38.7109375" style="106" customWidth="1"/>
    <col min="3844" max="3844" width="4.28125" style="106" customWidth="1"/>
    <col min="3845" max="3845" width="8.7109375" style="106" customWidth="1"/>
    <col min="3846" max="3846" width="10.28125" style="106" customWidth="1"/>
    <col min="3847" max="3847" width="13.8515625" style="106" customWidth="1"/>
    <col min="3848" max="3848" width="10.28125" style="106" customWidth="1"/>
    <col min="3849" max="4096" width="8.140625" style="106" customWidth="1"/>
    <col min="4097" max="4097" width="3.00390625" style="106" customWidth="1"/>
    <col min="4098" max="4098" width="12.00390625" style="106" customWidth="1"/>
    <col min="4099" max="4099" width="38.7109375" style="106" customWidth="1"/>
    <col min="4100" max="4100" width="4.28125" style="106" customWidth="1"/>
    <col min="4101" max="4101" width="8.7109375" style="106" customWidth="1"/>
    <col min="4102" max="4102" width="10.28125" style="106" customWidth="1"/>
    <col min="4103" max="4103" width="13.8515625" style="106" customWidth="1"/>
    <col min="4104" max="4104" width="10.28125" style="106" customWidth="1"/>
    <col min="4105" max="4352" width="8.140625" style="106" customWidth="1"/>
    <col min="4353" max="4353" width="3.00390625" style="106" customWidth="1"/>
    <col min="4354" max="4354" width="12.00390625" style="106" customWidth="1"/>
    <col min="4355" max="4355" width="38.7109375" style="106" customWidth="1"/>
    <col min="4356" max="4356" width="4.28125" style="106" customWidth="1"/>
    <col min="4357" max="4357" width="8.7109375" style="106" customWidth="1"/>
    <col min="4358" max="4358" width="10.28125" style="106" customWidth="1"/>
    <col min="4359" max="4359" width="13.8515625" style="106" customWidth="1"/>
    <col min="4360" max="4360" width="10.28125" style="106" customWidth="1"/>
    <col min="4361" max="4608" width="8.140625" style="106" customWidth="1"/>
    <col min="4609" max="4609" width="3.00390625" style="106" customWidth="1"/>
    <col min="4610" max="4610" width="12.00390625" style="106" customWidth="1"/>
    <col min="4611" max="4611" width="38.7109375" style="106" customWidth="1"/>
    <col min="4612" max="4612" width="4.28125" style="106" customWidth="1"/>
    <col min="4613" max="4613" width="8.7109375" style="106" customWidth="1"/>
    <col min="4614" max="4614" width="10.28125" style="106" customWidth="1"/>
    <col min="4615" max="4615" width="13.8515625" style="106" customWidth="1"/>
    <col min="4616" max="4616" width="10.28125" style="106" customWidth="1"/>
    <col min="4617" max="4864" width="8.140625" style="106" customWidth="1"/>
    <col min="4865" max="4865" width="3.00390625" style="106" customWidth="1"/>
    <col min="4866" max="4866" width="12.00390625" style="106" customWidth="1"/>
    <col min="4867" max="4867" width="38.7109375" style="106" customWidth="1"/>
    <col min="4868" max="4868" width="4.28125" style="106" customWidth="1"/>
    <col min="4869" max="4869" width="8.7109375" style="106" customWidth="1"/>
    <col min="4870" max="4870" width="10.28125" style="106" customWidth="1"/>
    <col min="4871" max="4871" width="13.8515625" style="106" customWidth="1"/>
    <col min="4872" max="4872" width="10.28125" style="106" customWidth="1"/>
    <col min="4873" max="5120" width="8.140625" style="106" customWidth="1"/>
    <col min="5121" max="5121" width="3.00390625" style="106" customWidth="1"/>
    <col min="5122" max="5122" width="12.00390625" style="106" customWidth="1"/>
    <col min="5123" max="5123" width="38.7109375" style="106" customWidth="1"/>
    <col min="5124" max="5124" width="4.28125" style="106" customWidth="1"/>
    <col min="5125" max="5125" width="8.7109375" style="106" customWidth="1"/>
    <col min="5126" max="5126" width="10.28125" style="106" customWidth="1"/>
    <col min="5127" max="5127" width="13.8515625" style="106" customWidth="1"/>
    <col min="5128" max="5128" width="10.28125" style="106" customWidth="1"/>
    <col min="5129" max="5376" width="8.140625" style="106" customWidth="1"/>
    <col min="5377" max="5377" width="3.00390625" style="106" customWidth="1"/>
    <col min="5378" max="5378" width="12.00390625" style="106" customWidth="1"/>
    <col min="5379" max="5379" width="38.7109375" style="106" customWidth="1"/>
    <col min="5380" max="5380" width="4.28125" style="106" customWidth="1"/>
    <col min="5381" max="5381" width="8.7109375" style="106" customWidth="1"/>
    <col min="5382" max="5382" width="10.28125" style="106" customWidth="1"/>
    <col min="5383" max="5383" width="13.8515625" style="106" customWidth="1"/>
    <col min="5384" max="5384" width="10.28125" style="106" customWidth="1"/>
    <col min="5385" max="5632" width="8.140625" style="106" customWidth="1"/>
    <col min="5633" max="5633" width="3.00390625" style="106" customWidth="1"/>
    <col min="5634" max="5634" width="12.00390625" style="106" customWidth="1"/>
    <col min="5635" max="5635" width="38.7109375" style="106" customWidth="1"/>
    <col min="5636" max="5636" width="4.28125" style="106" customWidth="1"/>
    <col min="5637" max="5637" width="8.7109375" style="106" customWidth="1"/>
    <col min="5638" max="5638" width="10.28125" style="106" customWidth="1"/>
    <col min="5639" max="5639" width="13.8515625" style="106" customWidth="1"/>
    <col min="5640" max="5640" width="10.28125" style="106" customWidth="1"/>
    <col min="5641" max="5888" width="8.140625" style="106" customWidth="1"/>
    <col min="5889" max="5889" width="3.00390625" style="106" customWidth="1"/>
    <col min="5890" max="5890" width="12.00390625" style="106" customWidth="1"/>
    <col min="5891" max="5891" width="38.7109375" style="106" customWidth="1"/>
    <col min="5892" max="5892" width="4.28125" style="106" customWidth="1"/>
    <col min="5893" max="5893" width="8.7109375" style="106" customWidth="1"/>
    <col min="5894" max="5894" width="10.28125" style="106" customWidth="1"/>
    <col min="5895" max="5895" width="13.8515625" style="106" customWidth="1"/>
    <col min="5896" max="5896" width="10.28125" style="106" customWidth="1"/>
    <col min="5897" max="6144" width="8.140625" style="106" customWidth="1"/>
    <col min="6145" max="6145" width="3.00390625" style="106" customWidth="1"/>
    <col min="6146" max="6146" width="12.00390625" style="106" customWidth="1"/>
    <col min="6147" max="6147" width="38.7109375" style="106" customWidth="1"/>
    <col min="6148" max="6148" width="4.28125" style="106" customWidth="1"/>
    <col min="6149" max="6149" width="8.7109375" style="106" customWidth="1"/>
    <col min="6150" max="6150" width="10.28125" style="106" customWidth="1"/>
    <col min="6151" max="6151" width="13.8515625" style="106" customWidth="1"/>
    <col min="6152" max="6152" width="10.28125" style="106" customWidth="1"/>
    <col min="6153" max="6400" width="8.140625" style="106" customWidth="1"/>
    <col min="6401" max="6401" width="3.00390625" style="106" customWidth="1"/>
    <col min="6402" max="6402" width="12.00390625" style="106" customWidth="1"/>
    <col min="6403" max="6403" width="38.7109375" style="106" customWidth="1"/>
    <col min="6404" max="6404" width="4.28125" style="106" customWidth="1"/>
    <col min="6405" max="6405" width="8.7109375" style="106" customWidth="1"/>
    <col min="6406" max="6406" width="10.28125" style="106" customWidth="1"/>
    <col min="6407" max="6407" width="13.8515625" style="106" customWidth="1"/>
    <col min="6408" max="6408" width="10.28125" style="106" customWidth="1"/>
    <col min="6409" max="6656" width="8.140625" style="106" customWidth="1"/>
    <col min="6657" max="6657" width="3.00390625" style="106" customWidth="1"/>
    <col min="6658" max="6658" width="12.00390625" style="106" customWidth="1"/>
    <col min="6659" max="6659" width="38.7109375" style="106" customWidth="1"/>
    <col min="6660" max="6660" width="4.28125" style="106" customWidth="1"/>
    <col min="6661" max="6661" width="8.7109375" style="106" customWidth="1"/>
    <col min="6662" max="6662" width="10.28125" style="106" customWidth="1"/>
    <col min="6663" max="6663" width="13.8515625" style="106" customWidth="1"/>
    <col min="6664" max="6664" width="10.28125" style="106" customWidth="1"/>
    <col min="6665" max="6912" width="8.140625" style="106" customWidth="1"/>
    <col min="6913" max="6913" width="3.00390625" style="106" customWidth="1"/>
    <col min="6914" max="6914" width="12.00390625" style="106" customWidth="1"/>
    <col min="6915" max="6915" width="38.7109375" style="106" customWidth="1"/>
    <col min="6916" max="6916" width="4.28125" style="106" customWidth="1"/>
    <col min="6917" max="6917" width="8.7109375" style="106" customWidth="1"/>
    <col min="6918" max="6918" width="10.28125" style="106" customWidth="1"/>
    <col min="6919" max="6919" width="13.8515625" style="106" customWidth="1"/>
    <col min="6920" max="6920" width="10.28125" style="106" customWidth="1"/>
    <col min="6921" max="7168" width="8.140625" style="106" customWidth="1"/>
    <col min="7169" max="7169" width="3.00390625" style="106" customWidth="1"/>
    <col min="7170" max="7170" width="12.00390625" style="106" customWidth="1"/>
    <col min="7171" max="7171" width="38.7109375" style="106" customWidth="1"/>
    <col min="7172" max="7172" width="4.28125" style="106" customWidth="1"/>
    <col min="7173" max="7173" width="8.7109375" style="106" customWidth="1"/>
    <col min="7174" max="7174" width="10.28125" style="106" customWidth="1"/>
    <col min="7175" max="7175" width="13.8515625" style="106" customWidth="1"/>
    <col min="7176" max="7176" width="10.28125" style="106" customWidth="1"/>
    <col min="7177" max="7424" width="8.140625" style="106" customWidth="1"/>
    <col min="7425" max="7425" width="3.00390625" style="106" customWidth="1"/>
    <col min="7426" max="7426" width="12.00390625" style="106" customWidth="1"/>
    <col min="7427" max="7427" width="38.7109375" style="106" customWidth="1"/>
    <col min="7428" max="7428" width="4.28125" style="106" customWidth="1"/>
    <col min="7429" max="7429" width="8.7109375" style="106" customWidth="1"/>
    <col min="7430" max="7430" width="10.28125" style="106" customWidth="1"/>
    <col min="7431" max="7431" width="13.8515625" style="106" customWidth="1"/>
    <col min="7432" max="7432" width="10.28125" style="106" customWidth="1"/>
    <col min="7433" max="7680" width="8.140625" style="106" customWidth="1"/>
    <col min="7681" max="7681" width="3.00390625" style="106" customWidth="1"/>
    <col min="7682" max="7682" width="12.00390625" style="106" customWidth="1"/>
    <col min="7683" max="7683" width="38.7109375" style="106" customWidth="1"/>
    <col min="7684" max="7684" width="4.28125" style="106" customWidth="1"/>
    <col min="7685" max="7685" width="8.7109375" style="106" customWidth="1"/>
    <col min="7686" max="7686" width="10.28125" style="106" customWidth="1"/>
    <col min="7687" max="7687" width="13.8515625" style="106" customWidth="1"/>
    <col min="7688" max="7688" width="10.28125" style="106" customWidth="1"/>
    <col min="7689" max="7936" width="8.140625" style="106" customWidth="1"/>
    <col min="7937" max="7937" width="3.00390625" style="106" customWidth="1"/>
    <col min="7938" max="7938" width="12.00390625" style="106" customWidth="1"/>
    <col min="7939" max="7939" width="38.7109375" style="106" customWidth="1"/>
    <col min="7940" max="7940" width="4.28125" style="106" customWidth="1"/>
    <col min="7941" max="7941" width="8.7109375" style="106" customWidth="1"/>
    <col min="7942" max="7942" width="10.28125" style="106" customWidth="1"/>
    <col min="7943" max="7943" width="13.8515625" style="106" customWidth="1"/>
    <col min="7944" max="7944" width="10.28125" style="106" customWidth="1"/>
    <col min="7945" max="8192" width="8.140625" style="106" customWidth="1"/>
    <col min="8193" max="8193" width="3.00390625" style="106" customWidth="1"/>
    <col min="8194" max="8194" width="12.00390625" style="106" customWidth="1"/>
    <col min="8195" max="8195" width="38.7109375" style="106" customWidth="1"/>
    <col min="8196" max="8196" width="4.28125" style="106" customWidth="1"/>
    <col min="8197" max="8197" width="8.7109375" style="106" customWidth="1"/>
    <col min="8198" max="8198" width="10.28125" style="106" customWidth="1"/>
    <col min="8199" max="8199" width="13.8515625" style="106" customWidth="1"/>
    <col min="8200" max="8200" width="10.28125" style="106" customWidth="1"/>
    <col min="8201" max="8448" width="8.140625" style="106" customWidth="1"/>
    <col min="8449" max="8449" width="3.00390625" style="106" customWidth="1"/>
    <col min="8450" max="8450" width="12.00390625" style="106" customWidth="1"/>
    <col min="8451" max="8451" width="38.7109375" style="106" customWidth="1"/>
    <col min="8452" max="8452" width="4.28125" style="106" customWidth="1"/>
    <col min="8453" max="8453" width="8.7109375" style="106" customWidth="1"/>
    <col min="8454" max="8454" width="10.28125" style="106" customWidth="1"/>
    <col min="8455" max="8455" width="13.8515625" style="106" customWidth="1"/>
    <col min="8456" max="8456" width="10.28125" style="106" customWidth="1"/>
    <col min="8457" max="8704" width="8.140625" style="106" customWidth="1"/>
    <col min="8705" max="8705" width="3.00390625" style="106" customWidth="1"/>
    <col min="8706" max="8706" width="12.00390625" style="106" customWidth="1"/>
    <col min="8707" max="8707" width="38.7109375" style="106" customWidth="1"/>
    <col min="8708" max="8708" width="4.28125" style="106" customWidth="1"/>
    <col min="8709" max="8709" width="8.7109375" style="106" customWidth="1"/>
    <col min="8710" max="8710" width="10.28125" style="106" customWidth="1"/>
    <col min="8711" max="8711" width="13.8515625" style="106" customWidth="1"/>
    <col min="8712" max="8712" width="10.28125" style="106" customWidth="1"/>
    <col min="8713" max="8960" width="8.140625" style="106" customWidth="1"/>
    <col min="8961" max="8961" width="3.00390625" style="106" customWidth="1"/>
    <col min="8962" max="8962" width="12.00390625" style="106" customWidth="1"/>
    <col min="8963" max="8963" width="38.7109375" style="106" customWidth="1"/>
    <col min="8964" max="8964" width="4.28125" style="106" customWidth="1"/>
    <col min="8965" max="8965" width="8.7109375" style="106" customWidth="1"/>
    <col min="8966" max="8966" width="10.28125" style="106" customWidth="1"/>
    <col min="8967" max="8967" width="13.8515625" style="106" customWidth="1"/>
    <col min="8968" max="8968" width="10.28125" style="106" customWidth="1"/>
    <col min="8969" max="9216" width="8.140625" style="106" customWidth="1"/>
    <col min="9217" max="9217" width="3.00390625" style="106" customWidth="1"/>
    <col min="9218" max="9218" width="12.00390625" style="106" customWidth="1"/>
    <col min="9219" max="9219" width="38.7109375" style="106" customWidth="1"/>
    <col min="9220" max="9220" width="4.28125" style="106" customWidth="1"/>
    <col min="9221" max="9221" width="8.7109375" style="106" customWidth="1"/>
    <col min="9222" max="9222" width="10.28125" style="106" customWidth="1"/>
    <col min="9223" max="9223" width="13.8515625" style="106" customWidth="1"/>
    <col min="9224" max="9224" width="10.28125" style="106" customWidth="1"/>
    <col min="9225" max="9472" width="8.140625" style="106" customWidth="1"/>
    <col min="9473" max="9473" width="3.00390625" style="106" customWidth="1"/>
    <col min="9474" max="9474" width="12.00390625" style="106" customWidth="1"/>
    <col min="9475" max="9475" width="38.7109375" style="106" customWidth="1"/>
    <col min="9476" max="9476" width="4.28125" style="106" customWidth="1"/>
    <col min="9477" max="9477" width="8.7109375" style="106" customWidth="1"/>
    <col min="9478" max="9478" width="10.28125" style="106" customWidth="1"/>
    <col min="9479" max="9479" width="13.8515625" style="106" customWidth="1"/>
    <col min="9480" max="9480" width="10.28125" style="106" customWidth="1"/>
    <col min="9481" max="9728" width="8.140625" style="106" customWidth="1"/>
    <col min="9729" max="9729" width="3.00390625" style="106" customWidth="1"/>
    <col min="9730" max="9730" width="12.00390625" style="106" customWidth="1"/>
    <col min="9731" max="9731" width="38.7109375" style="106" customWidth="1"/>
    <col min="9732" max="9732" width="4.28125" style="106" customWidth="1"/>
    <col min="9733" max="9733" width="8.7109375" style="106" customWidth="1"/>
    <col min="9734" max="9734" width="10.28125" style="106" customWidth="1"/>
    <col min="9735" max="9735" width="13.8515625" style="106" customWidth="1"/>
    <col min="9736" max="9736" width="10.28125" style="106" customWidth="1"/>
    <col min="9737" max="9984" width="8.140625" style="106" customWidth="1"/>
    <col min="9985" max="9985" width="3.00390625" style="106" customWidth="1"/>
    <col min="9986" max="9986" width="12.00390625" style="106" customWidth="1"/>
    <col min="9987" max="9987" width="38.7109375" style="106" customWidth="1"/>
    <col min="9988" max="9988" width="4.28125" style="106" customWidth="1"/>
    <col min="9989" max="9989" width="8.7109375" style="106" customWidth="1"/>
    <col min="9990" max="9990" width="10.28125" style="106" customWidth="1"/>
    <col min="9991" max="9991" width="13.8515625" style="106" customWidth="1"/>
    <col min="9992" max="9992" width="10.28125" style="106" customWidth="1"/>
    <col min="9993" max="10240" width="8.140625" style="106" customWidth="1"/>
    <col min="10241" max="10241" width="3.00390625" style="106" customWidth="1"/>
    <col min="10242" max="10242" width="12.00390625" style="106" customWidth="1"/>
    <col min="10243" max="10243" width="38.7109375" style="106" customWidth="1"/>
    <col min="10244" max="10244" width="4.28125" style="106" customWidth="1"/>
    <col min="10245" max="10245" width="8.7109375" style="106" customWidth="1"/>
    <col min="10246" max="10246" width="10.28125" style="106" customWidth="1"/>
    <col min="10247" max="10247" width="13.8515625" style="106" customWidth="1"/>
    <col min="10248" max="10248" width="10.28125" style="106" customWidth="1"/>
    <col min="10249" max="10496" width="8.140625" style="106" customWidth="1"/>
    <col min="10497" max="10497" width="3.00390625" style="106" customWidth="1"/>
    <col min="10498" max="10498" width="12.00390625" style="106" customWidth="1"/>
    <col min="10499" max="10499" width="38.7109375" style="106" customWidth="1"/>
    <col min="10500" max="10500" width="4.28125" style="106" customWidth="1"/>
    <col min="10501" max="10501" width="8.7109375" style="106" customWidth="1"/>
    <col min="10502" max="10502" width="10.28125" style="106" customWidth="1"/>
    <col min="10503" max="10503" width="13.8515625" style="106" customWidth="1"/>
    <col min="10504" max="10504" width="10.28125" style="106" customWidth="1"/>
    <col min="10505" max="10752" width="8.140625" style="106" customWidth="1"/>
    <col min="10753" max="10753" width="3.00390625" style="106" customWidth="1"/>
    <col min="10754" max="10754" width="12.00390625" style="106" customWidth="1"/>
    <col min="10755" max="10755" width="38.7109375" style="106" customWidth="1"/>
    <col min="10756" max="10756" width="4.28125" style="106" customWidth="1"/>
    <col min="10757" max="10757" width="8.7109375" style="106" customWidth="1"/>
    <col min="10758" max="10758" width="10.28125" style="106" customWidth="1"/>
    <col min="10759" max="10759" width="13.8515625" style="106" customWidth="1"/>
    <col min="10760" max="10760" width="10.28125" style="106" customWidth="1"/>
    <col min="10761" max="11008" width="8.140625" style="106" customWidth="1"/>
    <col min="11009" max="11009" width="3.00390625" style="106" customWidth="1"/>
    <col min="11010" max="11010" width="12.00390625" style="106" customWidth="1"/>
    <col min="11011" max="11011" width="38.7109375" style="106" customWidth="1"/>
    <col min="11012" max="11012" width="4.28125" style="106" customWidth="1"/>
    <col min="11013" max="11013" width="8.7109375" style="106" customWidth="1"/>
    <col min="11014" max="11014" width="10.28125" style="106" customWidth="1"/>
    <col min="11015" max="11015" width="13.8515625" style="106" customWidth="1"/>
    <col min="11016" max="11016" width="10.28125" style="106" customWidth="1"/>
    <col min="11017" max="11264" width="8.140625" style="106" customWidth="1"/>
    <col min="11265" max="11265" width="3.00390625" style="106" customWidth="1"/>
    <col min="11266" max="11266" width="12.00390625" style="106" customWidth="1"/>
    <col min="11267" max="11267" width="38.7109375" style="106" customWidth="1"/>
    <col min="11268" max="11268" width="4.28125" style="106" customWidth="1"/>
    <col min="11269" max="11269" width="8.7109375" style="106" customWidth="1"/>
    <col min="11270" max="11270" width="10.28125" style="106" customWidth="1"/>
    <col min="11271" max="11271" width="13.8515625" style="106" customWidth="1"/>
    <col min="11272" max="11272" width="10.28125" style="106" customWidth="1"/>
    <col min="11273" max="11520" width="8.140625" style="106" customWidth="1"/>
    <col min="11521" max="11521" width="3.00390625" style="106" customWidth="1"/>
    <col min="11522" max="11522" width="12.00390625" style="106" customWidth="1"/>
    <col min="11523" max="11523" width="38.7109375" style="106" customWidth="1"/>
    <col min="11524" max="11524" width="4.28125" style="106" customWidth="1"/>
    <col min="11525" max="11525" width="8.7109375" style="106" customWidth="1"/>
    <col min="11526" max="11526" width="10.28125" style="106" customWidth="1"/>
    <col min="11527" max="11527" width="13.8515625" style="106" customWidth="1"/>
    <col min="11528" max="11528" width="10.28125" style="106" customWidth="1"/>
    <col min="11529" max="11776" width="8.140625" style="106" customWidth="1"/>
    <col min="11777" max="11777" width="3.00390625" style="106" customWidth="1"/>
    <col min="11778" max="11778" width="12.00390625" style="106" customWidth="1"/>
    <col min="11779" max="11779" width="38.7109375" style="106" customWidth="1"/>
    <col min="11780" max="11780" width="4.28125" style="106" customWidth="1"/>
    <col min="11781" max="11781" width="8.7109375" style="106" customWidth="1"/>
    <col min="11782" max="11782" width="10.28125" style="106" customWidth="1"/>
    <col min="11783" max="11783" width="13.8515625" style="106" customWidth="1"/>
    <col min="11784" max="11784" width="10.28125" style="106" customWidth="1"/>
    <col min="11785" max="12032" width="8.140625" style="106" customWidth="1"/>
    <col min="12033" max="12033" width="3.00390625" style="106" customWidth="1"/>
    <col min="12034" max="12034" width="12.00390625" style="106" customWidth="1"/>
    <col min="12035" max="12035" width="38.7109375" style="106" customWidth="1"/>
    <col min="12036" max="12036" width="4.28125" style="106" customWidth="1"/>
    <col min="12037" max="12037" width="8.7109375" style="106" customWidth="1"/>
    <col min="12038" max="12038" width="10.28125" style="106" customWidth="1"/>
    <col min="12039" max="12039" width="13.8515625" style="106" customWidth="1"/>
    <col min="12040" max="12040" width="10.28125" style="106" customWidth="1"/>
    <col min="12041" max="12288" width="8.140625" style="106" customWidth="1"/>
    <col min="12289" max="12289" width="3.00390625" style="106" customWidth="1"/>
    <col min="12290" max="12290" width="12.00390625" style="106" customWidth="1"/>
    <col min="12291" max="12291" width="38.7109375" style="106" customWidth="1"/>
    <col min="12292" max="12292" width="4.28125" style="106" customWidth="1"/>
    <col min="12293" max="12293" width="8.7109375" style="106" customWidth="1"/>
    <col min="12294" max="12294" width="10.28125" style="106" customWidth="1"/>
    <col min="12295" max="12295" width="13.8515625" style="106" customWidth="1"/>
    <col min="12296" max="12296" width="10.28125" style="106" customWidth="1"/>
    <col min="12297" max="12544" width="8.140625" style="106" customWidth="1"/>
    <col min="12545" max="12545" width="3.00390625" style="106" customWidth="1"/>
    <col min="12546" max="12546" width="12.00390625" style="106" customWidth="1"/>
    <col min="12547" max="12547" width="38.7109375" style="106" customWidth="1"/>
    <col min="12548" max="12548" width="4.28125" style="106" customWidth="1"/>
    <col min="12549" max="12549" width="8.7109375" style="106" customWidth="1"/>
    <col min="12550" max="12550" width="10.28125" style="106" customWidth="1"/>
    <col min="12551" max="12551" width="13.8515625" style="106" customWidth="1"/>
    <col min="12552" max="12552" width="10.28125" style="106" customWidth="1"/>
    <col min="12553" max="12800" width="8.140625" style="106" customWidth="1"/>
    <col min="12801" max="12801" width="3.00390625" style="106" customWidth="1"/>
    <col min="12802" max="12802" width="12.00390625" style="106" customWidth="1"/>
    <col min="12803" max="12803" width="38.7109375" style="106" customWidth="1"/>
    <col min="12804" max="12804" width="4.28125" style="106" customWidth="1"/>
    <col min="12805" max="12805" width="8.7109375" style="106" customWidth="1"/>
    <col min="12806" max="12806" width="10.28125" style="106" customWidth="1"/>
    <col min="12807" max="12807" width="13.8515625" style="106" customWidth="1"/>
    <col min="12808" max="12808" width="10.28125" style="106" customWidth="1"/>
    <col min="12809" max="13056" width="8.140625" style="106" customWidth="1"/>
    <col min="13057" max="13057" width="3.00390625" style="106" customWidth="1"/>
    <col min="13058" max="13058" width="12.00390625" style="106" customWidth="1"/>
    <col min="13059" max="13059" width="38.7109375" style="106" customWidth="1"/>
    <col min="13060" max="13060" width="4.28125" style="106" customWidth="1"/>
    <col min="13061" max="13061" width="8.7109375" style="106" customWidth="1"/>
    <col min="13062" max="13062" width="10.28125" style="106" customWidth="1"/>
    <col min="13063" max="13063" width="13.8515625" style="106" customWidth="1"/>
    <col min="13064" max="13064" width="10.28125" style="106" customWidth="1"/>
    <col min="13065" max="13312" width="8.140625" style="106" customWidth="1"/>
    <col min="13313" max="13313" width="3.00390625" style="106" customWidth="1"/>
    <col min="13314" max="13314" width="12.00390625" style="106" customWidth="1"/>
    <col min="13315" max="13315" width="38.7109375" style="106" customWidth="1"/>
    <col min="13316" max="13316" width="4.28125" style="106" customWidth="1"/>
    <col min="13317" max="13317" width="8.7109375" style="106" customWidth="1"/>
    <col min="13318" max="13318" width="10.28125" style="106" customWidth="1"/>
    <col min="13319" max="13319" width="13.8515625" style="106" customWidth="1"/>
    <col min="13320" max="13320" width="10.28125" style="106" customWidth="1"/>
    <col min="13321" max="13568" width="8.140625" style="106" customWidth="1"/>
    <col min="13569" max="13569" width="3.00390625" style="106" customWidth="1"/>
    <col min="13570" max="13570" width="12.00390625" style="106" customWidth="1"/>
    <col min="13571" max="13571" width="38.7109375" style="106" customWidth="1"/>
    <col min="13572" max="13572" width="4.28125" style="106" customWidth="1"/>
    <col min="13573" max="13573" width="8.7109375" style="106" customWidth="1"/>
    <col min="13574" max="13574" width="10.28125" style="106" customWidth="1"/>
    <col min="13575" max="13575" width="13.8515625" style="106" customWidth="1"/>
    <col min="13576" max="13576" width="10.28125" style="106" customWidth="1"/>
    <col min="13577" max="13824" width="8.140625" style="106" customWidth="1"/>
    <col min="13825" max="13825" width="3.00390625" style="106" customWidth="1"/>
    <col min="13826" max="13826" width="12.00390625" style="106" customWidth="1"/>
    <col min="13827" max="13827" width="38.7109375" style="106" customWidth="1"/>
    <col min="13828" max="13828" width="4.28125" style="106" customWidth="1"/>
    <col min="13829" max="13829" width="8.7109375" style="106" customWidth="1"/>
    <col min="13830" max="13830" width="10.28125" style="106" customWidth="1"/>
    <col min="13831" max="13831" width="13.8515625" style="106" customWidth="1"/>
    <col min="13832" max="13832" width="10.28125" style="106" customWidth="1"/>
    <col min="13833" max="14080" width="8.140625" style="106" customWidth="1"/>
    <col min="14081" max="14081" width="3.00390625" style="106" customWidth="1"/>
    <col min="14082" max="14082" width="12.00390625" style="106" customWidth="1"/>
    <col min="14083" max="14083" width="38.7109375" style="106" customWidth="1"/>
    <col min="14084" max="14084" width="4.28125" style="106" customWidth="1"/>
    <col min="14085" max="14085" width="8.7109375" style="106" customWidth="1"/>
    <col min="14086" max="14086" width="10.28125" style="106" customWidth="1"/>
    <col min="14087" max="14087" width="13.8515625" style="106" customWidth="1"/>
    <col min="14088" max="14088" width="10.28125" style="106" customWidth="1"/>
    <col min="14089" max="14336" width="8.140625" style="106" customWidth="1"/>
    <col min="14337" max="14337" width="3.00390625" style="106" customWidth="1"/>
    <col min="14338" max="14338" width="12.00390625" style="106" customWidth="1"/>
    <col min="14339" max="14339" width="38.7109375" style="106" customWidth="1"/>
    <col min="14340" max="14340" width="4.28125" style="106" customWidth="1"/>
    <col min="14341" max="14341" width="8.7109375" style="106" customWidth="1"/>
    <col min="14342" max="14342" width="10.28125" style="106" customWidth="1"/>
    <col min="14343" max="14343" width="13.8515625" style="106" customWidth="1"/>
    <col min="14344" max="14344" width="10.28125" style="106" customWidth="1"/>
    <col min="14345" max="14592" width="8.140625" style="106" customWidth="1"/>
    <col min="14593" max="14593" width="3.00390625" style="106" customWidth="1"/>
    <col min="14594" max="14594" width="12.00390625" style="106" customWidth="1"/>
    <col min="14595" max="14595" width="38.7109375" style="106" customWidth="1"/>
    <col min="14596" max="14596" width="4.28125" style="106" customWidth="1"/>
    <col min="14597" max="14597" width="8.7109375" style="106" customWidth="1"/>
    <col min="14598" max="14598" width="10.28125" style="106" customWidth="1"/>
    <col min="14599" max="14599" width="13.8515625" style="106" customWidth="1"/>
    <col min="14600" max="14600" width="10.28125" style="106" customWidth="1"/>
    <col min="14601" max="14848" width="8.140625" style="106" customWidth="1"/>
    <col min="14849" max="14849" width="3.00390625" style="106" customWidth="1"/>
    <col min="14850" max="14850" width="12.00390625" style="106" customWidth="1"/>
    <col min="14851" max="14851" width="38.7109375" style="106" customWidth="1"/>
    <col min="14852" max="14852" width="4.28125" style="106" customWidth="1"/>
    <col min="14853" max="14853" width="8.7109375" style="106" customWidth="1"/>
    <col min="14854" max="14854" width="10.28125" style="106" customWidth="1"/>
    <col min="14855" max="14855" width="13.8515625" style="106" customWidth="1"/>
    <col min="14856" max="14856" width="10.28125" style="106" customWidth="1"/>
    <col min="14857" max="15104" width="8.140625" style="106" customWidth="1"/>
    <col min="15105" max="15105" width="3.00390625" style="106" customWidth="1"/>
    <col min="15106" max="15106" width="12.00390625" style="106" customWidth="1"/>
    <col min="15107" max="15107" width="38.7109375" style="106" customWidth="1"/>
    <col min="15108" max="15108" width="4.28125" style="106" customWidth="1"/>
    <col min="15109" max="15109" width="8.7109375" style="106" customWidth="1"/>
    <col min="15110" max="15110" width="10.28125" style="106" customWidth="1"/>
    <col min="15111" max="15111" width="13.8515625" style="106" customWidth="1"/>
    <col min="15112" max="15112" width="10.28125" style="106" customWidth="1"/>
    <col min="15113" max="15360" width="8.140625" style="106" customWidth="1"/>
    <col min="15361" max="15361" width="3.00390625" style="106" customWidth="1"/>
    <col min="15362" max="15362" width="12.00390625" style="106" customWidth="1"/>
    <col min="15363" max="15363" width="38.7109375" style="106" customWidth="1"/>
    <col min="15364" max="15364" width="4.28125" style="106" customWidth="1"/>
    <col min="15365" max="15365" width="8.7109375" style="106" customWidth="1"/>
    <col min="15366" max="15366" width="10.28125" style="106" customWidth="1"/>
    <col min="15367" max="15367" width="13.8515625" style="106" customWidth="1"/>
    <col min="15368" max="15368" width="10.28125" style="106" customWidth="1"/>
    <col min="15369" max="15616" width="8.140625" style="106" customWidth="1"/>
    <col min="15617" max="15617" width="3.00390625" style="106" customWidth="1"/>
    <col min="15618" max="15618" width="12.00390625" style="106" customWidth="1"/>
    <col min="15619" max="15619" width="38.7109375" style="106" customWidth="1"/>
    <col min="15620" max="15620" width="4.28125" style="106" customWidth="1"/>
    <col min="15621" max="15621" width="8.7109375" style="106" customWidth="1"/>
    <col min="15622" max="15622" width="10.28125" style="106" customWidth="1"/>
    <col min="15623" max="15623" width="13.8515625" style="106" customWidth="1"/>
    <col min="15624" max="15624" width="10.28125" style="106" customWidth="1"/>
    <col min="15625" max="15872" width="8.140625" style="106" customWidth="1"/>
    <col min="15873" max="15873" width="3.00390625" style="106" customWidth="1"/>
    <col min="15874" max="15874" width="12.00390625" style="106" customWidth="1"/>
    <col min="15875" max="15875" width="38.7109375" style="106" customWidth="1"/>
    <col min="15876" max="15876" width="4.28125" style="106" customWidth="1"/>
    <col min="15877" max="15877" width="8.7109375" style="106" customWidth="1"/>
    <col min="15878" max="15878" width="10.28125" style="106" customWidth="1"/>
    <col min="15879" max="15879" width="13.8515625" style="106" customWidth="1"/>
    <col min="15880" max="15880" width="10.28125" style="106" customWidth="1"/>
    <col min="15881" max="16128" width="8.140625" style="106" customWidth="1"/>
    <col min="16129" max="16129" width="3.00390625" style="106" customWidth="1"/>
    <col min="16130" max="16130" width="12.00390625" style="106" customWidth="1"/>
    <col min="16131" max="16131" width="38.7109375" style="106" customWidth="1"/>
    <col min="16132" max="16132" width="4.28125" style="106" customWidth="1"/>
    <col min="16133" max="16133" width="8.7109375" style="106" customWidth="1"/>
    <col min="16134" max="16134" width="10.28125" style="106" customWidth="1"/>
    <col min="16135" max="16135" width="13.8515625" style="106" customWidth="1"/>
    <col min="16136" max="16136" width="10.28125" style="106" customWidth="1"/>
    <col min="16137" max="16384" width="8.140625" style="106" customWidth="1"/>
  </cols>
  <sheetData>
    <row r="1" spans="1:8" s="418" customFormat="1" ht="24" customHeight="1">
      <c r="A1" s="416" t="s">
        <v>1774</v>
      </c>
      <c r="B1" s="416"/>
      <c r="C1" s="416"/>
      <c r="D1" s="416"/>
      <c r="E1" s="416"/>
      <c r="F1" s="416"/>
      <c r="G1" s="416"/>
      <c r="H1" s="416"/>
    </row>
    <row r="2" spans="1:8" s="418" customFormat="1" ht="24" customHeight="1">
      <c r="A2" s="416" t="s">
        <v>2024</v>
      </c>
      <c r="B2" s="416"/>
      <c r="C2" s="416"/>
      <c r="D2" s="416"/>
      <c r="E2" s="416"/>
      <c r="F2" s="416"/>
      <c r="G2" s="416"/>
      <c r="H2" s="416"/>
    </row>
    <row r="3" spans="1:8" s="76" customFormat="1" ht="13.5" customHeight="1">
      <c r="A3" s="78"/>
      <c r="B3" s="77"/>
      <c r="C3" s="78"/>
      <c r="D3" s="77"/>
      <c r="E3" s="77"/>
      <c r="F3" s="77"/>
      <c r="G3" s="77"/>
      <c r="H3" s="77"/>
    </row>
    <row r="4" spans="1:8" s="76" customFormat="1" ht="6.75" customHeight="1">
      <c r="A4" s="79"/>
      <c r="B4" s="80"/>
      <c r="C4" s="81"/>
      <c r="D4" s="80"/>
      <c r="E4" s="82"/>
      <c r="F4" s="83"/>
      <c r="G4" s="83"/>
      <c r="H4" s="84"/>
    </row>
    <row r="5" spans="1:8" s="76" customFormat="1" ht="12.75" customHeight="1">
      <c r="A5" s="85" t="s">
        <v>1776</v>
      </c>
      <c r="B5" s="85"/>
      <c r="C5" s="85"/>
      <c r="D5" s="85"/>
      <c r="E5" s="85"/>
      <c r="F5" s="85"/>
      <c r="G5" s="85"/>
      <c r="H5" s="85"/>
    </row>
    <row r="6" spans="1:8" s="76" customFormat="1" ht="12.75" customHeight="1">
      <c r="A6" s="85" t="s">
        <v>1777</v>
      </c>
      <c r="B6" s="85"/>
      <c r="C6" s="85"/>
      <c r="D6" s="85"/>
      <c r="E6" s="85"/>
      <c r="F6" s="85"/>
      <c r="G6" s="85" t="s">
        <v>3058</v>
      </c>
      <c r="H6" s="85"/>
    </row>
    <row r="7" spans="1:8" s="76" customFormat="1" ht="12.75" customHeight="1">
      <c r="A7" s="85" t="s">
        <v>1778</v>
      </c>
      <c r="B7" s="86"/>
      <c r="C7" s="86"/>
      <c r="D7" s="86"/>
      <c r="E7" s="87"/>
      <c r="F7" s="88"/>
      <c r="G7" s="85" t="s">
        <v>3059</v>
      </c>
      <c r="H7" s="87"/>
    </row>
    <row r="8" spans="1:8" s="76" customFormat="1" ht="6.75" customHeight="1">
      <c r="A8" s="89"/>
      <c r="B8" s="89"/>
      <c r="C8" s="89"/>
      <c r="D8" s="89"/>
      <c r="E8" s="89"/>
      <c r="F8" s="89"/>
      <c r="G8" s="89"/>
      <c r="H8" s="89"/>
    </row>
    <row r="9" spans="1:8" s="76" customFormat="1" ht="28.5" customHeight="1">
      <c r="A9" s="417" t="s">
        <v>1779</v>
      </c>
      <c r="B9" s="417" t="s">
        <v>1780</v>
      </c>
      <c r="C9" s="417" t="s">
        <v>1781</v>
      </c>
      <c r="D9" s="417" t="s">
        <v>65</v>
      </c>
      <c r="E9" s="417" t="s">
        <v>1782</v>
      </c>
      <c r="F9" s="417" t="s">
        <v>1783</v>
      </c>
      <c r="G9" s="417" t="s">
        <v>1784</v>
      </c>
      <c r="H9" s="417" t="s">
        <v>1785</v>
      </c>
    </row>
    <row r="10" spans="1:8" s="76" customFormat="1" ht="12.75" customHeight="1" hidden="1">
      <c r="A10" s="90" t="s">
        <v>90</v>
      </c>
      <c r="B10" s="90" t="s">
        <v>99</v>
      </c>
      <c r="C10" s="90" t="s">
        <v>105</v>
      </c>
      <c r="D10" s="90" t="s">
        <v>112</v>
      </c>
      <c r="E10" s="90" t="s">
        <v>118</v>
      </c>
      <c r="F10" s="90" t="s">
        <v>127</v>
      </c>
      <c r="G10" s="90" t="s">
        <v>136</v>
      </c>
      <c r="H10" s="90" t="s">
        <v>140</v>
      </c>
    </row>
    <row r="11" spans="1:8" s="76" customFormat="1" ht="5.25" customHeight="1">
      <c r="A11" s="89"/>
      <c r="B11" s="89"/>
      <c r="C11" s="89"/>
      <c r="D11" s="89"/>
      <c r="E11" s="89"/>
      <c r="F11" s="89"/>
      <c r="G11" s="89"/>
      <c r="H11" s="89"/>
    </row>
    <row r="12" spans="1:8" ht="30.75" customHeight="1">
      <c r="A12" s="98"/>
      <c r="B12" s="99" t="s">
        <v>26</v>
      </c>
      <c r="C12" s="99" t="s">
        <v>2025</v>
      </c>
      <c r="D12" s="99"/>
      <c r="E12" s="100"/>
      <c r="F12" s="101"/>
      <c r="G12" s="101">
        <f>SUM(G105)</f>
        <v>0</v>
      </c>
      <c r="H12" s="100">
        <v>5.89287</v>
      </c>
    </row>
    <row r="13" spans="1:8" ht="28.5" customHeight="1">
      <c r="A13" s="107"/>
      <c r="B13" s="108" t="s">
        <v>90</v>
      </c>
      <c r="C13" s="108" t="s">
        <v>2026</v>
      </c>
      <c r="D13" s="108"/>
      <c r="E13" s="109"/>
      <c r="F13" s="110"/>
      <c r="G13" s="110">
        <f>SUM(G14:G29)</f>
        <v>0</v>
      </c>
      <c r="H13" s="109">
        <v>0</v>
      </c>
    </row>
    <row r="14" spans="1:8" s="76" customFormat="1" ht="13.5" customHeight="1">
      <c r="A14" s="91">
        <v>1</v>
      </c>
      <c r="B14" s="92" t="s">
        <v>2027</v>
      </c>
      <c r="C14" s="92" t="s">
        <v>2028</v>
      </c>
      <c r="D14" s="92" t="s">
        <v>2029</v>
      </c>
      <c r="E14" s="93">
        <v>80</v>
      </c>
      <c r="F14" s="364"/>
      <c r="G14" s="94">
        <f>SUM(E14*F14)</f>
        <v>0</v>
      </c>
      <c r="H14" s="93">
        <v>0</v>
      </c>
    </row>
    <row r="15" spans="1:8" s="76" customFormat="1" ht="13.5" customHeight="1">
      <c r="A15" s="91">
        <v>2</v>
      </c>
      <c r="B15" s="92" t="s">
        <v>2030</v>
      </c>
      <c r="C15" s="92" t="s">
        <v>2031</v>
      </c>
      <c r="D15" s="92" t="s">
        <v>2032</v>
      </c>
      <c r="E15" s="93">
        <v>15</v>
      </c>
      <c r="F15" s="364"/>
      <c r="G15" s="94">
        <f aca="true" t="shared" si="0" ref="G15:G33">SUM(E15*F15)</f>
        <v>0</v>
      </c>
      <c r="H15" s="93">
        <v>0</v>
      </c>
    </row>
    <row r="16" spans="1:8" s="76" customFormat="1" ht="13.5" customHeight="1">
      <c r="A16" s="91">
        <v>3</v>
      </c>
      <c r="B16" s="92" t="s">
        <v>2033</v>
      </c>
      <c r="C16" s="92" t="s">
        <v>2034</v>
      </c>
      <c r="D16" s="92" t="s">
        <v>395</v>
      </c>
      <c r="E16" s="93">
        <v>20</v>
      </c>
      <c r="F16" s="364"/>
      <c r="G16" s="94">
        <f t="shared" si="0"/>
        <v>0</v>
      </c>
      <c r="H16" s="93">
        <v>0</v>
      </c>
    </row>
    <row r="17" spans="1:8" s="76" customFormat="1" ht="13.5" customHeight="1">
      <c r="A17" s="91">
        <v>4</v>
      </c>
      <c r="B17" s="92" t="s">
        <v>2035</v>
      </c>
      <c r="C17" s="92" t="s">
        <v>2036</v>
      </c>
      <c r="D17" s="92" t="s">
        <v>395</v>
      </c>
      <c r="E17" s="93">
        <v>15</v>
      </c>
      <c r="F17" s="364"/>
      <c r="G17" s="94">
        <f t="shared" si="0"/>
        <v>0</v>
      </c>
      <c r="H17" s="93">
        <v>0</v>
      </c>
    </row>
    <row r="18" spans="1:8" s="76" customFormat="1" ht="24" customHeight="1">
      <c r="A18" s="91">
        <v>5</v>
      </c>
      <c r="B18" s="92" t="s">
        <v>2037</v>
      </c>
      <c r="C18" s="92" t="s">
        <v>2038</v>
      </c>
      <c r="D18" s="92" t="s">
        <v>102</v>
      </c>
      <c r="E18" s="93">
        <v>533</v>
      </c>
      <c r="F18" s="364"/>
      <c r="G18" s="94">
        <f t="shared" si="0"/>
        <v>0</v>
      </c>
      <c r="H18" s="93">
        <v>0</v>
      </c>
    </row>
    <row r="19" spans="1:8" s="76" customFormat="1" ht="24" customHeight="1">
      <c r="A19" s="91">
        <v>6</v>
      </c>
      <c r="B19" s="92" t="s">
        <v>2039</v>
      </c>
      <c r="C19" s="92" t="s">
        <v>2040</v>
      </c>
      <c r="D19" s="92" t="s">
        <v>102</v>
      </c>
      <c r="E19" s="93">
        <v>533</v>
      </c>
      <c r="F19" s="364"/>
      <c r="G19" s="94">
        <f t="shared" si="0"/>
        <v>0</v>
      </c>
      <c r="H19" s="93">
        <v>0</v>
      </c>
    </row>
    <row r="20" spans="1:8" s="76" customFormat="1" ht="13.5" customHeight="1">
      <c r="A20" s="91">
        <v>7</v>
      </c>
      <c r="B20" s="92" t="s">
        <v>2041</v>
      </c>
      <c r="C20" s="92" t="s">
        <v>2042</v>
      </c>
      <c r="D20" s="92" t="s">
        <v>102</v>
      </c>
      <c r="E20" s="93">
        <v>12</v>
      </c>
      <c r="F20" s="364"/>
      <c r="G20" s="94">
        <f t="shared" si="0"/>
        <v>0</v>
      </c>
      <c r="H20" s="93">
        <v>0</v>
      </c>
    </row>
    <row r="21" spans="1:8" s="76" customFormat="1" ht="13.5" customHeight="1">
      <c r="A21" s="91">
        <v>8</v>
      </c>
      <c r="B21" s="92" t="s">
        <v>2043</v>
      </c>
      <c r="C21" s="92" t="s">
        <v>2044</v>
      </c>
      <c r="D21" s="92" t="s">
        <v>102</v>
      </c>
      <c r="E21" s="93">
        <v>0.8</v>
      </c>
      <c r="F21" s="364"/>
      <c r="G21" s="94">
        <f t="shared" si="0"/>
        <v>0</v>
      </c>
      <c r="H21" s="93">
        <v>0</v>
      </c>
    </row>
    <row r="22" spans="1:8" s="76" customFormat="1" ht="24" customHeight="1">
      <c r="A22" s="91">
        <v>9</v>
      </c>
      <c r="B22" s="92" t="s">
        <v>2045</v>
      </c>
      <c r="C22" s="92" t="s">
        <v>2046</v>
      </c>
      <c r="D22" s="92"/>
      <c r="E22" s="93">
        <v>267</v>
      </c>
      <c r="F22" s="364"/>
      <c r="G22" s="94">
        <f t="shared" si="0"/>
        <v>0</v>
      </c>
      <c r="H22" s="93">
        <v>0</v>
      </c>
    </row>
    <row r="23" spans="1:8" s="76" customFormat="1" ht="13.5" customHeight="1">
      <c r="A23" s="91">
        <v>10</v>
      </c>
      <c r="B23" s="92" t="s">
        <v>2047</v>
      </c>
      <c r="C23" s="92" t="s">
        <v>2048</v>
      </c>
      <c r="D23" s="92" t="s">
        <v>102</v>
      </c>
      <c r="E23" s="93">
        <v>23</v>
      </c>
      <c r="F23" s="364"/>
      <c r="G23" s="94">
        <f t="shared" si="0"/>
        <v>0</v>
      </c>
      <c r="H23" s="93">
        <v>0</v>
      </c>
    </row>
    <row r="24" spans="1:8" s="76" customFormat="1" ht="13.5" customHeight="1">
      <c r="A24" s="91">
        <v>11</v>
      </c>
      <c r="B24" s="92" t="s">
        <v>2049</v>
      </c>
      <c r="C24" s="92" t="s">
        <v>2050</v>
      </c>
      <c r="D24" s="92" t="s">
        <v>102</v>
      </c>
      <c r="E24" s="93">
        <v>23</v>
      </c>
      <c r="F24" s="364"/>
      <c r="G24" s="94">
        <f t="shared" si="0"/>
        <v>0</v>
      </c>
      <c r="H24" s="93">
        <v>0</v>
      </c>
    </row>
    <row r="25" spans="1:8" s="76" customFormat="1" ht="13.5" customHeight="1">
      <c r="A25" s="91">
        <v>12</v>
      </c>
      <c r="B25" s="92" t="s">
        <v>2051</v>
      </c>
      <c r="C25" s="92" t="s">
        <v>2052</v>
      </c>
      <c r="D25" s="92" t="s">
        <v>102</v>
      </c>
      <c r="E25" s="93">
        <v>23</v>
      </c>
      <c r="F25" s="364"/>
      <c r="G25" s="94">
        <f t="shared" si="0"/>
        <v>0</v>
      </c>
      <c r="H25" s="93">
        <v>0</v>
      </c>
    </row>
    <row r="26" spans="1:8" s="76" customFormat="1" ht="13.5" customHeight="1">
      <c r="A26" s="91">
        <v>13</v>
      </c>
      <c r="B26" s="92" t="s">
        <v>2053</v>
      </c>
      <c r="C26" s="92" t="s">
        <v>2054</v>
      </c>
      <c r="D26" s="92" t="s">
        <v>102</v>
      </c>
      <c r="E26" s="93">
        <v>132</v>
      </c>
      <c r="F26" s="364"/>
      <c r="G26" s="94">
        <f t="shared" si="0"/>
        <v>0</v>
      </c>
      <c r="H26" s="93">
        <v>0</v>
      </c>
    </row>
    <row r="27" spans="1:8" s="76" customFormat="1" ht="13.5" customHeight="1">
      <c r="A27" s="91">
        <v>14</v>
      </c>
      <c r="B27" s="92" t="s">
        <v>2055</v>
      </c>
      <c r="C27" s="92" t="s">
        <v>2056</v>
      </c>
      <c r="D27" s="92" t="s">
        <v>102</v>
      </c>
      <c r="E27" s="93">
        <v>377</v>
      </c>
      <c r="F27" s="364"/>
      <c r="G27" s="94">
        <f t="shared" si="0"/>
        <v>0</v>
      </c>
      <c r="H27" s="93">
        <v>0</v>
      </c>
    </row>
    <row r="28" spans="1:8" s="76" customFormat="1" ht="13.5" customHeight="1">
      <c r="A28" s="91">
        <v>15</v>
      </c>
      <c r="B28" s="92" t="s">
        <v>2057</v>
      </c>
      <c r="C28" s="92" t="s">
        <v>2058</v>
      </c>
      <c r="D28" s="92" t="s">
        <v>102</v>
      </c>
      <c r="E28" s="93">
        <v>132</v>
      </c>
      <c r="F28" s="364"/>
      <c r="G28" s="94">
        <f t="shared" si="0"/>
        <v>0</v>
      </c>
      <c r="H28" s="93">
        <v>0</v>
      </c>
    </row>
    <row r="29" spans="1:8" s="76" customFormat="1" ht="13.5" customHeight="1">
      <c r="A29" s="91">
        <v>16</v>
      </c>
      <c r="B29" s="92" t="s">
        <v>2059</v>
      </c>
      <c r="C29" s="92" t="s">
        <v>2060</v>
      </c>
      <c r="D29" s="92" t="s">
        <v>102</v>
      </c>
      <c r="E29" s="93">
        <v>132</v>
      </c>
      <c r="F29" s="364"/>
      <c r="G29" s="94">
        <f t="shared" si="0"/>
        <v>0</v>
      </c>
      <c r="H29" s="93">
        <v>0</v>
      </c>
    </row>
    <row r="30" spans="1:8" ht="28.5" customHeight="1">
      <c r="A30" s="107"/>
      <c r="B30" s="108" t="s">
        <v>105</v>
      </c>
      <c r="C30" s="108" t="s">
        <v>2061</v>
      </c>
      <c r="D30" s="108"/>
      <c r="E30" s="109"/>
      <c r="F30" s="110"/>
      <c r="G30" s="110">
        <f>SUM(G31:G33)</f>
        <v>0</v>
      </c>
      <c r="H30" s="109">
        <v>0.06934</v>
      </c>
    </row>
    <row r="31" spans="1:8" s="76" customFormat="1" ht="13.5" customHeight="1">
      <c r="A31" s="91">
        <v>17</v>
      </c>
      <c r="B31" s="92" t="s">
        <v>2062</v>
      </c>
      <c r="C31" s="92" t="s">
        <v>2063</v>
      </c>
      <c r="D31" s="92" t="s">
        <v>2064</v>
      </c>
      <c r="E31" s="93">
        <v>1</v>
      </c>
      <c r="F31" s="364"/>
      <c r="G31" s="94">
        <f t="shared" si="0"/>
        <v>0</v>
      </c>
      <c r="H31" s="93">
        <v>0.04434</v>
      </c>
    </row>
    <row r="32" spans="1:8" s="76" customFormat="1" ht="13.5" customHeight="1">
      <c r="A32" s="91">
        <v>18</v>
      </c>
      <c r="B32" s="92" t="s">
        <v>2065</v>
      </c>
      <c r="C32" s="92" t="s">
        <v>2066</v>
      </c>
      <c r="D32" s="92" t="s">
        <v>225</v>
      </c>
      <c r="E32" s="93">
        <v>1</v>
      </c>
      <c r="F32" s="364"/>
      <c r="G32" s="94">
        <f t="shared" si="0"/>
        <v>0</v>
      </c>
      <c r="H32" s="93">
        <v>0</v>
      </c>
    </row>
    <row r="33" spans="1:8" s="76" customFormat="1" ht="34.5" customHeight="1">
      <c r="A33" s="95">
        <v>19</v>
      </c>
      <c r="B33" s="96" t="s">
        <v>2067</v>
      </c>
      <c r="C33" s="96" t="s">
        <v>2068</v>
      </c>
      <c r="D33" s="96" t="s">
        <v>2064</v>
      </c>
      <c r="E33" s="97">
        <v>1</v>
      </c>
      <c r="F33" s="365"/>
      <c r="G33" s="94">
        <f t="shared" si="0"/>
        <v>0</v>
      </c>
      <c r="H33" s="97">
        <v>0.025</v>
      </c>
    </row>
    <row r="34" spans="1:8" ht="28.5" customHeight="1">
      <c r="A34" s="107"/>
      <c r="B34" s="108" t="s">
        <v>112</v>
      </c>
      <c r="C34" s="108" t="s">
        <v>2069</v>
      </c>
      <c r="D34" s="108"/>
      <c r="E34" s="109"/>
      <c r="F34" s="110"/>
      <c r="G34" s="110">
        <f>SUM(G35:G37)</f>
        <v>0</v>
      </c>
      <c r="H34" s="109">
        <v>0.051</v>
      </c>
    </row>
    <row r="35" spans="1:8" s="76" customFormat="1" ht="13.5" customHeight="1">
      <c r="A35" s="91">
        <v>20</v>
      </c>
      <c r="B35" s="92" t="s">
        <v>2070</v>
      </c>
      <c r="C35" s="92" t="s">
        <v>2071</v>
      </c>
      <c r="D35" s="92" t="s">
        <v>102</v>
      </c>
      <c r="E35" s="93">
        <v>21</v>
      </c>
      <c r="F35" s="364"/>
      <c r="G35" s="94">
        <f aca="true" t="shared" si="1" ref="G35:G37">SUM(E35*F35)</f>
        <v>0</v>
      </c>
      <c r="H35" s="93">
        <v>0</v>
      </c>
    </row>
    <row r="36" spans="1:8" s="76" customFormat="1" ht="13.5" customHeight="1">
      <c r="A36" s="91">
        <v>21</v>
      </c>
      <c r="B36" s="92" t="s">
        <v>2072</v>
      </c>
      <c r="C36" s="92" t="s">
        <v>2073</v>
      </c>
      <c r="D36" s="92" t="s">
        <v>225</v>
      </c>
      <c r="E36" s="93">
        <v>1</v>
      </c>
      <c r="F36" s="364"/>
      <c r="G36" s="94">
        <f t="shared" si="1"/>
        <v>0</v>
      </c>
      <c r="H36" s="93">
        <v>0</v>
      </c>
    </row>
    <row r="37" spans="1:8" s="76" customFormat="1" ht="24" customHeight="1">
      <c r="A37" s="95">
        <v>22</v>
      </c>
      <c r="B37" s="96" t="s">
        <v>2074</v>
      </c>
      <c r="C37" s="96" t="s">
        <v>2075</v>
      </c>
      <c r="D37" s="96" t="s">
        <v>225</v>
      </c>
      <c r="E37" s="97">
        <v>1</v>
      </c>
      <c r="F37" s="365"/>
      <c r="G37" s="94">
        <f t="shared" si="1"/>
        <v>0</v>
      </c>
      <c r="H37" s="97">
        <v>0.051</v>
      </c>
    </row>
    <row r="38" spans="1:8" s="115" customFormat="1" ht="28.5" customHeight="1">
      <c r="A38" s="111"/>
      <c r="B38" s="112" t="s">
        <v>118</v>
      </c>
      <c r="C38" s="112" t="s">
        <v>2076</v>
      </c>
      <c r="D38" s="112"/>
      <c r="E38" s="113"/>
      <c r="F38" s="114"/>
      <c r="G38" s="114">
        <f>SUM(G39:G42)</f>
        <v>0</v>
      </c>
      <c r="H38" s="113">
        <v>0</v>
      </c>
    </row>
    <row r="39" spans="1:8" s="76" customFormat="1" ht="13.5" customHeight="1">
      <c r="A39" s="91">
        <v>23</v>
      </c>
      <c r="B39" s="92" t="s">
        <v>2077</v>
      </c>
      <c r="C39" s="92" t="s">
        <v>2078</v>
      </c>
      <c r="D39" s="92" t="s">
        <v>192</v>
      </c>
      <c r="E39" s="93">
        <v>12</v>
      </c>
      <c r="F39" s="364"/>
      <c r="G39" s="94">
        <f aca="true" t="shared" si="2" ref="G39:G42">SUM(E39*F39)</f>
        <v>0</v>
      </c>
      <c r="H39" s="93">
        <v>0</v>
      </c>
    </row>
    <row r="40" spans="1:8" s="76" customFormat="1" ht="24" customHeight="1">
      <c r="A40" s="91">
        <v>24</v>
      </c>
      <c r="B40" s="92" t="s">
        <v>2079</v>
      </c>
      <c r="C40" s="92" t="s">
        <v>2080</v>
      </c>
      <c r="D40" s="92" t="s">
        <v>192</v>
      </c>
      <c r="E40" s="93">
        <v>12</v>
      </c>
      <c r="F40" s="364"/>
      <c r="G40" s="94">
        <f t="shared" si="2"/>
        <v>0</v>
      </c>
      <c r="H40" s="93">
        <v>0</v>
      </c>
    </row>
    <row r="41" spans="1:8" s="76" customFormat="1" ht="13.5" customHeight="1">
      <c r="A41" s="91">
        <v>25</v>
      </c>
      <c r="B41" s="92" t="s">
        <v>2081</v>
      </c>
      <c r="C41" s="92" t="s">
        <v>2082</v>
      </c>
      <c r="D41" s="92" t="s">
        <v>192</v>
      </c>
      <c r="E41" s="93">
        <v>12</v>
      </c>
      <c r="F41" s="364"/>
      <c r="G41" s="94">
        <f t="shared" si="2"/>
        <v>0</v>
      </c>
      <c r="H41" s="93">
        <v>0</v>
      </c>
    </row>
    <row r="42" spans="1:8" s="76" customFormat="1" ht="24" customHeight="1">
      <c r="A42" s="91">
        <v>26</v>
      </c>
      <c r="B42" s="92" t="s">
        <v>2083</v>
      </c>
      <c r="C42" s="92" t="s">
        <v>2084</v>
      </c>
      <c r="D42" s="92" t="s">
        <v>192</v>
      </c>
      <c r="E42" s="93">
        <v>12</v>
      </c>
      <c r="F42" s="364"/>
      <c r="G42" s="94">
        <f t="shared" si="2"/>
        <v>0</v>
      </c>
      <c r="H42" s="93">
        <v>0</v>
      </c>
    </row>
    <row r="43" spans="1:8" ht="28.5" customHeight="1">
      <c r="A43" s="107"/>
      <c r="B43" s="108" t="s">
        <v>140</v>
      </c>
      <c r="C43" s="108" t="s">
        <v>2085</v>
      </c>
      <c r="D43" s="108"/>
      <c r="E43" s="109"/>
      <c r="F43" s="110"/>
      <c r="G43" s="110">
        <f>SUM(G44:G86)</f>
        <v>0</v>
      </c>
      <c r="H43" s="109">
        <v>5.77253</v>
      </c>
    </row>
    <row r="44" spans="1:8" s="76" customFormat="1" ht="13.5" customHeight="1">
      <c r="A44" s="95">
        <v>27</v>
      </c>
      <c r="B44" s="96" t="s">
        <v>2086</v>
      </c>
      <c r="C44" s="96" t="s">
        <v>2087</v>
      </c>
      <c r="D44" s="96" t="s">
        <v>395</v>
      </c>
      <c r="E44" s="97">
        <v>21</v>
      </c>
      <c r="F44" s="365"/>
      <c r="G44" s="94">
        <f aca="true" t="shared" si="3" ref="G44:G91">SUM(E44*F44)</f>
        <v>0</v>
      </c>
      <c r="H44" s="97">
        <v>0</v>
      </c>
    </row>
    <row r="45" spans="1:8" s="76" customFormat="1" ht="13.5" customHeight="1">
      <c r="A45" s="95">
        <v>28</v>
      </c>
      <c r="B45" s="96" t="s">
        <v>2088</v>
      </c>
      <c r="C45" s="96" t="s">
        <v>2089</v>
      </c>
      <c r="D45" s="96" t="s">
        <v>395</v>
      </c>
      <c r="E45" s="97">
        <v>25</v>
      </c>
      <c r="F45" s="365"/>
      <c r="G45" s="94">
        <f t="shared" si="3"/>
        <v>0</v>
      </c>
      <c r="H45" s="97">
        <v>0.025</v>
      </c>
    </row>
    <row r="46" spans="1:8" s="76" customFormat="1" ht="13.5" customHeight="1">
      <c r="A46" s="95">
        <v>29</v>
      </c>
      <c r="B46" s="96" t="s">
        <v>2090</v>
      </c>
      <c r="C46" s="96" t="s">
        <v>2091</v>
      </c>
      <c r="D46" s="96" t="s">
        <v>395</v>
      </c>
      <c r="E46" s="97">
        <v>16</v>
      </c>
      <c r="F46" s="365"/>
      <c r="G46" s="94">
        <f t="shared" si="3"/>
        <v>0</v>
      </c>
      <c r="H46" s="97">
        <v>0.00592</v>
      </c>
    </row>
    <row r="47" spans="1:8" s="76" customFormat="1" ht="24" customHeight="1">
      <c r="A47" s="95">
        <v>30</v>
      </c>
      <c r="B47" s="96" t="s">
        <v>2092</v>
      </c>
      <c r="C47" s="96" t="s">
        <v>2093</v>
      </c>
      <c r="D47" s="96" t="s">
        <v>225</v>
      </c>
      <c r="E47" s="97">
        <v>1</v>
      </c>
      <c r="F47" s="365"/>
      <c r="G47" s="94">
        <f t="shared" si="3"/>
        <v>0</v>
      </c>
      <c r="H47" s="97">
        <v>0.0003</v>
      </c>
    </row>
    <row r="48" spans="1:8" s="76" customFormat="1" ht="13.5" customHeight="1">
      <c r="A48" s="95">
        <v>31</v>
      </c>
      <c r="B48" s="96" t="s">
        <v>2094</v>
      </c>
      <c r="C48" s="96" t="s">
        <v>2095</v>
      </c>
      <c r="D48" s="96" t="s">
        <v>225</v>
      </c>
      <c r="E48" s="97">
        <v>1</v>
      </c>
      <c r="F48" s="365"/>
      <c r="G48" s="94">
        <f t="shared" si="3"/>
        <v>0</v>
      </c>
      <c r="H48" s="97">
        <v>0.00036</v>
      </c>
    </row>
    <row r="49" spans="1:8" s="76" customFormat="1" ht="13.5" customHeight="1">
      <c r="A49" s="95">
        <v>32</v>
      </c>
      <c r="B49" s="96" t="s">
        <v>2096</v>
      </c>
      <c r="C49" s="96" t="s">
        <v>2097</v>
      </c>
      <c r="D49" s="96" t="s">
        <v>225</v>
      </c>
      <c r="E49" s="97">
        <v>3</v>
      </c>
      <c r="F49" s="365"/>
      <c r="G49" s="94">
        <f t="shared" si="3"/>
        <v>0</v>
      </c>
      <c r="H49" s="97">
        <v>0.00096</v>
      </c>
    </row>
    <row r="50" spans="1:8" s="76" customFormat="1" ht="13.5" customHeight="1">
      <c r="A50" s="91">
        <v>33</v>
      </c>
      <c r="B50" s="92" t="s">
        <v>2098</v>
      </c>
      <c r="C50" s="92" t="s">
        <v>3060</v>
      </c>
      <c r="D50" s="92" t="s">
        <v>225</v>
      </c>
      <c r="E50" s="93">
        <v>5</v>
      </c>
      <c r="F50" s="364"/>
      <c r="G50" s="94">
        <f t="shared" si="3"/>
        <v>0</v>
      </c>
      <c r="H50" s="93">
        <v>0</v>
      </c>
    </row>
    <row r="51" spans="1:8" s="76" customFormat="1" ht="24" customHeight="1">
      <c r="A51" s="95">
        <v>34</v>
      </c>
      <c r="B51" s="96" t="s">
        <v>2099</v>
      </c>
      <c r="C51" s="96" t="s">
        <v>2100</v>
      </c>
      <c r="D51" s="96" t="s">
        <v>225</v>
      </c>
      <c r="E51" s="97">
        <v>1</v>
      </c>
      <c r="F51" s="365"/>
      <c r="G51" s="94">
        <f t="shared" si="3"/>
        <v>0</v>
      </c>
      <c r="H51" s="97">
        <v>0.0165</v>
      </c>
    </row>
    <row r="52" spans="1:8" s="76" customFormat="1" ht="34.5" customHeight="1">
      <c r="A52" s="91">
        <v>35</v>
      </c>
      <c r="B52" s="92" t="s">
        <v>2101</v>
      </c>
      <c r="C52" s="92" t="s">
        <v>2102</v>
      </c>
      <c r="D52" s="92" t="s">
        <v>395</v>
      </c>
      <c r="E52" s="93">
        <v>16</v>
      </c>
      <c r="F52" s="364"/>
      <c r="G52" s="94">
        <f t="shared" si="3"/>
        <v>0</v>
      </c>
      <c r="H52" s="93">
        <v>0</v>
      </c>
    </row>
    <row r="53" spans="1:8" s="76" customFormat="1" ht="24" customHeight="1">
      <c r="A53" s="91">
        <v>36</v>
      </c>
      <c r="B53" s="92" t="s">
        <v>2103</v>
      </c>
      <c r="C53" s="92" t="s">
        <v>2104</v>
      </c>
      <c r="D53" s="92" t="s">
        <v>395</v>
      </c>
      <c r="E53" s="93">
        <v>25</v>
      </c>
      <c r="F53" s="364"/>
      <c r="G53" s="94">
        <f t="shared" si="3"/>
        <v>0</v>
      </c>
      <c r="H53" s="93">
        <v>0</v>
      </c>
    </row>
    <row r="54" spans="1:8" s="76" customFormat="1" ht="13.5" customHeight="1">
      <c r="A54" s="95">
        <v>37</v>
      </c>
      <c r="B54" s="96" t="s">
        <v>2105</v>
      </c>
      <c r="C54" s="96" t="s">
        <v>2106</v>
      </c>
      <c r="D54" s="96" t="s">
        <v>2107</v>
      </c>
      <c r="E54" s="97">
        <v>1</v>
      </c>
      <c r="F54" s="365"/>
      <c r="G54" s="94">
        <f t="shared" si="3"/>
        <v>0</v>
      </c>
      <c r="H54" s="97">
        <v>0</v>
      </c>
    </row>
    <row r="55" spans="1:8" s="76" customFormat="1" ht="24" customHeight="1">
      <c r="A55" s="95">
        <v>38</v>
      </c>
      <c r="B55" s="96" t="s">
        <v>2108</v>
      </c>
      <c r="C55" s="96" t="s">
        <v>2109</v>
      </c>
      <c r="D55" s="96" t="s">
        <v>225</v>
      </c>
      <c r="E55" s="97">
        <v>1</v>
      </c>
      <c r="F55" s="365"/>
      <c r="G55" s="94">
        <f t="shared" si="3"/>
        <v>0</v>
      </c>
      <c r="H55" s="97">
        <v>0.00041</v>
      </c>
    </row>
    <row r="56" spans="1:8" s="76" customFormat="1" ht="24" customHeight="1">
      <c r="A56" s="91">
        <v>39</v>
      </c>
      <c r="B56" s="92" t="s">
        <v>2110</v>
      </c>
      <c r="C56" s="92" t="s">
        <v>2111</v>
      </c>
      <c r="D56" s="92" t="s">
        <v>395</v>
      </c>
      <c r="E56" s="93">
        <v>21</v>
      </c>
      <c r="F56" s="364"/>
      <c r="G56" s="94">
        <f t="shared" si="3"/>
        <v>0</v>
      </c>
      <c r="H56" s="93">
        <v>0</v>
      </c>
    </row>
    <row r="57" spans="1:8" s="76" customFormat="1" ht="24" customHeight="1">
      <c r="A57" s="91">
        <v>40</v>
      </c>
      <c r="B57" s="92" t="s">
        <v>2112</v>
      </c>
      <c r="C57" s="92" t="s">
        <v>2113</v>
      </c>
      <c r="D57" s="92" t="s">
        <v>395</v>
      </c>
      <c r="E57" s="93">
        <v>138</v>
      </c>
      <c r="F57" s="364"/>
      <c r="G57" s="94">
        <f t="shared" si="3"/>
        <v>0</v>
      </c>
      <c r="H57" s="93">
        <v>0.00138</v>
      </c>
    </row>
    <row r="58" spans="1:8" s="76" customFormat="1" ht="13.5" customHeight="1">
      <c r="A58" s="95">
        <v>41</v>
      </c>
      <c r="B58" s="96" t="s">
        <v>2114</v>
      </c>
      <c r="C58" s="96" t="s">
        <v>2115</v>
      </c>
      <c r="D58" s="96" t="s">
        <v>225</v>
      </c>
      <c r="E58" s="97">
        <v>46</v>
      </c>
      <c r="F58" s="365"/>
      <c r="G58" s="94">
        <f t="shared" si="3"/>
        <v>0</v>
      </c>
      <c r="H58" s="97">
        <v>0.4232</v>
      </c>
    </row>
    <row r="59" spans="1:8" s="76" customFormat="1" ht="13.5" customHeight="1">
      <c r="A59" s="91">
        <v>42</v>
      </c>
      <c r="B59" s="92" t="s">
        <v>2116</v>
      </c>
      <c r="C59" s="92" t="s">
        <v>2117</v>
      </c>
      <c r="D59" s="92" t="s">
        <v>395</v>
      </c>
      <c r="E59" s="93">
        <v>25</v>
      </c>
      <c r="F59" s="364"/>
      <c r="G59" s="94">
        <f t="shared" si="3"/>
        <v>0</v>
      </c>
      <c r="H59" s="93">
        <v>0</v>
      </c>
    </row>
    <row r="60" spans="1:8" s="76" customFormat="1" ht="13.5" customHeight="1">
      <c r="A60" s="91">
        <v>43</v>
      </c>
      <c r="B60" s="92" t="s">
        <v>2118</v>
      </c>
      <c r="C60" s="92" t="s">
        <v>2119</v>
      </c>
      <c r="D60" s="92" t="s">
        <v>395</v>
      </c>
      <c r="E60" s="93">
        <v>25</v>
      </c>
      <c r="F60" s="364"/>
      <c r="G60" s="94">
        <f t="shared" si="3"/>
        <v>0</v>
      </c>
      <c r="H60" s="93">
        <v>0</v>
      </c>
    </row>
    <row r="61" spans="1:8" s="76" customFormat="1" ht="13.5" customHeight="1">
      <c r="A61" s="91">
        <v>44</v>
      </c>
      <c r="B61" s="92" t="s">
        <v>2120</v>
      </c>
      <c r="C61" s="92" t="s">
        <v>2121</v>
      </c>
      <c r="D61" s="92" t="s">
        <v>395</v>
      </c>
      <c r="E61" s="93">
        <v>138</v>
      </c>
      <c r="F61" s="364"/>
      <c r="G61" s="94">
        <f t="shared" si="3"/>
        <v>0</v>
      </c>
      <c r="H61" s="93">
        <v>0</v>
      </c>
    </row>
    <row r="62" spans="1:8" s="76" customFormat="1" ht="24" customHeight="1">
      <c r="A62" s="95">
        <v>45</v>
      </c>
      <c r="B62" s="96" t="s">
        <v>2122</v>
      </c>
      <c r="C62" s="96" t="s">
        <v>2123</v>
      </c>
      <c r="D62" s="96" t="s">
        <v>225</v>
      </c>
      <c r="E62" s="97">
        <v>1</v>
      </c>
      <c r="F62" s="365"/>
      <c r="G62" s="94">
        <f t="shared" si="3"/>
        <v>0</v>
      </c>
      <c r="H62" s="97">
        <v>0.585</v>
      </c>
    </row>
    <row r="63" spans="1:8" s="76" customFormat="1" ht="24" customHeight="1">
      <c r="A63" s="91">
        <v>46</v>
      </c>
      <c r="B63" s="92" t="s">
        <v>2124</v>
      </c>
      <c r="C63" s="92" t="s">
        <v>2125</v>
      </c>
      <c r="D63" s="92" t="s">
        <v>102</v>
      </c>
      <c r="E63" s="93">
        <v>0.8</v>
      </c>
      <c r="F63" s="364"/>
      <c r="G63" s="94">
        <f t="shared" si="3"/>
        <v>0</v>
      </c>
      <c r="H63" s="93">
        <v>1.2356</v>
      </c>
    </row>
    <row r="64" spans="1:8" s="76" customFormat="1" ht="24" customHeight="1">
      <c r="A64" s="91">
        <v>47</v>
      </c>
      <c r="B64" s="92" t="s">
        <v>2126</v>
      </c>
      <c r="C64" s="92" t="s">
        <v>2127</v>
      </c>
      <c r="D64" s="92" t="s">
        <v>225</v>
      </c>
      <c r="E64" s="93">
        <v>1</v>
      </c>
      <c r="F64" s="364"/>
      <c r="G64" s="94">
        <f t="shared" si="3"/>
        <v>0</v>
      </c>
      <c r="H64" s="93">
        <v>2.25689</v>
      </c>
    </row>
    <row r="65" spans="1:8" s="76" customFormat="1" ht="24" customHeight="1">
      <c r="A65" s="91">
        <v>48</v>
      </c>
      <c r="B65" s="92" t="s">
        <v>2128</v>
      </c>
      <c r="C65" s="92" t="s">
        <v>2129</v>
      </c>
      <c r="D65" s="92" t="s">
        <v>225</v>
      </c>
      <c r="E65" s="93">
        <v>3</v>
      </c>
      <c r="F65" s="364"/>
      <c r="G65" s="94">
        <f t="shared" si="3"/>
        <v>0</v>
      </c>
      <c r="H65" s="93">
        <v>0</v>
      </c>
    </row>
    <row r="66" spans="1:8" s="76" customFormat="1" ht="24" customHeight="1">
      <c r="A66" s="91">
        <v>49</v>
      </c>
      <c r="B66" s="92" t="s">
        <v>2130</v>
      </c>
      <c r="C66" s="92" t="s">
        <v>2131</v>
      </c>
      <c r="D66" s="92" t="s">
        <v>225</v>
      </c>
      <c r="E66" s="93">
        <v>1</v>
      </c>
      <c r="F66" s="364"/>
      <c r="G66" s="94">
        <f t="shared" si="3"/>
        <v>0</v>
      </c>
      <c r="H66" s="93">
        <v>0.05757</v>
      </c>
    </row>
    <row r="67" spans="1:8" s="76" customFormat="1" ht="24" customHeight="1">
      <c r="A67" s="91">
        <v>50</v>
      </c>
      <c r="B67" s="92" t="s">
        <v>2132</v>
      </c>
      <c r="C67" s="92" t="s">
        <v>2133</v>
      </c>
      <c r="D67" s="92" t="s">
        <v>225</v>
      </c>
      <c r="E67" s="93">
        <v>2</v>
      </c>
      <c r="F67" s="364"/>
      <c r="G67" s="94">
        <f t="shared" si="3"/>
        <v>0</v>
      </c>
      <c r="H67" s="93">
        <v>0.23028</v>
      </c>
    </row>
    <row r="68" spans="1:8" s="76" customFormat="1" ht="24" customHeight="1">
      <c r="A68" s="91">
        <v>51</v>
      </c>
      <c r="B68" s="92" t="s">
        <v>2134</v>
      </c>
      <c r="C68" s="92" t="s">
        <v>2135</v>
      </c>
      <c r="D68" s="92" t="s">
        <v>225</v>
      </c>
      <c r="E68" s="93">
        <v>2</v>
      </c>
      <c r="F68" s="364"/>
      <c r="G68" s="94">
        <f t="shared" si="3"/>
        <v>0</v>
      </c>
      <c r="H68" s="93">
        <v>0</v>
      </c>
    </row>
    <row r="69" spans="1:8" s="76" customFormat="1" ht="24" customHeight="1">
      <c r="A69" s="91">
        <v>52</v>
      </c>
      <c r="B69" s="92" t="s">
        <v>2136</v>
      </c>
      <c r="C69" s="92" t="s">
        <v>2137</v>
      </c>
      <c r="D69" s="92" t="s">
        <v>225</v>
      </c>
      <c r="E69" s="93">
        <v>2</v>
      </c>
      <c r="F69" s="364"/>
      <c r="G69" s="94">
        <f t="shared" si="3"/>
        <v>0</v>
      </c>
      <c r="H69" s="93">
        <v>0.16966</v>
      </c>
    </row>
    <row r="70" spans="1:8" s="76" customFormat="1" ht="13.5" customHeight="1">
      <c r="A70" s="91">
        <v>53</v>
      </c>
      <c r="B70" s="92" t="s">
        <v>2138</v>
      </c>
      <c r="C70" s="92" t="s">
        <v>2139</v>
      </c>
      <c r="D70" s="92" t="s">
        <v>225</v>
      </c>
      <c r="E70" s="93">
        <v>1</v>
      </c>
      <c r="F70" s="364"/>
      <c r="G70" s="94">
        <f t="shared" si="3"/>
        <v>0</v>
      </c>
      <c r="H70" s="93">
        <v>0</v>
      </c>
    </row>
    <row r="71" spans="1:8" s="76" customFormat="1" ht="13.5" customHeight="1">
      <c r="A71" s="95">
        <v>54</v>
      </c>
      <c r="B71" s="96" t="s">
        <v>2140</v>
      </c>
      <c r="C71" s="96" t="s">
        <v>2141</v>
      </c>
      <c r="D71" s="96" t="s">
        <v>225</v>
      </c>
      <c r="E71" s="97">
        <v>1</v>
      </c>
      <c r="F71" s="365"/>
      <c r="G71" s="94">
        <f t="shared" si="3"/>
        <v>0</v>
      </c>
      <c r="H71" s="97">
        <v>0.196</v>
      </c>
    </row>
    <row r="72" spans="1:8" s="76" customFormat="1" ht="13.5" customHeight="1">
      <c r="A72" s="91">
        <v>55</v>
      </c>
      <c r="B72" s="92" t="s">
        <v>2142</v>
      </c>
      <c r="C72" s="92" t="s">
        <v>2143</v>
      </c>
      <c r="D72" s="92" t="s">
        <v>102</v>
      </c>
      <c r="E72" s="93">
        <v>3</v>
      </c>
      <c r="F72" s="364"/>
      <c r="G72" s="94">
        <f t="shared" si="3"/>
        <v>0</v>
      </c>
      <c r="H72" s="93">
        <v>0</v>
      </c>
    </row>
    <row r="73" spans="1:8" s="76" customFormat="1" ht="13.5" customHeight="1">
      <c r="A73" s="95">
        <v>56</v>
      </c>
      <c r="B73" s="96" t="s">
        <v>2144</v>
      </c>
      <c r="C73" s="96" t="s">
        <v>2145</v>
      </c>
      <c r="D73" s="96" t="s">
        <v>225</v>
      </c>
      <c r="E73" s="97">
        <v>1</v>
      </c>
      <c r="F73" s="365"/>
      <c r="G73" s="94">
        <f t="shared" si="3"/>
        <v>0</v>
      </c>
      <c r="H73" s="97">
        <v>0.14</v>
      </c>
    </row>
    <row r="74" spans="1:8" s="76" customFormat="1" ht="24" customHeight="1">
      <c r="A74" s="95">
        <v>57</v>
      </c>
      <c r="B74" s="96" t="s">
        <v>2146</v>
      </c>
      <c r="C74" s="96" t="s">
        <v>2147</v>
      </c>
      <c r="D74" s="96" t="s">
        <v>225</v>
      </c>
      <c r="E74" s="97">
        <v>1</v>
      </c>
      <c r="F74" s="365"/>
      <c r="G74" s="94">
        <f t="shared" si="3"/>
        <v>0</v>
      </c>
      <c r="H74" s="97">
        <v>0.024</v>
      </c>
    </row>
    <row r="75" spans="1:8" s="76" customFormat="1" ht="24" customHeight="1">
      <c r="A75" s="95">
        <v>58</v>
      </c>
      <c r="B75" s="96" t="s">
        <v>2148</v>
      </c>
      <c r="C75" s="96" t="s">
        <v>2149</v>
      </c>
      <c r="D75" s="96" t="s">
        <v>225</v>
      </c>
      <c r="E75" s="97">
        <v>1</v>
      </c>
      <c r="F75" s="365"/>
      <c r="G75" s="94">
        <f t="shared" si="3"/>
        <v>0</v>
      </c>
      <c r="H75" s="97">
        <v>0.036</v>
      </c>
    </row>
    <row r="76" spans="1:8" s="76" customFormat="1" ht="24" customHeight="1">
      <c r="A76" s="95">
        <v>59</v>
      </c>
      <c r="B76" s="96" t="s">
        <v>2150</v>
      </c>
      <c r="C76" s="96" t="s">
        <v>2151</v>
      </c>
      <c r="D76" s="96" t="s">
        <v>225</v>
      </c>
      <c r="E76" s="97">
        <v>2</v>
      </c>
      <c r="F76" s="365"/>
      <c r="G76" s="94">
        <f t="shared" si="3"/>
        <v>0</v>
      </c>
      <c r="H76" s="97">
        <v>0.052</v>
      </c>
    </row>
    <row r="77" spans="1:8" s="76" customFormat="1" ht="13.5" customHeight="1">
      <c r="A77" s="95">
        <v>60</v>
      </c>
      <c r="B77" s="96" t="s">
        <v>2152</v>
      </c>
      <c r="C77" s="96" t="s">
        <v>2153</v>
      </c>
      <c r="D77" s="96" t="s">
        <v>225</v>
      </c>
      <c r="E77" s="97">
        <v>3</v>
      </c>
      <c r="F77" s="365"/>
      <c r="G77" s="94">
        <f t="shared" si="3"/>
        <v>0</v>
      </c>
      <c r="H77" s="97">
        <v>0.003</v>
      </c>
    </row>
    <row r="78" spans="1:8" s="76" customFormat="1" ht="13.5" customHeight="1">
      <c r="A78" s="95">
        <v>61</v>
      </c>
      <c r="B78" s="96" t="s">
        <v>2154</v>
      </c>
      <c r="C78" s="96" t="s">
        <v>2155</v>
      </c>
      <c r="D78" s="96" t="s">
        <v>225</v>
      </c>
      <c r="E78" s="97">
        <v>2</v>
      </c>
      <c r="F78" s="365"/>
      <c r="G78" s="94">
        <f t="shared" si="3"/>
        <v>0</v>
      </c>
      <c r="H78" s="97">
        <v>0.0064</v>
      </c>
    </row>
    <row r="79" spans="1:8" s="76" customFormat="1" ht="24" customHeight="1">
      <c r="A79" s="95">
        <v>62</v>
      </c>
      <c r="B79" s="96" t="s">
        <v>2156</v>
      </c>
      <c r="C79" s="96" t="s">
        <v>2157</v>
      </c>
      <c r="D79" s="96" t="s">
        <v>225</v>
      </c>
      <c r="E79" s="97">
        <v>1</v>
      </c>
      <c r="F79" s="365"/>
      <c r="G79" s="94">
        <f t="shared" si="3"/>
        <v>0</v>
      </c>
      <c r="H79" s="97">
        <v>0.013</v>
      </c>
    </row>
    <row r="80" spans="1:8" s="76" customFormat="1" ht="24" customHeight="1">
      <c r="A80" s="95">
        <v>63</v>
      </c>
      <c r="B80" s="96" t="s">
        <v>2158</v>
      </c>
      <c r="C80" s="96" t="s">
        <v>2159</v>
      </c>
      <c r="D80" s="96" t="s">
        <v>225</v>
      </c>
      <c r="E80" s="97">
        <v>1</v>
      </c>
      <c r="F80" s="365"/>
      <c r="G80" s="94">
        <f t="shared" si="3"/>
        <v>0</v>
      </c>
      <c r="H80" s="97">
        <v>0.021</v>
      </c>
    </row>
    <row r="81" spans="1:8" s="76" customFormat="1" ht="24" customHeight="1">
      <c r="A81" s="95">
        <v>64</v>
      </c>
      <c r="B81" s="96" t="s">
        <v>2160</v>
      </c>
      <c r="C81" s="96" t="s">
        <v>2161</v>
      </c>
      <c r="D81" s="96" t="s">
        <v>225</v>
      </c>
      <c r="E81" s="97">
        <v>1</v>
      </c>
      <c r="F81" s="365"/>
      <c r="G81" s="94">
        <f t="shared" si="3"/>
        <v>0</v>
      </c>
      <c r="H81" s="97">
        <v>0.07</v>
      </c>
    </row>
    <row r="82" spans="1:8" s="76" customFormat="1" ht="24" customHeight="1">
      <c r="A82" s="95">
        <v>65</v>
      </c>
      <c r="B82" s="96" t="s">
        <v>2162</v>
      </c>
      <c r="C82" s="96" t="s">
        <v>2163</v>
      </c>
      <c r="D82" s="96" t="s">
        <v>225</v>
      </c>
      <c r="E82" s="97">
        <v>2</v>
      </c>
      <c r="F82" s="365"/>
      <c r="G82" s="94">
        <f t="shared" si="3"/>
        <v>0</v>
      </c>
      <c r="H82" s="97">
        <v>0.044</v>
      </c>
    </row>
    <row r="83" spans="1:8" s="76" customFormat="1" ht="13.5" customHeight="1">
      <c r="A83" s="95">
        <v>66</v>
      </c>
      <c r="B83" s="96" t="s">
        <v>2164</v>
      </c>
      <c r="C83" s="96" t="s">
        <v>2165</v>
      </c>
      <c r="D83" s="96" t="s">
        <v>225</v>
      </c>
      <c r="E83" s="97">
        <v>1</v>
      </c>
      <c r="F83" s="365"/>
      <c r="G83" s="94">
        <f t="shared" si="3"/>
        <v>0</v>
      </c>
      <c r="H83" s="97">
        <v>0.055</v>
      </c>
    </row>
    <row r="84" spans="1:8" s="76" customFormat="1" ht="13.5" customHeight="1">
      <c r="A84" s="95">
        <v>67</v>
      </c>
      <c r="B84" s="96" t="s">
        <v>2166</v>
      </c>
      <c r="C84" s="96" t="s">
        <v>2167</v>
      </c>
      <c r="D84" s="96" t="s">
        <v>225</v>
      </c>
      <c r="E84" s="97">
        <v>1</v>
      </c>
      <c r="F84" s="365"/>
      <c r="G84" s="94">
        <f t="shared" si="3"/>
        <v>0</v>
      </c>
      <c r="H84" s="97">
        <v>0.055</v>
      </c>
    </row>
    <row r="85" spans="1:8" s="76" customFormat="1" ht="13.5" customHeight="1">
      <c r="A85" s="91">
        <v>68</v>
      </c>
      <c r="B85" s="92" t="s">
        <v>2168</v>
      </c>
      <c r="C85" s="92" t="s">
        <v>2169</v>
      </c>
      <c r="D85" s="92" t="s">
        <v>395</v>
      </c>
      <c r="E85" s="93">
        <v>185</v>
      </c>
      <c r="F85" s="364"/>
      <c r="G85" s="94">
        <f t="shared" si="3"/>
        <v>0</v>
      </c>
      <c r="H85" s="93">
        <v>0.037</v>
      </c>
    </row>
    <row r="86" spans="1:8" s="76" customFormat="1" ht="13.5" customHeight="1">
      <c r="A86" s="91">
        <v>69</v>
      </c>
      <c r="B86" s="92" t="s">
        <v>2170</v>
      </c>
      <c r="C86" s="92" t="s">
        <v>2171</v>
      </c>
      <c r="D86" s="92" t="s">
        <v>395</v>
      </c>
      <c r="E86" s="93">
        <v>185</v>
      </c>
      <c r="F86" s="364"/>
      <c r="G86" s="94">
        <f t="shared" si="3"/>
        <v>0</v>
      </c>
      <c r="H86" s="93">
        <v>0.0111</v>
      </c>
    </row>
    <row r="87" spans="1:8" ht="28.5" customHeight="1">
      <c r="A87" s="107"/>
      <c r="B87" s="108" t="s">
        <v>144</v>
      </c>
      <c r="C87" s="108" t="s">
        <v>2172</v>
      </c>
      <c r="D87" s="108"/>
      <c r="E87" s="109"/>
      <c r="F87" s="110"/>
      <c r="G87" s="110">
        <f>SUM(G88)</f>
        <v>0</v>
      </c>
      <c r="H87" s="109">
        <v>0</v>
      </c>
    </row>
    <row r="88" spans="1:8" s="76" customFormat="1" ht="13.5" customHeight="1">
      <c r="A88" s="91">
        <v>70</v>
      </c>
      <c r="B88" s="92" t="s">
        <v>2173</v>
      </c>
      <c r="C88" s="92" t="s">
        <v>2174</v>
      </c>
      <c r="D88" s="92" t="s">
        <v>192</v>
      </c>
      <c r="E88" s="93">
        <v>1</v>
      </c>
      <c r="F88" s="364"/>
      <c r="G88" s="94">
        <f t="shared" si="3"/>
        <v>0</v>
      </c>
      <c r="H88" s="93">
        <v>0</v>
      </c>
    </row>
    <row r="89" spans="1:8" ht="28.5" customHeight="1">
      <c r="A89" s="107"/>
      <c r="B89" s="108" t="s">
        <v>769</v>
      </c>
      <c r="C89" s="108" t="s">
        <v>2175</v>
      </c>
      <c r="D89" s="108"/>
      <c r="E89" s="109"/>
      <c r="F89" s="110"/>
      <c r="G89" s="110">
        <f>SUM(G90:G91)</f>
        <v>0</v>
      </c>
      <c r="H89" s="109">
        <v>0</v>
      </c>
    </row>
    <row r="90" spans="1:8" s="76" customFormat="1" ht="24" customHeight="1">
      <c r="A90" s="91">
        <v>71</v>
      </c>
      <c r="B90" s="92" t="s">
        <v>2176</v>
      </c>
      <c r="C90" s="92" t="s">
        <v>2177</v>
      </c>
      <c r="D90" s="92" t="s">
        <v>239</v>
      </c>
      <c r="E90" s="93">
        <v>5.893</v>
      </c>
      <c r="F90" s="364"/>
      <c r="G90" s="94">
        <f t="shared" si="3"/>
        <v>0</v>
      </c>
      <c r="H90" s="93">
        <v>0</v>
      </c>
    </row>
    <row r="91" spans="1:8" s="76" customFormat="1" ht="24" customHeight="1">
      <c r="A91" s="91">
        <v>72</v>
      </c>
      <c r="B91" s="92" t="s">
        <v>2178</v>
      </c>
      <c r="C91" s="92" t="s">
        <v>2179</v>
      </c>
      <c r="D91" s="92" t="s">
        <v>239</v>
      </c>
      <c r="E91" s="93">
        <v>5.893</v>
      </c>
      <c r="F91" s="364"/>
      <c r="G91" s="94">
        <f t="shared" si="3"/>
        <v>0</v>
      </c>
      <c r="H91" s="93">
        <v>0</v>
      </c>
    </row>
    <row r="92" spans="1:8" ht="30.75" customHeight="1">
      <c r="A92" s="98"/>
      <c r="B92" s="99" t="s">
        <v>29</v>
      </c>
      <c r="C92" s="99" t="s">
        <v>1786</v>
      </c>
      <c r="D92" s="99"/>
      <c r="E92" s="100"/>
      <c r="F92" s="101"/>
      <c r="G92" s="101">
        <f>SUM(G93)</f>
        <v>0</v>
      </c>
      <c r="H92" s="100">
        <v>0.04411</v>
      </c>
    </row>
    <row r="93" spans="1:8" ht="28.5" customHeight="1">
      <c r="A93" s="107"/>
      <c r="B93" s="108" t="s">
        <v>1841</v>
      </c>
      <c r="C93" s="108" t="s">
        <v>1842</v>
      </c>
      <c r="D93" s="108"/>
      <c r="E93" s="109"/>
      <c r="F93" s="110"/>
      <c r="G93" s="110">
        <f>SUM(G94:G99)</f>
        <v>0</v>
      </c>
      <c r="H93" s="109">
        <v>0.04411</v>
      </c>
    </row>
    <row r="94" spans="1:8" s="76" customFormat="1" ht="24" customHeight="1">
      <c r="A94" s="91">
        <v>73</v>
      </c>
      <c r="B94" s="92" t="s">
        <v>2180</v>
      </c>
      <c r="C94" s="92" t="s">
        <v>2181</v>
      </c>
      <c r="D94" s="92" t="s">
        <v>395</v>
      </c>
      <c r="E94" s="93">
        <v>5</v>
      </c>
      <c r="F94" s="364"/>
      <c r="G94" s="94">
        <f aca="true" t="shared" si="4" ref="G94:G99">SUM(E94*F94)</f>
        <v>0</v>
      </c>
      <c r="H94" s="93">
        <v>0.032</v>
      </c>
    </row>
    <row r="95" spans="1:8" s="76" customFormat="1" ht="24" customHeight="1">
      <c r="A95" s="91">
        <v>74</v>
      </c>
      <c r="B95" s="92" t="s">
        <v>2182</v>
      </c>
      <c r="C95" s="92" t="s">
        <v>2183</v>
      </c>
      <c r="D95" s="92" t="s">
        <v>225</v>
      </c>
      <c r="E95" s="93">
        <v>2</v>
      </c>
      <c r="F95" s="364"/>
      <c r="G95" s="94">
        <f t="shared" si="4"/>
        <v>0</v>
      </c>
      <c r="H95" s="93">
        <v>0</v>
      </c>
    </row>
    <row r="96" spans="1:8" s="76" customFormat="1" ht="24" customHeight="1">
      <c r="A96" s="91">
        <v>75</v>
      </c>
      <c r="B96" s="92" t="s">
        <v>2184</v>
      </c>
      <c r="C96" s="92" t="s">
        <v>2185</v>
      </c>
      <c r="D96" s="92" t="s">
        <v>1907</v>
      </c>
      <c r="E96" s="93">
        <v>1</v>
      </c>
      <c r="F96" s="364"/>
      <c r="G96" s="94">
        <f t="shared" si="4"/>
        <v>0</v>
      </c>
      <c r="H96" s="93">
        <v>0.0085</v>
      </c>
    </row>
    <row r="97" spans="1:8" s="76" customFormat="1" ht="24" customHeight="1">
      <c r="A97" s="91">
        <v>76</v>
      </c>
      <c r="B97" s="92" t="s">
        <v>1869</v>
      </c>
      <c r="C97" s="92" t="s">
        <v>1870</v>
      </c>
      <c r="D97" s="92" t="s">
        <v>395</v>
      </c>
      <c r="E97" s="93">
        <v>5</v>
      </c>
      <c r="F97" s="364"/>
      <c r="G97" s="94">
        <f t="shared" si="4"/>
        <v>0</v>
      </c>
      <c r="H97" s="93">
        <v>0.0002</v>
      </c>
    </row>
    <row r="98" spans="1:8" s="76" customFormat="1" ht="24" customHeight="1">
      <c r="A98" s="91">
        <v>77</v>
      </c>
      <c r="B98" s="92" t="s">
        <v>2186</v>
      </c>
      <c r="C98" s="92" t="s">
        <v>2187</v>
      </c>
      <c r="D98" s="92" t="s">
        <v>225</v>
      </c>
      <c r="E98" s="93">
        <v>1</v>
      </c>
      <c r="F98" s="364"/>
      <c r="G98" s="94">
        <f t="shared" si="4"/>
        <v>0</v>
      </c>
      <c r="H98" s="93">
        <v>0.00079</v>
      </c>
    </row>
    <row r="99" spans="1:8" s="76" customFormat="1" ht="13.5" customHeight="1">
      <c r="A99" s="91">
        <v>78</v>
      </c>
      <c r="B99" s="92" t="s">
        <v>2188</v>
      </c>
      <c r="C99" s="92" t="s">
        <v>2189</v>
      </c>
      <c r="D99" s="92" t="s">
        <v>225</v>
      </c>
      <c r="E99" s="93">
        <v>1</v>
      </c>
      <c r="F99" s="364"/>
      <c r="G99" s="94">
        <f t="shared" si="4"/>
        <v>0</v>
      </c>
      <c r="H99" s="93">
        <v>0.00262</v>
      </c>
    </row>
    <row r="100" spans="1:8" ht="30.75" customHeight="1">
      <c r="A100" s="98"/>
      <c r="B100" s="99" t="s">
        <v>2190</v>
      </c>
      <c r="C100" s="99" t="s">
        <v>2191</v>
      </c>
      <c r="D100" s="99"/>
      <c r="E100" s="100"/>
      <c r="F100" s="101"/>
      <c r="G100" s="101">
        <f>SUM(G101)</f>
        <v>0</v>
      </c>
      <c r="H100" s="100">
        <v>0</v>
      </c>
    </row>
    <row r="101" spans="1:8" ht="28.5" customHeight="1">
      <c r="A101" s="107"/>
      <c r="B101" s="108" t="s">
        <v>2192</v>
      </c>
      <c r="C101" s="108" t="s">
        <v>2193</v>
      </c>
      <c r="D101" s="108"/>
      <c r="E101" s="109"/>
      <c r="F101" s="110"/>
      <c r="G101" s="110">
        <f>SUM(G102:G104)</f>
        <v>0</v>
      </c>
      <c r="H101" s="109">
        <v>0</v>
      </c>
    </row>
    <row r="102" spans="1:8" s="76" customFormat="1" ht="13.5" customHeight="1">
      <c r="A102" s="91">
        <v>79</v>
      </c>
      <c r="B102" s="92" t="s">
        <v>2194</v>
      </c>
      <c r="C102" s="92" t="s">
        <v>2195</v>
      </c>
      <c r="D102" s="92" t="s">
        <v>395</v>
      </c>
      <c r="E102" s="93">
        <v>21</v>
      </c>
      <c r="F102" s="364"/>
      <c r="G102" s="94">
        <f aca="true" t="shared" si="5" ref="G102:G104">SUM(E102*F102)</f>
        <v>0</v>
      </c>
      <c r="H102" s="93">
        <v>0</v>
      </c>
    </row>
    <row r="103" spans="1:8" s="76" customFormat="1" ht="13.5" customHeight="1">
      <c r="A103" s="91">
        <v>80</v>
      </c>
      <c r="B103" s="92" t="s">
        <v>2196</v>
      </c>
      <c r="C103" s="92" t="s">
        <v>2197</v>
      </c>
      <c r="D103" s="92" t="s">
        <v>2107</v>
      </c>
      <c r="E103" s="93">
        <v>9</v>
      </c>
      <c r="F103" s="364"/>
      <c r="G103" s="94">
        <f t="shared" si="5"/>
        <v>0</v>
      </c>
      <c r="H103" s="93">
        <v>0</v>
      </c>
    </row>
    <row r="104" spans="1:8" s="76" customFormat="1" ht="13.5" customHeight="1">
      <c r="A104" s="91">
        <v>81</v>
      </c>
      <c r="B104" s="92" t="s">
        <v>2198</v>
      </c>
      <c r="C104" s="92" t="s">
        <v>2199</v>
      </c>
      <c r="D104" s="92" t="s">
        <v>395</v>
      </c>
      <c r="E104" s="93">
        <v>21</v>
      </c>
      <c r="F104" s="364"/>
      <c r="G104" s="94">
        <f t="shared" si="5"/>
        <v>0</v>
      </c>
      <c r="H104" s="93">
        <v>0</v>
      </c>
    </row>
    <row r="105" spans="1:8" s="76" customFormat="1" ht="30.75" customHeight="1">
      <c r="A105" s="98"/>
      <c r="B105" s="99"/>
      <c r="C105" s="99" t="s">
        <v>2023</v>
      </c>
      <c r="D105" s="99"/>
      <c r="E105" s="100"/>
      <c r="F105" s="101"/>
      <c r="G105" s="101">
        <f>SUM(G13+G30+G34+G38+G43+G87+G89+G92+G100)</f>
        <v>0</v>
      </c>
      <c r="H105" s="100">
        <v>5.93698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7"/>
  <sheetViews>
    <sheetView workbookViewId="0" topLeftCell="A49">
      <selection activeCell="I7" sqref="I7"/>
    </sheetView>
  </sheetViews>
  <sheetFormatPr defaultColWidth="9.140625" defaultRowHeight="12.75"/>
  <cols>
    <col min="1" max="1" width="6.421875" style="0" customWidth="1"/>
    <col min="2" max="2" width="11.7109375" style="0" customWidth="1"/>
    <col min="3" max="3" width="40.00390625" style="0" customWidth="1"/>
    <col min="4" max="4" width="20.00390625" style="0" customWidth="1"/>
    <col min="5" max="5" width="5.421875" style="0" customWidth="1"/>
    <col min="7" max="10" width="10.28125" style="0" customWidth="1"/>
    <col min="257" max="257" width="6.421875" style="0" customWidth="1"/>
    <col min="258" max="258" width="11.7109375" style="0" customWidth="1"/>
    <col min="259" max="259" width="40.00390625" style="0" customWidth="1"/>
    <col min="260" max="260" width="20.00390625" style="0" customWidth="1"/>
    <col min="261" max="261" width="5.421875" style="0" customWidth="1"/>
    <col min="263" max="266" width="10.28125" style="0" customWidth="1"/>
    <col min="513" max="513" width="6.421875" style="0" customWidth="1"/>
    <col min="514" max="514" width="11.7109375" style="0" customWidth="1"/>
    <col min="515" max="515" width="40.00390625" style="0" customWidth="1"/>
    <col min="516" max="516" width="20.00390625" style="0" customWidth="1"/>
    <col min="517" max="517" width="5.421875" style="0" customWidth="1"/>
    <col min="519" max="522" width="10.28125" style="0" customWidth="1"/>
    <col min="769" max="769" width="6.421875" style="0" customWidth="1"/>
    <col min="770" max="770" width="11.7109375" style="0" customWidth="1"/>
    <col min="771" max="771" width="40.00390625" style="0" customWidth="1"/>
    <col min="772" max="772" width="20.00390625" style="0" customWidth="1"/>
    <col min="773" max="773" width="5.421875" style="0" customWidth="1"/>
    <col min="775" max="778" width="10.28125" style="0" customWidth="1"/>
    <col min="1025" max="1025" width="6.421875" style="0" customWidth="1"/>
    <col min="1026" max="1026" width="11.7109375" style="0" customWidth="1"/>
    <col min="1027" max="1027" width="40.00390625" style="0" customWidth="1"/>
    <col min="1028" max="1028" width="20.00390625" style="0" customWidth="1"/>
    <col min="1029" max="1029" width="5.421875" style="0" customWidth="1"/>
    <col min="1031" max="1034" width="10.28125" style="0" customWidth="1"/>
    <col min="1281" max="1281" width="6.421875" style="0" customWidth="1"/>
    <col min="1282" max="1282" width="11.7109375" style="0" customWidth="1"/>
    <col min="1283" max="1283" width="40.00390625" style="0" customWidth="1"/>
    <col min="1284" max="1284" width="20.00390625" style="0" customWidth="1"/>
    <col min="1285" max="1285" width="5.421875" style="0" customWidth="1"/>
    <col min="1287" max="1290" width="10.28125" style="0" customWidth="1"/>
    <col min="1537" max="1537" width="6.421875" style="0" customWidth="1"/>
    <col min="1538" max="1538" width="11.7109375" style="0" customWidth="1"/>
    <col min="1539" max="1539" width="40.00390625" style="0" customWidth="1"/>
    <col min="1540" max="1540" width="20.00390625" style="0" customWidth="1"/>
    <col min="1541" max="1541" width="5.421875" style="0" customWidth="1"/>
    <col min="1543" max="1546" width="10.28125" style="0" customWidth="1"/>
    <col min="1793" max="1793" width="6.421875" style="0" customWidth="1"/>
    <col min="1794" max="1794" width="11.7109375" style="0" customWidth="1"/>
    <col min="1795" max="1795" width="40.00390625" style="0" customWidth="1"/>
    <col min="1796" max="1796" width="20.00390625" style="0" customWidth="1"/>
    <col min="1797" max="1797" width="5.421875" style="0" customWidth="1"/>
    <col min="1799" max="1802" width="10.28125" style="0" customWidth="1"/>
    <col min="2049" max="2049" width="6.421875" style="0" customWidth="1"/>
    <col min="2050" max="2050" width="11.7109375" style="0" customWidth="1"/>
    <col min="2051" max="2051" width="40.00390625" style="0" customWidth="1"/>
    <col min="2052" max="2052" width="20.00390625" style="0" customWidth="1"/>
    <col min="2053" max="2053" width="5.421875" style="0" customWidth="1"/>
    <col min="2055" max="2058" width="10.28125" style="0" customWidth="1"/>
    <col min="2305" max="2305" width="6.421875" style="0" customWidth="1"/>
    <col min="2306" max="2306" width="11.7109375" style="0" customWidth="1"/>
    <col min="2307" max="2307" width="40.00390625" style="0" customWidth="1"/>
    <col min="2308" max="2308" width="20.00390625" style="0" customWidth="1"/>
    <col min="2309" max="2309" width="5.421875" style="0" customWidth="1"/>
    <col min="2311" max="2314" width="10.28125" style="0" customWidth="1"/>
    <col min="2561" max="2561" width="6.421875" style="0" customWidth="1"/>
    <col min="2562" max="2562" width="11.7109375" style="0" customWidth="1"/>
    <col min="2563" max="2563" width="40.00390625" style="0" customWidth="1"/>
    <col min="2564" max="2564" width="20.00390625" style="0" customWidth="1"/>
    <col min="2565" max="2565" width="5.421875" style="0" customWidth="1"/>
    <col min="2567" max="2570" width="10.28125" style="0" customWidth="1"/>
    <col min="2817" max="2817" width="6.421875" style="0" customWidth="1"/>
    <col min="2818" max="2818" width="11.7109375" style="0" customWidth="1"/>
    <col min="2819" max="2819" width="40.00390625" style="0" customWidth="1"/>
    <col min="2820" max="2820" width="20.00390625" style="0" customWidth="1"/>
    <col min="2821" max="2821" width="5.421875" style="0" customWidth="1"/>
    <col min="2823" max="2826" width="10.28125" style="0" customWidth="1"/>
    <col min="3073" max="3073" width="6.421875" style="0" customWidth="1"/>
    <col min="3074" max="3074" width="11.7109375" style="0" customWidth="1"/>
    <col min="3075" max="3075" width="40.00390625" style="0" customWidth="1"/>
    <col min="3076" max="3076" width="20.00390625" style="0" customWidth="1"/>
    <col min="3077" max="3077" width="5.421875" style="0" customWidth="1"/>
    <col min="3079" max="3082" width="10.28125" style="0" customWidth="1"/>
    <col min="3329" max="3329" width="6.421875" style="0" customWidth="1"/>
    <col min="3330" max="3330" width="11.7109375" style="0" customWidth="1"/>
    <col min="3331" max="3331" width="40.00390625" style="0" customWidth="1"/>
    <col min="3332" max="3332" width="20.00390625" style="0" customWidth="1"/>
    <col min="3333" max="3333" width="5.421875" style="0" customWidth="1"/>
    <col min="3335" max="3338" width="10.28125" style="0" customWidth="1"/>
    <col min="3585" max="3585" width="6.421875" style="0" customWidth="1"/>
    <col min="3586" max="3586" width="11.7109375" style="0" customWidth="1"/>
    <col min="3587" max="3587" width="40.00390625" style="0" customWidth="1"/>
    <col min="3588" max="3588" width="20.00390625" style="0" customWidth="1"/>
    <col min="3589" max="3589" width="5.421875" style="0" customWidth="1"/>
    <col min="3591" max="3594" width="10.28125" style="0" customWidth="1"/>
    <col min="3841" max="3841" width="6.421875" style="0" customWidth="1"/>
    <col min="3842" max="3842" width="11.7109375" style="0" customWidth="1"/>
    <col min="3843" max="3843" width="40.00390625" style="0" customWidth="1"/>
    <col min="3844" max="3844" width="20.00390625" style="0" customWidth="1"/>
    <col min="3845" max="3845" width="5.421875" style="0" customWidth="1"/>
    <col min="3847" max="3850" width="10.28125" style="0" customWidth="1"/>
    <col min="4097" max="4097" width="6.421875" style="0" customWidth="1"/>
    <col min="4098" max="4098" width="11.7109375" style="0" customWidth="1"/>
    <col min="4099" max="4099" width="40.00390625" style="0" customWidth="1"/>
    <col min="4100" max="4100" width="20.00390625" style="0" customWidth="1"/>
    <col min="4101" max="4101" width="5.421875" style="0" customWidth="1"/>
    <col min="4103" max="4106" width="10.28125" style="0" customWidth="1"/>
    <col min="4353" max="4353" width="6.421875" style="0" customWidth="1"/>
    <col min="4354" max="4354" width="11.7109375" style="0" customWidth="1"/>
    <col min="4355" max="4355" width="40.00390625" style="0" customWidth="1"/>
    <col min="4356" max="4356" width="20.00390625" style="0" customWidth="1"/>
    <col min="4357" max="4357" width="5.421875" style="0" customWidth="1"/>
    <col min="4359" max="4362" width="10.28125" style="0" customWidth="1"/>
    <col min="4609" max="4609" width="6.421875" style="0" customWidth="1"/>
    <col min="4610" max="4610" width="11.7109375" style="0" customWidth="1"/>
    <col min="4611" max="4611" width="40.00390625" style="0" customWidth="1"/>
    <col min="4612" max="4612" width="20.00390625" style="0" customWidth="1"/>
    <col min="4613" max="4613" width="5.421875" style="0" customWidth="1"/>
    <col min="4615" max="4618" width="10.28125" style="0" customWidth="1"/>
    <col min="4865" max="4865" width="6.421875" style="0" customWidth="1"/>
    <col min="4866" max="4866" width="11.7109375" style="0" customWidth="1"/>
    <col min="4867" max="4867" width="40.00390625" style="0" customWidth="1"/>
    <col min="4868" max="4868" width="20.00390625" style="0" customWidth="1"/>
    <col min="4869" max="4869" width="5.421875" style="0" customWidth="1"/>
    <col min="4871" max="4874" width="10.28125" style="0" customWidth="1"/>
    <col min="5121" max="5121" width="6.421875" style="0" customWidth="1"/>
    <col min="5122" max="5122" width="11.7109375" style="0" customWidth="1"/>
    <col min="5123" max="5123" width="40.00390625" style="0" customWidth="1"/>
    <col min="5124" max="5124" width="20.00390625" style="0" customWidth="1"/>
    <col min="5125" max="5125" width="5.421875" style="0" customWidth="1"/>
    <col min="5127" max="5130" width="10.28125" style="0" customWidth="1"/>
    <col min="5377" max="5377" width="6.421875" style="0" customWidth="1"/>
    <col min="5378" max="5378" width="11.7109375" style="0" customWidth="1"/>
    <col min="5379" max="5379" width="40.00390625" style="0" customWidth="1"/>
    <col min="5380" max="5380" width="20.00390625" style="0" customWidth="1"/>
    <col min="5381" max="5381" width="5.421875" style="0" customWidth="1"/>
    <col min="5383" max="5386" width="10.28125" style="0" customWidth="1"/>
    <col min="5633" max="5633" width="6.421875" style="0" customWidth="1"/>
    <col min="5634" max="5634" width="11.7109375" style="0" customWidth="1"/>
    <col min="5635" max="5635" width="40.00390625" style="0" customWidth="1"/>
    <col min="5636" max="5636" width="20.00390625" style="0" customWidth="1"/>
    <col min="5637" max="5637" width="5.421875" style="0" customWidth="1"/>
    <col min="5639" max="5642" width="10.28125" style="0" customWidth="1"/>
    <col min="5889" max="5889" width="6.421875" style="0" customWidth="1"/>
    <col min="5890" max="5890" width="11.7109375" style="0" customWidth="1"/>
    <col min="5891" max="5891" width="40.00390625" style="0" customWidth="1"/>
    <col min="5892" max="5892" width="20.00390625" style="0" customWidth="1"/>
    <col min="5893" max="5893" width="5.421875" style="0" customWidth="1"/>
    <col min="5895" max="5898" width="10.28125" style="0" customWidth="1"/>
    <col min="6145" max="6145" width="6.421875" style="0" customWidth="1"/>
    <col min="6146" max="6146" width="11.7109375" style="0" customWidth="1"/>
    <col min="6147" max="6147" width="40.00390625" style="0" customWidth="1"/>
    <col min="6148" max="6148" width="20.00390625" style="0" customWidth="1"/>
    <col min="6149" max="6149" width="5.421875" style="0" customWidth="1"/>
    <col min="6151" max="6154" width="10.28125" style="0" customWidth="1"/>
    <col min="6401" max="6401" width="6.421875" style="0" customWidth="1"/>
    <col min="6402" max="6402" width="11.7109375" style="0" customWidth="1"/>
    <col min="6403" max="6403" width="40.00390625" style="0" customWidth="1"/>
    <col min="6404" max="6404" width="20.00390625" style="0" customWidth="1"/>
    <col min="6405" max="6405" width="5.421875" style="0" customWidth="1"/>
    <col min="6407" max="6410" width="10.28125" style="0" customWidth="1"/>
    <col min="6657" max="6657" width="6.421875" style="0" customWidth="1"/>
    <col min="6658" max="6658" width="11.7109375" style="0" customWidth="1"/>
    <col min="6659" max="6659" width="40.00390625" style="0" customWidth="1"/>
    <col min="6660" max="6660" width="20.00390625" style="0" customWidth="1"/>
    <col min="6661" max="6661" width="5.421875" style="0" customWidth="1"/>
    <col min="6663" max="6666" width="10.28125" style="0" customWidth="1"/>
    <col min="6913" max="6913" width="6.421875" style="0" customWidth="1"/>
    <col min="6914" max="6914" width="11.7109375" style="0" customWidth="1"/>
    <col min="6915" max="6915" width="40.00390625" style="0" customWidth="1"/>
    <col min="6916" max="6916" width="20.00390625" style="0" customWidth="1"/>
    <col min="6917" max="6917" width="5.421875" style="0" customWidth="1"/>
    <col min="6919" max="6922" width="10.28125" style="0" customWidth="1"/>
    <col min="7169" max="7169" width="6.421875" style="0" customWidth="1"/>
    <col min="7170" max="7170" width="11.7109375" style="0" customWidth="1"/>
    <col min="7171" max="7171" width="40.00390625" style="0" customWidth="1"/>
    <col min="7172" max="7172" width="20.00390625" style="0" customWidth="1"/>
    <col min="7173" max="7173" width="5.421875" style="0" customWidth="1"/>
    <col min="7175" max="7178" width="10.28125" style="0" customWidth="1"/>
    <col min="7425" max="7425" width="6.421875" style="0" customWidth="1"/>
    <col min="7426" max="7426" width="11.7109375" style="0" customWidth="1"/>
    <col min="7427" max="7427" width="40.00390625" style="0" customWidth="1"/>
    <col min="7428" max="7428" width="20.00390625" style="0" customWidth="1"/>
    <col min="7429" max="7429" width="5.421875" style="0" customWidth="1"/>
    <col min="7431" max="7434" width="10.28125" style="0" customWidth="1"/>
    <col min="7681" max="7681" width="6.421875" style="0" customWidth="1"/>
    <col min="7682" max="7682" width="11.7109375" style="0" customWidth="1"/>
    <col min="7683" max="7683" width="40.00390625" style="0" customWidth="1"/>
    <col min="7684" max="7684" width="20.00390625" style="0" customWidth="1"/>
    <col min="7685" max="7685" width="5.421875" style="0" customWidth="1"/>
    <col min="7687" max="7690" width="10.28125" style="0" customWidth="1"/>
    <col min="7937" max="7937" width="6.421875" style="0" customWidth="1"/>
    <col min="7938" max="7938" width="11.7109375" style="0" customWidth="1"/>
    <col min="7939" max="7939" width="40.00390625" style="0" customWidth="1"/>
    <col min="7940" max="7940" width="20.00390625" style="0" customWidth="1"/>
    <col min="7941" max="7941" width="5.421875" style="0" customWidth="1"/>
    <col min="7943" max="7946" width="10.28125" style="0" customWidth="1"/>
    <col min="8193" max="8193" width="6.421875" style="0" customWidth="1"/>
    <col min="8194" max="8194" width="11.7109375" style="0" customWidth="1"/>
    <col min="8195" max="8195" width="40.00390625" style="0" customWidth="1"/>
    <col min="8196" max="8196" width="20.00390625" style="0" customWidth="1"/>
    <col min="8197" max="8197" width="5.421875" style="0" customWidth="1"/>
    <col min="8199" max="8202" width="10.28125" style="0" customWidth="1"/>
    <col min="8449" max="8449" width="6.421875" style="0" customWidth="1"/>
    <col min="8450" max="8450" width="11.7109375" style="0" customWidth="1"/>
    <col min="8451" max="8451" width="40.00390625" style="0" customWidth="1"/>
    <col min="8452" max="8452" width="20.00390625" style="0" customWidth="1"/>
    <col min="8453" max="8453" width="5.421875" style="0" customWidth="1"/>
    <col min="8455" max="8458" width="10.28125" style="0" customWidth="1"/>
    <col min="8705" max="8705" width="6.421875" style="0" customWidth="1"/>
    <col min="8706" max="8706" width="11.7109375" style="0" customWidth="1"/>
    <col min="8707" max="8707" width="40.00390625" style="0" customWidth="1"/>
    <col min="8708" max="8708" width="20.00390625" style="0" customWidth="1"/>
    <col min="8709" max="8709" width="5.421875" style="0" customWidth="1"/>
    <col min="8711" max="8714" width="10.28125" style="0" customWidth="1"/>
    <col min="8961" max="8961" width="6.421875" style="0" customWidth="1"/>
    <col min="8962" max="8962" width="11.7109375" style="0" customWidth="1"/>
    <col min="8963" max="8963" width="40.00390625" style="0" customWidth="1"/>
    <col min="8964" max="8964" width="20.00390625" style="0" customWidth="1"/>
    <col min="8965" max="8965" width="5.421875" style="0" customWidth="1"/>
    <col min="8967" max="8970" width="10.28125" style="0" customWidth="1"/>
    <col min="9217" max="9217" width="6.421875" style="0" customWidth="1"/>
    <col min="9218" max="9218" width="11.7109375" style="0" customWidth="1"/>
    <col min="9219" max="9219" width="40.00390625" style="0" customWidth="1"/>
    <col min="9220" max="9220" width="20.00390625" style="0" customWidth="1"/>
    <col min="9221" max="9221" width="5.421875" style="0" customWidth="1"/>
    <col min="9223" max="9226" width="10.28125" style="0" customWidth="1"/>
    <col min="9473" max="9473" width="6.421875" style="0" customWidth="1"/>
    <col min="9474" max="9474" width="11.7109375" style="0" customWidth="1"/>
    <col min="9475" max="9475" width="40.00390625" style="0" customWidth="1"/>
    <col min="9476" max="9476" width="20.00390625" style="0" customWidth="1"/>
    <col min="9477" max="9477" width="5.421875" style="0" customWidth="1"/>
    <col min="9479" max="9482" width="10.28125" style="0" customWidth="1"/>
    <col min="9729" max="9729" width="6.421875" style="0" customWidth="1"/>
    <col min="9730" max="9730" width="11.7109375" style="0" customWidth="1"/>
    <col min="9731" max="9731" width="40.00390625" style="0" customWidth="1"/>
    <col min="9732" max="9732" width="20.00390625" style="0" customWidth="1"/>
    <col min="9733" max="9733" width="5.421875" style="0" customWidth="1"/>
    <col min="9735" max="9738" width="10.28125" style="0" customWidth="1"/>
    <col min="9985" max="9985" width="6.421875" style="0" customWidth="1"/>
    <col min="9986" max="9986" width="11.7109375" style="0" customWidth="1"/>
    <col min="9987" max="9987" width="40.00390625" style="0" customWidth="1"/>
    <col min="9988" max="9988" width="20.00390625" style="0" customWidth="1"/>
    <col min="9989" max="9989" width="5.421875" style="0" customWidth="1"/>
    <col min="9991" max="9994" width="10.28125" style="0" customWidth="1"/>
    <col min="10241" max="10241" width="6.421875" style="0" customWidth="1"/>
    <col min="10242" max="10242" width="11.7109375" style="0" customWidth="1"/>
    <col min="10243" max="10243" width="40.00390625" style="0" customWidth="1"/>
    <col min="10244" max="10244" width="20.00390625" style="0" customWidth="1"/>
    <col min="10245" max="10245" width="5.421875" style="0" customWidth="1"/>
    <col min="10247" max="10250" width="10.28125" style="0" customWidth="1"/>
    <col min="10497" max="10497" width="6.421875" style="0" customWidth="1"/>
    <col min="10498" max="10498" width="11.7109375" style="0" customWidth="1"/>
    <col min="10499" max="10499" width="40.00390625" style="0" customWidth="1"/>
    <col min="10500" max="10500" width="20.00390625" style="0" customWidth="1"/>
    <col min="10501" max="10501" width="5.421875" style="0" customWidth="1"/>
    <col min="10503" max="10506" width="10.28125" style="0" customWidth="1"/>
    <col min="10753" max="10753" width="6.421875" style="0" customWidth="1"/>
    <col min="10754" max="10754" width="11.7109375" style="0" customWidth="1"/>
    <col min="10755" max="10755" width="40.00390625" style="0" customWidth="1"/>
    <col min="10756" max="10756" width="20.00390625" style="0" customWidth="1"/>
    <col min="10757" max="10757" width="5.421875" style="0" customWidth="1"/>
    <col min="10759" max="10762" width="10.28125" style="0" customWidth="1"/>
    <col min="11009" max="11009" width="6.421875" style="0" customWidth="1"/>
    <col min="11010" max="11010" width="11.7109375" style="0" customWidth="1"/>
    <col min="11011" max="11011" width="40.00390625" style="0" customWidth="1"/>
    <col min="11012" max="11012" width="20.00390625" style="0" customWidth="1"/>
    <col min="11013" max="11013" width="5.421875" style="0" customWidth="1"/>
    <col min="11015" max="11018" width="10.28125" style="0" customWidth="1"/>
    <col min="11265" max="11265" width="6.421875" style="0" customWidth="1"/>
    <col min="11266" max="11266" width="11.7109375" style="0" customWidth="1"/>
    <col min="11267" max="11267" width="40.00390625" style="0" customWidth="1"/>
    <col min="11268" max="11268" width="20.00390625" style="0" customWidth="1"/>
    <col min="11269" max="11269" width="5.421875" style="0" customWidth="1"/>
    <col min="11271" max="11274" width="10.28125" style="0" customWidth="1"/>
    <col min="11521" max="11521" width="6.421875" style="0" customWidth="1"/>
    <col min="11522" max="11522" width="11.7109375" style="0" customWidth="1"/>
    <col min="11523" max="11523" width="40.00390625" style="0" customWidth="1"/>
    <col min="11524" max="11524" width="20.00390625" style="0" customWidth="1"/>
    <col min="11525" max="11525" width="5.421875" style="0" customWidth="1"/>
    <col min="11527" max="11530" width="10.28125" style="0" customWidth="1"/>
    <col min="11777" max="11777" width="6.421875" style="0" customWidth="1"/>
    <col min="11778" max="11778" width="11.7109375" style="0" customWidth="1"/>
    <col min="11779" max="11779" width="40.00390625" style="0" customWidth="1"/>
    <col min="11780" max="11780" width="20.00390625" style="0" customWidth="1"/>
    <col min="11781" max="11781" width="5.421875" style="0" customWidth="1"/>
    <col min="11783" max="11786" width="10.28125" style="0" customWidth="1"/>
    <col min="12033" max="12033" width="6.421875" style="0" customWidth="1"/>
    <col min="12034" max="12034" width="11.7109375" style="0" customWidth="1"/>
    <col min="12035" max="12035" width="40.00390625" style="0" customWidth="1"/>
    <col min="12036" max="12036" width="20.00390625" style="0" customWidth="1"/>
    <col min="12037" max="12037" width="5.421875" style="0" customWidth="1"/>
    <col min="12039" max="12042" width="10.28125" style="0" customWidth="1"/>
    <col min="12289" max="12289" width="6.421875" style="0" customWidth="1"/>
    <col min="12290" max="12290" width="11.7109375" style="0" customWidth="1"/>
    <col min="12291" max="12291" width="40.00390625" style="0" customWidth="1"/>
    <col min="12292" max="12292" width="20.00390625" style="0" customWidth="1"/>
    <col min="12293" max="12293" width="5.421875" style="0" customWidth="1"/>
    <col min="12295" max="12298" width="10.28125" style="0" customWidth="1"/>
    <col min="12545" max="12545" width="6.421875" style="0" customWidth="1"/>
    <col min="12546" max="12546" width="11.7109375" style="0" customWidth="1"/>
    <col min="12547" max="12547" width="40.00390625" style="0" customWidth="1"/>
    <col min="12548" max="12548" width="20.00390625" style="0" customWidth="1"/>
    <col min="12549" max="12549" width="5.421875" style="0" customWidth="1"/>
    <col min="12551" max="12554" width="10.28125" style="0" customWidth="1"/>
    <col min="12801" max="12801" width="6.421875" style="0" customWidth="1"/>
    <col min="12802" max="12802" width="11.7109375" style="0" customWidth="1"/>
    <col min="12803" max="12803" width="40.00390625" style="0" customWidth="1"/>
    <col min="12804" max="12804" width="20.00390625" style="0" customWidth="1"/>
    <col min="12805" max="12805" width="5.421875" style="0" customWidth="1"/>
    <col min="12807" max="12810" width="10.28125" style="0" customWidth="1"/>
    <col min="13057" max="13057" width="6.421875" style="0" customWidth="1"/>
    <col min="13058" max="13058" width="11.7109375" style="0" customWidth="1"/>
    <col min="13059" max="13059" width="40.00390625" style="0" customWidth="1"/>
    <col min="13060" max="13060" width="20.00390625" style="0" customWidth="1"/>
    <col min="13061" max="13061" width="5.421875" style="0" customWidth="1"/>
    <col min="13063" max="13066" width="10.28125" style="0" customWidth="1"/>
    <col min="13313" max="13313" width="6.421875" style="0" customWidth="1"/>
    <col min="13314" max="13314" width="11.7109375" style="0" customWidth="1"/>
    <col min="13315" max="13315" width="40.00390625" style="0" customWidth="1"/>
    <col min="13316" max="13316" width="20.00390625" style="0" customWidth="1"/>
    <col min="13317" max="13317" width="5.421875" style="0" customWidth="1"/>
    <col min="13319" max="13322" width="10.28125" style="0" customWidth="1"/>
    <col min="13569" max="13569" width="6.421875" style="0" customWidth="1"/>
    <col min="13570" max="13570" width="11.7109375" style="0" customWidth="1"/>
    <col min="13571" max="13571" width="40.00390625" style="0" customWidth="1"/>
    <col min="13572" max="13572" width="20.00390625" style="0" customWidth="1"/>
    <col min="13573" max="13573" width="5.421875" style="0" customWidth="1"/>
    <col min="13575" max="13578" width="10.28125" style="0" customWidth="1"/>
    <col min="13825" max="13825" width="6.421875" style="0" customWidth="1"/>
    <col min="13826" max="13826" width="11.7109375" style="0" customWidth="1"/>
    <col min="13827" max="13827" width="40.00390625" style="0" customWidth="1"/>
    <col min="13828" max="13828" width="20.00390625" style="0" customWidth="1"/>
    <col min="13829" max="13829" width="5.421875" style="0" customWidth="1"/>
    <col min="13831" max="13834" width="10.28125" style="0" customWidth="1"/>
    <col min="14081" max="14081" width="6.421875" style="0" customWidth="1"/>
    <col min="14082" max="14082" width="11.7109375" style="0" customWidth="1"/>
    <col min="14083" max="14083" width="40.00390625" style="0" customWidth="1"/>
    <col min="14084" max="14084" width="20.00390625" style="0" customWidth="1"/>
    <col min="14085" max="14085" width="5.421875" style="0" customWidth="1"/>
    <col min="14087" max="14090" width="10.28125" style="0" customWidth="1"/>
    <col min="14337" max="14337" width="6.421875" style="0" customWidth="1"/>
    <col min="14338" max="14338" width="11.7109375" style="0" customWidth="1"/>
    <col min="14339" max="14339" width="40.00390625" style="0" customWidth="1"/>
    <col min="14340" max="14340" width="20.00390625" style="0" customWidth="1"/>
    <col min="14341" max="14341" width="5.421875" style="0" customWidth="1"/>
    <col min="14343" max="14346" width="10.28125" style="0" customWidth="1"/>
    <col min="14593" max="14593" width="6.421875" style="0" customWidth="1"/>
    <col min="14594" max="14594" width="11.7109375" style="0" customWidth="1"/>
    <col min="14595" max="14595" width="40.00390625" style="0" customWidth="1"/>
    <col min="14596" max="14596" width="20.00390625" style="0" customWidth="1"/>
    <col min="14597" max="14597" width="5.421875" style="0" customWidth="1"/>
    <col min="14599" max="14602" width="10.28125" style="0" customWidth="1"/>
    <col min="14849" max="14849" width="6.421875" style="0" customWidth="1"/>
    <col min="14850" max="14850" width="11.7109375" style="0" customWidth="1"/>
    <col min="14851" max="14851" width="40.00390625" style="0" customWidth="1"/>
    <col min="14852" max="14852" width="20.00390625" style="0" customWidth="1"/>
    <col min="14853" max="14853" width="5.421875" style="0" customWidth="1"/>
    <col min="14855" max="14858" width="10.28125" style="0" customWidth="1"/>
    <col min="15105" max="15105" width="6.421875" style="0" customWidth="1"/>
    <col min="15106" max="15106" width="11.7109375" style="0" customWidth="1"/>
    <col min="15107" max="15107" width="40.00390625" style="0" customWidth="1"/>
    <col min="15108" max="15108" width="20.00390625" style="0" customWidth="1"/>
    <col min="15109" max="15109" width="5.421875" style="0" customWidth="1"/>
    <col min="15111" max="15114" width="10.28125" style="0" customWidth="1"/>
    <col min="15361" max="15361" width="6.421875" style="0" customWidth="1"/>
    <col min="15362" max="15362" width="11.7109375" style="0" customWidth="1"/>
    <col min="15363" max="15363" width="40.00390625" style="0" customWidth="1"/>
    <col min="15364" max="15364" width="20.00390625" style="0" customWidth="1"/>
    <col min="15365" max="15365" width="5.421875" style="0" customWidth="1"/>
    <col min="15367" max="15370" width="10.28125" style="0" customWidth="1"/>
    <col min="15617" max="15617" width="6.421875" style="0" customWidth="1"/>
    <col min="15618" max="15618" width="11.7109375" style="0" customWidth="1"/>
    <col min="15619" max="15619" width="40.00390625" style="0" customWidth="1"/>
    <col min="15620" max="15620" width="20.00390625" style="0" customWidth="1"/>
    <col min="15621" max="15621" width="5.421875" style="0" customWidth="1"/>
    <col min="15623" max="15626" width="10.28125" style="0" customWidth="1"/>
    <col min="15873" max="15873" width="6.421875" style="0" customWidth="1"/>
    <col min="15874" max="15874" width="11.7109375" style="0" customWidth="1"/>
    <col min="15875" max="15875" width="40.00390625" style="0" customWidth="1"/>
    <col min="15876" max="15876" width="20.00390625" style="0" customWidth="1"/>
    <col min="15877" max="15877" width="5.421875" style="0" customWidth="1"/>
    <col min="15879" max="15882" width="10.28125" style="0" customWidth="1"/>
    <col min="16129" max="16129" width="6.421875" style="0" customWidth="1"/>
    <col min="16130" max="16130" width="11.7109375" style="0" customWidth="1"/>
    <col min="16131" max="16131" width="40.00390625" style="0" customWidth="1"/>
    <col min="16132" max="16132" width="20.00390625" style="0" customWidth="1"/>
    <col min="16133" max="16133" width="5.421875" style="0" customWidth="1"/>
    <col min="16135" max="16138" width="10.28125" style="0" customWidth="1"/>
  </cols>
  <sheetData>
    <row r="1" spans="2:4" ht="15.75">
      <c r="B1" s="416" t="s">
        <v>1774</v>
      </c>
      <c r="C1" s="77"/>
      <c r="D1" s="77"/>
    </row>
    <row r="2" spans="2:4" ht="15.75">
      <c r="B2" s="416" t="s">
        <v>3061</v>
      </c>
      <c r="C2" s="77"/>
      <c r="D2" s="77"/>
    </row>
    <row r="3" ht="13.5" thickBot="1"/>
    <row r="4" spans="1:10" ht="26.25" thickBot="1">
      <c r="A4" s="409" t="s">
        <v>2200</v>
      </c>
      <c r="B4" s="410" t="s">
        <v>2201</v>
      </c>
      <c r="C4" s="410" t="s">
        <v>2202</v>
      </c>
      <c r="D4" s="410" t="s">
        <v>2203</v>
      </c>
      <c r="E4" s="410" t="s">
        <v>65</v>
      </c>
      <c r="F4" s="410" t="s">
        <v>66</v>
      </c>
      <c r="G4" s="410" t="s">
        <v>2204</v>
      </c>
      <c r="H4" s="410" t="s">
        <v>2205</v>
      </c>
      <c r="I4" s="410" t="s">
        <v>2206</v>
      </c>
      <c r="J4" s="411" t="s">
        <v>2207</v>
      </c>
    </row>
    <row r="5" spans="1:10" ht="12.75">
      <c r="A5" s="412"/>
      <c r="B5" s="413"/>
      <c r="C5" s="408" t="s">
        <v>2208</v>
      </c>
      <c r="D5" s="355"/>
      <c r="E5" s="413"/>
      <c r="F5" s="413"/>
      <c r="G5" s="414"/>
      <c r="H5" s="415"/>
      <c r="I5" s="414"/>
      <c r="J5" s="415"/>
    </row>
    <row r="6" spans="1:10" ht="165.75">
      <c r="A6" s="118" t="s">
        <v>2209</v>
      </c>
      <c r="B6" s="119"/>
      <c r="C6" s="120" t="s">
        <v>2210</v>
      </c>
      <c r="D6" s="121" t="s">
        <v>2211</v>
      </c>
      <c r="E6" s="122" t="s">
        <v>2064</v>
      </c>
      <c r="F6" s="123">
        <v>1</v>
      </c>
      <c r="G6" s="366"/>
      <c r="H6" s="367"/>
      <c r="I6" s="124">
        <f aca="true" t="shared" si="0" ref="I6:I36">F6*G6</f>
        <v>0</v>
      </c>
      <c r="J6" s="124">
        <f aca="true" t="shared" si="1" ref="J6:J36">F6*H6</f>
        <v>0</v>
      </c>
    </row>
    <row r="7" spans="1:10" ht="25.5">
      <c r="A7" s="118" t="s">
        <v>2212</v>
      </c>
      <c r="B7" s="119"/>
      <c r="C7" s="120" t="s">
        <v>2213</v>
      </c>
      <c r="D7" s="127"/>
      <c r="E7" s="122" t="s">
        <v>2107</v>
      </c>
      <c r="F7" s="123">
        <v>1</v>
      </c>
      <c r="G7" s="366"/>
      <c r="H7" s="367"/>
      <c r="I7" s="124">
        <f t="shared" si="0"/>
        <v>0</v>
      </c>
      <c r="J7" s="124">
        <f t="shared" si="1"/>
        <v>0</v>
      </c>
    </row>
    <row r="8" spans="1:10" ht="12.75">
      <c r="A8" s="118"/>
      <c r="B8" s="119"/>
      <c r="C8" s="120" t="s">
        <v>2214</v>
      </c>
      <c r="D8" s="127"/>
      <c r="E8" s="122" t="s">
        <v>2064</v>
      </c>
      <c r="F8" s="123">
        <v>1</v>
      </c>
      <c r="G8" s="366"/>
      <c r="H8" s="367"/>
      <c r="I8" s="124">
        <f t="shared" si="0"/>
        <v>0</v>
      </c>
      <c r="J8" s="124">
        <f t="shared" si="1"/>
        <v>0</v>
      </c>
    </row>
    <row r="9" spans="1:10" ht="25.5">
      <c r="A9" s="118"/>
      <c r="B9" s="119"/>
      <c r="C9" s="120" t="s">
        <v>2215</v>
      </c>
      <c r="D9" s="127"/>
      <c r="E9" s="122" t="s">
        <v>2216</v>
      </c>
      <c r="F9" s="123">
        <v>10</v>
      </c>
      <c r="G9" s="366"/>
      <c r="H9" s="367"/>
      <c r="I9" s="124">
        <f t="shared" si="0"/>
        <v>0</v>
      </c>
      <c r="J9" s="124">
        <f t="shared" si="1"/>
        <v>0</v>
      </c>
    </row>
    <row r="10" spans="1:10" ht="12.75">
      <c r="A10" s="118"/>
      <c r="B10" s="119"/>
      <c r="C10" s="120" t="s">
        <v>2217</v>
      </c>
      <c r="D10" s="127" t="s">
        <v>2218</v>
      </c>
      <c r="E10" s="122" t="s">
        <v>2216</v>
      </c>
      <c r="F10" s="123">
        <v>4</v>
      </c>
      <c r="G10" s="366"/>
      <c r="H10" s="367"/>
      <c r="I10" s="124">
        <f t="shared" si="0"/>
        <v>0</v>
      </c>
      <c r="J10" s="124">
        <f t="shared" si="1"/>
        <v>0</v>
      </c>
    </row>
    <row r="11" spans="1:10" ht="12.75">
      <c r="A11" s="118"/>
      <c r="B11" s="119"/>
      <c r="C11" s="120" t="s">
        <v>2219</v>
      </c>
      <c r="D11" s="127"/>
      <c r="E11" s="122" t="s">
        <v>2107</v>
      </c>
      <c r="F11" s="123">
        <v>2</v>
      </c>
      <c r="G11" s="366"/>
      <c r="H11" s="367"/>
      <c r="I11" s="124">
        <f t="shared" si="0"/>
        <v>0</v>
      </c>
      <c r="J11" s="124">
        <f t="shared" si="1"/>
        <v>0</v>
      </c>
    </row>
    <row r="12" spans="1:10" ht="12.75">
      <c r="A12" s="118" t="s">
        <v>2220</v>
      </c>
      <c r="B12" s="119"/>
      <c r="C12" s="120" t="s">
        <v>2221</v>
      </c>
      <c r="D12" s="126"/>
      <c r="E12" s="122" t="s">
        <v>2107</v>
      </c>
      <c r="F12" s="123">
        <v>3</v>
      </c>
      <c r="G12" s="366"/>
      <c r="H12" s="367"/>
      <c r="I12" s="124">
        <f t="shared" si="0"/>
        <v>0</v>
      </c>
      <c r="J12" s="124">
        <f t="shared" si="1"/>
        <v>0</v>
      </c>
    </row>
    <row r="13" spans="1:10" ht="12.75">
      <c r="A13" s="118" t="s">
        <v>2222</v>
      </c>
      <c r="B13" s="119"/>
      <c r="C13" s="120" t="s">
        <v>2223</v>
      </c>
      <c r="D13" s="126"/>
      <c r="E13" s="122" t="s">
        <v>2107</v>
      </c>
      <c r="F13" s="123">
        <v>9</v>
      </c>
      <c r="G13" s="366"/>
      <c r="H13" s="367"/>
      <c r="I13" s="124">
        <f t="shared" si="0"/>
        <v>0</v>
      </c>
      <c r="J13" s="124">
        <f t="shared" si="1"/>
        <v>0</v>
      </c>
    </row>
    <row r="14" spans="1:10" ht="12.75">
      <c r="A14" s="118" t="s">
        <v>2224</v>
      </c>
      <c r="B14" s="119"/>
      <c r="C14" s="120" t="s">
        <v>2225</v>
      </c>
      <c r="D14" s="126"/>
      <c r="E14" s="122" t="s">
        <v>2107</v>
      </c>
      <c r="F14" s="123">
        <v>2</v>
      </c>
      <c r="G14" s="366"/>
      <c r="H14" s="367"/>
      <c r="I14" s="124">
        <f t="shared" si="0"/>
        <v>0</v>
      </c>
      <c r="J14" s="124">
        <f t="shared" si="1"/>
        <v>0</v>
      </c>
    </row>
    <row r="15" spans="1:10" ht="25.5">
      <c r="A15" s="468" t="s">
        <v>2226</v>
      </c>
      <c r="B15" s="119"/>
      <c r="C15" s="120" t="s">
        <v>2227</v>
      </c>
      <c r="D15" s="126"/>
      <c r="E15" s="122" t="s">
        <v>2107</v>
      </c>
      <c r="F15" s="123">
        <v>9</v>
      </c>
      <c r="G15" s="366"/>
      <c r="H15" s="367"/>
      <c r="I15" s="124">
        <f t="shared" si="0"/>
        <v>0</v>
      </c>
      <c r="J15" s="124">
        <f t="shared" si="1"/>
        <v>0</v>
      </c>
    </row>
    <row r="16" spans="1:10" ht="12.75">
      <c r="A16" s="468"/>
      <c r="B16" s="119"/>
      <c r="C16" s="120" t="s">
        <v>2228</v>
      </c>
      <c r="D16" s="126"/>
      <c r="E16" s="122" t="s">
        <v>2107</v>
      </c>
      <c r="F16" s="123">
        <v>9</v>
      </c>
      <c r="G16" s="366"/>
      <c r="H16" s="367"/>
      <c r="I16" s="124">
        <f t="shared" si="0"/>
        <v>0</v>
      </c>
      <c r="J16" s="124">
        <f t="shared" si="1"/>
        <v>0</v>
      </c>
    </row>
    <row r="17" spans="1:10" ht="25.5">
      <c r="A17" s="468" t="s">
        <v>2229</v>
      </c>
      <c r="B17" s="119"/>
      <c r="C17" s="120" t="s">
        <v>2227</v>
      </c>
      <c r="D17" s="126"/>
      <c r="E17" s="122" t="s">
        <v>2107</v>
      </c>
      <c r="F17" s="123">
        <v>9</v>
      </c>
      <c r="G17" s="366"/>
      <c r="H17" s="367"/>
      <c r="I17" s="124">
        <f t="shared" si="0"/>
        <v>0</v>
      </c>
      <c r="J17" s="124">
        <f t="shared" si="1"/>
        <v>0</v>
      </c>
    </row>
    <row r="18" spans="1:10" ht="12.75">
      <c r="A18" s="468"/>
      <c r="B18" s="119"/>
      <c r="C18" s="120" t="s">
        <v>2230</v>
      </c>
      <c r="D18" s="126"/>
      <c r="E18" s="122" t="s">
        <v>2107</v>
      </c>
      <c r="F18" s="123">
        <v>9</v>
      </c>
      <c r="G18" s="366"/>
      <c r="H18" s="367"/>
      <c r="I18" s="124">
        <f t="shared" si="0"/>
        <v>0</v>
      </c>
      <c r="J18" s="124">
        <f t="shared" si="1"/>
        <v>0</v>
      </c>
    </row>
    <row r="19" spans="1:10" ht="12.75">
      <c r="A19" s="128" t="s">
        <v>2231</v>
      </c>
      <c r="B19" s="119"/>
      <c r="C19" s="120" t="s">
        <v>2232</v>
      </c>
      <c r="D19" s="126"/>
      <c r="E19" s="122" t="s">
        <v>2107</v>
      </c>
      <c r="F19" s="123">
        <v>9</v>
      </c>
      <c r="G19" s="366"/>
      <c r="H19" s="367"/>
      <c r="I19" s="124">
        <f t="shared" si="0"/>
        <v>0</v>
      </c>
      <c r="J19" s="124">
        <f t="shared" si="1"/>
        <v>0</v>
      </c>
    </row>
    <row r="20" spans="1:10" ht="25.5">
      <c r="A20" s="118" t="s">
        <v>2233</v>
      </c>
      <c r="B20" s="119"/>
      <c r="C20" s="120" t="s">
        <v>2234</v>
      </c>
      <c r="D20" s="126"/>
      <c r="E20" s="122" t="s">
        <v>2107</v>
      </c>
      <c r="F20" s="123">
        <v>8</v>
      </c>
      <c r="G20" s="366"/>
      <c r="H20" s="367"/>
      <c r="I20" s="124">
        <f t="shared" si="0"/>
        <v>0</v>
      </c>
      <c r="J20" s="124">
        <f t="shared" si="1"/>
        <v>0</v>
      </c>
    </row>
    <row r="21" spans="1:10" ht="12.75">
      <c r="A21" s="118" t="s">
        <v>2235</v>
      </c>
      <c r="B21" s="119"/>
      <c r="C21" s="120" t="s">
        <v>2236</v>
      </c>
      <c r="D21" s="126"/>
      <c r="E21" s="122" t="s">
        <v>2107</v>
      </c>
      <c r="F21" s="123">
        <v>5</v>
      </c>
      <c r="G21" s="366"/>
      <c r="H21" s="367"/>
      <c r="I21" s="124">
        <f t="shared" si="0"/>
        <v>0</v>
      </c>
      <c r="J21" s="124">
        <f t="shared" si="1"/>
        <v>0</v>
      </c>
    </row>
    <row r="22" spans="1:10" ht="12.75">
      <c r="A22" s="118" t="s">
        <v>2237</v>
      </c>
      <c r="B22" s="119"/>
      <c r="C22" s="120" t="s">
        <v>2238</v>
      </c>
      <c r="D22" s="126"/>
      <c r="E22" s="122" t="s">
        <v>2107</v>
      </c>
      <c r="F22" s="123">
        <v>3</v>
      </c>
      <c r="G22" s="366"/>
      <c r="H22" s="367"/>
      <c r="I22" s="124">
        <f t="shared" si="0"/>
        <v>0</v>
      </c>
      <c r="J22" s="124">
        <f t="shared" si="1"/>
        <v>0</v>
      </c>
    </row>
    <row r="23" spans="1:10" ht="12.75">
      <c r="A23" s="118"/>
      <c r="B23" s="119"/>
      <c r="C23" s="120" t="s">
        <v>2239</v>
      </c>
      <c r="D23" s="126"/>
      <c r="E23" s="122" t="s">
        <v>2216</v>
      </c>
      <c r="F23" s="123">
        <v>15</v>
      </c>
      <c r="G23" s="366"/>
      <c r="H23" s="367"/>
      <c r="I23" s="124">
        <f t="shared" si="0"/>
        <v>0</v>
      </c>
      <c r="J23" s="124">
        <f t="shared" si="1"/>
        <v>0</v>
      </c>
    </row>
    <row r="24" spans="1:10" ht="12.75">
      <c r="A24" s="118"/>
      <c r="B24" s="119"/>
      <c r="C24" s="120" t="s">
        <v>2240</v>
      </c>
      <c r="D24" s="126"/>
      <c r="E24" s="122" t="s">
        <v>2216</v>
      </c>
      <c r="F24" s="123">
        <v>5</v>
      </c>
      <c r="G24" s="366"/>
      <c r="H24" s="367"/>
      <c r="I24" s="124">
        <f t="shared" si="0"/>
        <v>0</v>
      </c>
      <c r="J24" s="124">
        <f t="shared" si="1"/>
        <v>0</v>
      </c>
    </row>
    <row r="25" spans="1:10" ht="12.75">
      <c r="A25" s="118"/>
      <c r="B25" s="119"/>
      <c r="C25" s="120" t="s">
        <v>2241</v>
      </c>
      <c r="D25" s="126"/>
      <c r="E25" s="122" t="s">
        <v>2216</v>
      </c>
      <c r="F25" s="123">
        <v>35</v>
      </c>
      <c r="G25" s="366"/>
      <c r="H25" s="367"/>
      <c r="I25" s="124">
        <f t="shared" si="0"/>
        <v>0</v>
      </c>
      <c r="J25" s="124">
        <f t="shared" si="1"/>
        <v>0</v>
      </c>
    </row>
    <row r="26" spans="1:10" ht="20.45" customHeight="1">
      <c r="A26" s="118"/>
      <c r="B26" s="119"/>
      <c r="C26" s="120" t="s">
        <v>2243</v>
      </c>
      <c r="D26" s="127"/>
      <c r="E26" s="122" t="s">
        <v>192</v>
      </c>
      <c r="F26" s="123">
        <v>74</v>
      </c>
      <c r="G26" s="366"/>
      <c r="H26" s="367"/>
      <c r="I26" s="124">
        <f t="shared" si="0"/>
        <v>0</v>
      </c>
      <c r="J26" s="124">
        <f t="shared" si="1"/>
        <v>0</v>
      </c>
    </row>
    <row r="27" spans="1:10" ht="12.75">
      <c r="A27" s="118"/>
      <c r="B27" s="119"/>
      <c r="C27" s="129" t="s">
        <v>2244</v>
      </c>
      <c r="D27" s="127"/>
      <c r="E27" s="122"/>
      <c r="F27" s="123"/>
      <c r="G27" s="366"/>
      <c r="H27" s="367"/>
      <c r="I27" s="124"/>
      <c r="J27" s="124"/>
    </row>
    <row r="28" spans="1:10" ht="12.75">
      <c r="A28" s="118"/>
      <c r="B28" s="119"/>
      <c r="C28" s="131" t="s">
        <v>2245</v>
      </c>
      <c r="D28" s="127"/>
      <c r="E28" s="122" t="s">
        <v>2216</v>
      </c>
      <c r="F28" s="123">
        <v>28</v>
      </c>
      <c r="G28" s="366"/>
      <c r="H28" s="367"/>
      <c r="I28" s="124">
        <f t="shared" si="0"/>
        <v>0</v>
      </c>
      <c r="J28" s="124">
        <f t="shared" si="1"/>
        <v>0</v>
      </c>
    </row>
    <row r="29" spans="1:10" ht="12.75">
      <c r="A29" s="118"/>
      <c r="B29" s="119"/>
      <c r="C29" s="131" t="s">
        <v>2246</v>
      </c>
      <c r="D29" s="127"/>
      <c r="E29" s="122" t="s">
        <v>2216</v>
      </c>
      <c r="F29" s="123">
        <v>32</v>
      </c>
      <c r="G29" s="366"/>
      <c r="H29" s="367"/>
      <c r="I29" s="124">
        <f t="shared" si="0"/>
        <v>0</v>
      </c>
      <c r="J29" s="124">
        <f t="shared" si="1"/>
        <v>0</v>
      </c>
    </row>
    <row r="30" spans="1:10" ht="12.75">
      <c r="A30" s="118"/>
      <c r="B30" s="119"/>
      <c r="C30" s="131" t="s">
        <v>2247</v>
      </c>
      <c r="D30" s="127"/>
      <c r="E30" s="122" t="s">
        <v>2216</v>
      </c>
      <c r="F30" s="123">
        <v>14</v>
      </c>
      <c r="G30" s="366"/>
      <c r="H30" s="367"/>
      <c r="I30" s="124">
        <f t="shared" si="0"/>
        <v>0</v>
      </c>
      <c r="J30" s="124">
        <f t="shared" si="1"/>
        <v>0</v>
      </c>
    </row>
    <row r="31" spans="1:10" ht="12.75">
      <c r="A31" s="118"/>
      <c r="B31" s="119"/>
      <c r="C31" s="131" t="s">
        <v>2248</v>
      </c>
      <c r="D31" s="127"/>
      <c r="E31" s="122" t="s">
        <v>2216</v>
      </c>
      <c r="F31" s="123">
        <v>8</v>
      </c>
      <c r="G31" s="366"/>
      <c r="H31" s="367"/>
      <c r="I31" s="124">
        <f t="shared" si="0"/>
        <v>0</v>
      </c>
      <c r="J31" s="124">
        <f t="shared" si="1"/>
        <v>0</v>
      </c>
    </row>
    <row r="32" spans="1:10" ht="12.75">
      <c r="A32" s="118"/>
      <c r="B32" s="119"/>
      <c r="C32" s="131" t="s">
        <v>2249</v>
      </c>
      <c r="D32" s="127"/>
      <c r="E32" s="122" t="s">
        <v>2216</v>
      </c>
      <c r="F32" s="123">
        <v>19</v>
      </c>
      <c r="G32" s="366"/>
      <c r="H32" s="367"/>
      <c r="I32" s="124">
        <f t="shared" si="0"/>
        <v>0</v>
      </c>
      <c r="J32" s="124">
        <f t="shared" si="1"/>
        <v>0</v>
      </c>
    </row>
    <row r="33" spans="1:10" ht="12.75">
      <c r="A33" s="118"/>
      <c r="B33" s="119"/>
      <c r="C33" s="131" t="s">
        <v>2250</v>
      </c>
      <c r="D33" s="127"/>
      <c r="E33" s="122" t="s">
        <v>2216</v>
      </c>
      <c r="F33" s="123">
        <v>35</v>
      </c>
      <c r="G33" s="366"/>
      <c r="H33" s="367"/>
      <c r="I33" s="124">
        <f t="shared" si="0"/>
        <v>0</v>
      </c>
      <c r="J33" s="124">
        <f t="shared" si="1"/>
        <v>0</v>
      </c>
    </row>
    <row r="34" spans="1:10" ht="12.75">
      <c r="A34" s="118"/>
      <c r="B34" s="119"/>
      <c r="C34" s="120" t="s">
        <v>2251</v>
      </c>
      <c r="D34" s="127" t="s">
        <v>2252</v>
      </c>
      <c r="E34" s="122" t="s">
        <v>192</v>
      </c>
      <c r="F34" s="123">
        <v>200</v>
      </c>
      <c r="G34" s="366"/>
      <c r="H34" s="367"/>
      <c r="I34" s="124">
        <f t="shared" si="0"/>
        <v>0</v>
      </c>
      <c r="J34" s="124">
        <f t="shared" si="1"/>
        <v>0</v>
      </c>
    </row>
    <row r="35" spans="1:10" ht="24">
      <c r="A35" s="118"/>
      <c r="B35" s="119"/>
      <c r="C35" s="132" t="s">
        <v>2253</v>
      </c>
      <c r="D35" s="130" t="s">
        <v>2254</v>
      </c>
      <c r="E35" s="122" t="s">
        <v>192</v>
      </c>
      <c r="F35" s="123">
        <v>40</v>
      </c>
      <c r="G35" s="366"/>
      <c r="H35" s="367"/>
      <c r="I35" s="124">
        <f t="shared" si="0"/>
        <v>0</v>
      </c>
      <c r="J35" s="124">
        <f t="shared" si="1"/>
        <v>0</v>
      </c>
    </row>
    <row r="36" spans="1:10" ht="25.5">
      <c r="A36" s="118"/>
      <c r="B36" s="119"/>
      <c r="C36" s="120" t="s">
        <v>2255</v>
      </c>
      <c r="D36" s="127" t="s">
        <v>2218</v>
      </c>
      <c r="E36" s="122" t="s">
        <v>192</v>
      </c>
      <c r="F36" s="123">
        <v>12</v>
      </c>
      <c r="G36" s="366"/>
      <c r="H36" s="367"/>
      <c r="I36" s="124">
        <f t="shared" si="0"/>
        <v>0</v>
      </c>
      <c r="J36" s="124">
        <f t="shared" si="1"/>
        <v>0</v>
      </c>
    </row>
    <row r="37" spans="1:10" ht="7.5" customHeight="1">
      <c r="A37" s="118"/>
      <c r="B37" s="119"/>
      <c r="C37" s="120"/>
      <c r="D37" s="127"/>
      <c r="E37" s="122"/>
      <c r="F37" s="123"/>
      <c r="G37" s="124"/>
      <c r="H37" s="125"/>
      <c r="I37" s="124"/>
      <c r="J37" s="124"/>
    </row>
    <row r="38" spans="1:10" ht="12.75">
      <c r="A38" s="118"/>
      <c r="B38" s="119"/>
      <c r="C38" s="408" t="s">
        <v>2256</v>
      </c>
      <c r="D38" s="127"/>
      <c r="E38" s="122"/>
      <c r="F38" s="123"/>
      <c r="G38" s="124"/>
      <c r="H38" s="125"/>
      <c r="I38" s="124"/>
      <c r="J38" s="124"/>
    </row>
    <row r="39" spans="1:10" ht="25.5">
      <c r="A39" s="118" t="s">
        <v>2257</v>
      </c>
      <c r="B39" s="119"/>
      <c r="C39" s="120" t="s">
        <v>2213</v>
      </c>
      <c r="D39" s="127"/>
      <c r="E39" s="122" t="s">
        <v>2107</v>
      </c>
      <c r="F39" s="123">
        <v>1</v>
      </c>
      <c r="G39" s="366"/>
      <c r="H39" s="367"/>
      <c r="I39" s="124">
        <f aca="true" t="shared" si="2" ref="I39:I69">F39*G39</f>
        <v>0</v>
      </c>
      <c r="J39" s="124">
        <f aca="true" t="shared" si="3" ref="J39:J69">F39*H39</f>
        <v>0</v>
      </c>
    </row>
    <row r="40" spans="1:10" ht="25.5">
      <c r="A40" s="468" t="s">
        <v>2258</v>
      </c>
      <c r="B40" s="119"/>
      <c r="C40" s="120" t="s">
        <v>2259</v>
      </c>
      <c r="D40" s="127"/>
      <c r="E40" s="122" t="s">
        <v>2107</v>
      </c>
      <c r="F40" s="123">
        <v>1</v>
      </c>
      <c r="G40" s="366"/>
      <c r="H40" s="367"/>
      <c r="I40" s="124">
        <f t="shared" si="2"/>
        <v>0</v>
      </c>
      <c r="J40" s="124">
        <f t="shared" si="3"/>
        <v>0</v>
      </c>
    </row>
    <row r="41" spans="1:10" ht="12.75">
      <c r="A41" s="468"/>
      <c r="B41" s="119"/>
      <c r="C41" s="120" t="s">
        <v>2260</v>
      </c>
      <c r="D41" s="127"/>
      <c r="E41" s="122" t="s">
        <v>2107</v>
      </c>
      <c r="F41" s="123">
        <v>1</v>
      </c>
      <c r="G41" s="366"/>
      <c r="H41" s="367"/>
      <c r="I41" s="124">
        <f t="shared" si="2"/>
        <v>0</v>
      </c>
      <c r="J41" s="124">
        <f t="shared" si="3"/>
        <v>0</v>
      </c>
    </row>
    <row r="42" spans="1:10" ht="12.75">
      <c r="A42" s="468"/>
      <c r="B42" s="119"/>
      <c r="C42" s="120" t="s">
        <v>2261</v>
      </c>
      <c r="D42" s="127"/>
      <c r="E42" s="122" t="s">
        <v>2107</v>
      </c>
      <c r="F42" s="123">
        <v>1</v>
      </c>
      <c r="G42" s="366"/>
      <c r="H42" s="367"/>
      <c r="I42" s="124">
        <f t="shared" si="2"/>
        <v>0</v>
      </c>
      <c r="J42" s="124">
        <f t="shared" si="3"/>
        <v>0</v>
      </c>
    </row>
    <row r="43" spans="1:10" ht="25.5">
      <c r="A43" s="118"/>
      <c r="B43" s="119"/>
      <c r="C43" s="120" t="s">
        <v>2215</v>
      </c>
      <c r="D43" s="127"/>
      <c r="E43" s="122" t="s">
        <v>2216</v>
      </c>
      <c r="F43" s="123">
        <v>14</v>
      </c>
      <c r="G43" s="366"/>
      <c r="H43" s="367"/>
      <c r="I43" s="124">
        <f t="shared" si="2"/>
        <v>0</v>
      </c>
      <c r="J43" s="124">
        <f t="shared" si="3"/>
        <v>0</v>
      </c>
    </row>
    <row r="44" spans="1:10" ht="12.75">
      <c r="A44" s="118"/>
      <c r="B44" s="119"/>
      <c r="C44" s="120" t="s">
        <v>2217</v>
      </c>
      <c r="D44" s="127" t="s">
        <v>2218</v>
      </c>
      <c r="E44" s="122" t="s">
        <v>2216</v>
      </c>
      <c r="F44" s="123">
        <v>4</v>
      </c>
      <c r="G44" s="366"/>
      <c r="H44" s="367"/>
      <c r="I44" s="124">
        <f t="shared" si="2"/>
        <v>0</v>
      </c>
      <c r="J44" s="124">
        <f t="shared" si="3"/>
        <v>0</v>
      </c>
    </row>
    <row r="45" spans="1:10" ht="12.75">
      <c r="A45" s="118"/>
      <c r="B45" s="119"/>
      <c r="C45" s="120" t="s">
        <v>2219</v>
      </c>
      <c r="D45" s="127"/>
      <c r="E45" s="122" t="s">
        <v>2107</v>
      </c>
      <c r="F45" s="123">
        <v>2</v>
      </c>
      <c r="G45" s="366"/>
      <c r="H45" s="367"/>
      <c r="I45" s="124">
        <f t="shared" si="2"/>
        <v>0</v>
      </c>
      <c r="J45" s="124">
        <f t="shared" si="3"/>
        <v>0</v>
      </c>
    </row>
    <row r="46" spans="1:10" ht="16.9" customHeight="1">
      <c r="A46" s="118"/>
      <c r="B46" s="119"/>
      <c r="C46" s="120"/>
      <c r="D46" s="127"/>
      <c r="E46" s="122"/>
      <c r="F46" s="123"/>
      <c r="G46" s="124"/>
      <c r="H46" s="125"/>
      <c r="I46" s="124"/>
      <c r="J46" s="124"/>
    </row>
    <row r="47" spans="1:10" ht="12.75">
      <c r="A47" s="118"/>
      <c r="B47" s="119"/>
      <c r="C47" s="408" t="s">
        <v>2262</v>
      </c>
      <c r="D47" s="127"/>
      <c r="E47" s="122"/>
      <c r="F47" s="123"/>
      <c r="G47" s="124"/>
      <c r="H47" s="125"/>
      <c r="I47" s="124"/>
      <c r="J47" s="124"/>
    </row>
    <row r="48" spans="1:10" ht="153">
      <c r="A48" s="118" t="s">
        <v>2263</v>
      </c>
      <c r="B48" s="119"/>
      <c r="C48" s="120" t="s">
        <v>2264</v>
      </c>
      <c r="D48" s="121" t="s">
        <v>2265</v>
      </c>
      <c r="E48" s="122" t="s">
        <v>2064</v>
      </c>
      <c r="F48" s="123">
        <v>1</v>
      </c>
      <c r="G48" s="366"/>
      <c r="H48" s="367"/>
      <c r="I48" s="124">
        <f t="shared" si="2"/>
        <v>0</v>
      </c>
      <c r="J48" s="124">
        <f t="shared" si="3"/>
        <v>0</v>
      </c>
    </row>
    <row r="49" spans="1:10" ht="12.75">
      <c r="A49" s="118" t="s">
        <v>2266</v>
      </c>
      <c r="B49" s="119"/>
      <c r="C49" s="120" t="s">
        <v>2267</v>
      </c>
      <c r="D49" s="121"/>
      <c r="E49" s="122" t="s">
        <v>2107</v>
      </c>
      <c r="F49" s="123">
        <v>4</v>
      </c>
      <c r="G49" s="366"/>
      <c r="H49" s="367"/>
      <c r="I49" s="124">
        <f t="shared" si="2"/>
        <v>0</v>
      </c>
      <c r="J49" s="124">
        <f t="shared" si="3"/>
        <v>0</v>
      </c>
    </row>
    <row r="50" spans="1:10" ht="25.5">
      <c r="A50" s="468" t="s">
        <v>2268</v>
      </c>
      <c r="B50" s="119"/>
      <c r="C50" s="120" t="s">
        <v>2227</v>
      </c>
      <c r="D50" s="126"/>
      <c r="E50" s="122" t="s">
        <v>2107</v>
      </c>
      <c r="F50" s="123">
        <v>4</v>
      </c>
      <c r="G50" s="366"/>
      <c r="H50" s="367"/>
      <c r="I50" s="124">
        <f t="shared" si="2"/>
        <v>0</v>
      </c>
      <c r="J50" s="124">
        <f t="shared" si="3"/>
        <v>0</v>
      </c>
    </row>
    <row r="51" spans="1:10" ht="12.75">
      <c r="A51" s="468"/>
      <c r="B51" s="119"/>
      <c r="C51" s="120" t="s">
        <v>2228</v>
      </c>
      <c r="D51" s="126"/>
      <c r="E51" s="122" t="s">
        <v>2107</v>
      </c>
      <c r="F51" s="123">
        <v>4</v>
      </c>
      <c r="G51" s="366"/>
      <c r="H51" s="367"/>
      <c r="I51" s="124">
        <f t="shared" si="2"/>
        <v>0</v>
      </c>
      <c r="J51" s="124">
        <f t="shared" si="3"/>
        <v>0</v>
      </c>
    </row>
    <row r="52" spans="1:10" ht="25.5">
      <c r="A52" s="468" t="s">
        <v>2269</v>
      </c>
      <c r="B52" s="119"/>
      <c r="C52" s="120" t="s">
        <v>2227</v>
      </c>
      <c r="D52" s="126"/>
      <c r="E52" s="122" t="s">
        <v>2107</v>
      </c>
      <c r="F52" s="123">
        <v>4</v>
      </c>
      <c r="G52" s="366"/>
      <c r="H52" s="367"/>
      <c r="I52" s="124">
        <f t="shared" si="2"/>
        <v>0</v>
      </c>
      <c r="J52" s="124">
        <f t="shared" si="3"/>
        <v>0</v>
      </c>
    </row>
    <row r="53" spans="1:10" ht="12.75">
      <c r="A53" s="468"/>
      <c r="B53" s="119"/>
      <c r="C53" s="120" t="s">
        <v>2230</v>
      </c>
      <c r="D53" s="126"/>
      <c r="E53" s="122" t="s">
        <v>2107</v>
      </c>
      <c r="F53" s="123">
        <v>4</v>
      </c>
      <c r="G53" s="366"/>
      <c r="H53" s="367"/>
      <c r="I53" s="124">
        <f t="shared" si="2"/>
        <v>0</v>
      </c>
      <c r="J53" s="124">
        <f t="shared" si="3"/>
        <v>0</v>
      </c>
    </row>
    <row r="54" spans="1:10" ht="12.75">
      <c r="A54" s="118" t="s">
        <v>2270</v>
      </c>
      <c r="B54" s="119"/>
      <c r="C54" s="120" t="s">
        <v>2232</v>
      </c>
      <c r="D54" s="126"/>
      <c r="E54" s="122" t="s">
        <v>2107</v>
      </c>
      <c r="F54" s="123">
        <v>5</v>
      </c>
      <c r="G54" s="366"/>
      <c r="H54" s="367"/>
      <c r="I54" s="124">
        <f t="shared" si="2"/>
        <v>0</v>
      </c>
      <c r="J54" s="124">
        <f t="shared" si="3"/>
        <v>0</v>
      </c>
    </row>
    <row r="55" spans="1:10" ht="25.5">
      <c r="A55" s="118" t="s">
        <v>2271</v>
      </c>
      <c r="B55" s="119"/>
      <c r="C55" s="120" t="s">
        <v>2234</v>
      </c>
      <c r="D55" s="126"/>
      <c r="E55" s="122" t="s">
        <v>2107</v>
      </c>
      <c r="F55" s="123">
        <v>4</v>
      </c>
      <c r="G55" s="366"/>
      <c r="H55" s="367"/>
      <c r="I55" s="124">
        <f t="shared" si="2"/>
        <v>0</v>
      </c>
      <c r="J55" s="124">
        <f t="shared" si="3"/>
        <v>0</v>
      </c>
    </row>
    <row r="56" spans="1:10" ht="12.75">
      <c r="A56" s="118" t="s">
        <v>2272</v>
      </c>
      <c r="B56" s="119"/>
      <c r="C56" s="120" t="s">
        <v>2236</v>
      </c>
      <c r="D56" s="126"/>
      <c r="E56" s="122" t="s">
        <v>2107</v>
      </c>
      <c r="F56" s="123">
        <v>2</v>
      </c>
      <c r="G56" s="366"/>
      <c r="H56" s="367"/>
      <c r="I56" s="124">
        <f t="shared" si="2"/>
        <v>0</v>
      </c>
      <c r="J56" s="124">
        <f t="shared" si="3"/>
        <v>0</v>
      </c>
    </row>
    <row r="57" spans="1:10" ht="12.75">
      <c r="A57" s="118" t="s">
        <v>2273</v>
      </c>
      <c r="B57" s="119"/>
      <c r="C57" s="120" t="s">
        <v>2238</v>
      </c>
      <c r="D57" s="126"/>
      <c r="E57" s="122" t="s">
        <v>2107</v>
      </c>
      <c r="F57" s="123">
        <v>1</v>
      </c>
      <c r="G57" s="366"/>
      <c r="H57" s="367"/>
      <c r="I57" s="124">
        <f t="shared" si="2"/>
        <v>0</v>
      </c>
      <c r="J57" s="124">
        <f t="shared" si="3"/>
        <v>0</v>
      </c>
    </row>
    <row r="58" spans="1:10" ht="12.75">
      <c r="A58" s="118"/>
      <c r="B58" s="119"/>
      <c r="C58" s="120" t="s">
        <v>2239</v>
      </c>
      <c r="D58" s="126"/>
      <c r="E58" s="122" t="s">
        <v>2216</v>
      </c>
      <c r="F58" s="123">
        <v>8</v>
      </c>
      <c r="G58" s="366"/>
      <c r="H58" s="367"/>
      <c r="I58" s="124">
        <f t="shared" si="2"/>
        <v>0</v>
      </c>
      <c r="J58" s="124">
        <f t="shared" si="3"/>
        <v>0</v>
      </c>
    </row>
    <row r="59" spans="1:10" ht="12.75">
      <c r="A59" s="118"/>
      <c r="B59" s="119"/>
      <c r="C59" s="120" t="s">
        <v>2240</v>
      </c>
      <c r="D59" s="126"/>
      <c r="E59" s="122" t="s">
        <v>2216</v>
      </c>
      <c r="F59" s="123">
        <v>3</v>
      </c>
      <c r="G59" s="366"/>
      <c r="H59" s="367"/>
      <c r="I59" s="124">
        <f t="shared" si="2"/>
        <v>0</v>
      </c>
      <c r="J59" s="124">
        <f t="shared" si="3"/>
        <v>0</v>
      </c>
    </row>
    <row r="60" spans="1:10" ht="12.75">
      <c r="A60" s="118"/>
      <c r="B60" s="119"/>
      <c r="C60" s="120" t="s">
        <v>2241</v>
      </c>
      <c r="D60" s="126"/>
      <c r="E60" s="122" t="s">
        <v>2216</v>
      </c>
      <c r="F60" s="123">
        <v>12</v>
      </c>
      <c r="G60" s="366"/>
      <c r="H60" s="367"/>
      <c r="I60" s="124">
        <f t="shared" si="2"/>
        <v>0</v>
      </c>
      <c r="J60" s="124">
        <f t="shared" si="3"/>
        <v>0</v>
      </c>
    </row>
    <row r="61" spans="1:10" ht="12.75">
      <c r="A61" s="118"/>
      <c r="B61" s="119"/>
      <c r="C61" s="120"/>
      <c r="D61" s="127"/>
      <c r="E61" s="122"/>
      <c r="F61" s="123"/>
      <c r="G61" s="366"/>
      <c r="H61" s="367"/>
      <c r="I61" s="124">
        <f t="shared" si="2"/>
        <v>0</v>
      </c>
      <c r="J61" s="124">
        <f t="shared" si="3"/>
        <v>0</v>
      </c>
    </row>
    <row r="62" spans="1:10" ht="12.75">
      <c r="A62" s="118"/>
      <c r="B62" s="119"/>
      <c r="C62" s="129" t="s">
        <v>2244</v>
      </c>
      <c r="D62" s="127"/>
      <c r="E62" s="122"/>
      <c r="F62" s="123"/>
      <c r="G62" s="366"/>
      <c r="H62" s="367"/>
      <c r="I62" s="124">
        <f t="shared" si="2"/>
        <v>0</v>
      </c>
      <c r="J62" s="124">
        <f t="shared" si="3"/>
        <v>0</v>
      </c>
    </row>
    <row r="63" spans="1:10" ht="12.75">
      <c r="A63" s="118"/>
      <c r="B63" s="119"/>
      <c r="C63" s="131" t="s">
        <v>2274</v>
      </c>
      <c r="D63" s="127"/>
      <c r="E63" s="122" t="s">
        <v>2216</v>
      </c>
      <c r="F63" s="123">
        <v>11</v>
      </c>
      <c r="G63" s="366"/>
      <c r="H63" s="367"/>
      <c r="I63" s="124">
        <f t="shared" si="2"/>
        <v>0</v>
      </c>
      <c r="J63" s="124">
        <f t="shared" si="3"/>
        <v>0</v>
      </c>
    </row>
    <row r="64" spans="1:10" ht="12.75">
      <c r="A64" s="118"/>
      <c r="B64" s="119"/>
      <c r="C64" s="131" t="s">
        <v>2245</v>
      </c>
      <c r="D64" s="127"/>
      <c r="E64" s="122" t="s">
        <v>2216</v>
      </c>
      <c r="F64" s="123">
        <v>14</v>
      </c>
      <c r="G64" s="366"/>
      <c r="H64" s="367"/>
      <c r="I64" s="124">
        <f t="shared" si="2"/>
        <v>0</v>
      </c>
      <c r="J64" s="124">
        <f t="shared" si="3"/>
        <v>0</v>
      </c>
    </row>
    <row r="65" spans="1:10" ht="12.75">
      <c r="A65" s="118"/>
      <c r="B65" s="119"/>
      <c r="C65" s="131" t="s">
        <v>2246</v>
      </c>
      <c r="D65" s="127"/>
      <c r="E65" s="122" t="s">
        <v>2216</v>
      </c>
      <c r="F65" s="123">
        <v>24</v>
      </c>
      <c r="G65" s="366"/>
      <c r="H65" s="367"/>
      <c r="I65" s="124">
        <f t="shared" si="2"/>
        <v>0</v>
      </c>
      <c r="J65" s="124">
        <f t="shared" si="3"/>
        <v>0</v>
      </c>
    </row>
    <row r="66" spans="1:10" ht="12.75">
      <c r="A66" s="118"/>
      <c r="B66" s="119"/>
      <c r="C66" s="131" t="s">
        <v>2247</v>
      </c>
      <c r="D66" s="127"/>
      <c r="E66" s="122" t="s">
        <v>2216</v>
      </c>
      <c r="F66" s="123">
        <v>40</v>
      </c>
      <c r="G66" s="366"/>
      <c r="H66" s="367"/>
      <c r="I66" s="124">
        <f t="shared" si="2"/>
        <v>0</v>
      </c>
      <c r="J66" s="124">
        <f t="shared" si="3"/>
        <v>0</v>
      </c>
    </row>
    <row r="67" spans="1:10" ht="12.75">
      <c r="A67" s="118"/>
      <c r="B67" s="119"/>
      <c r="C67" s="120"/>
      <c r="D67" s="127"/>
      <c r="E67" s="122"/>
      <c r="F67" s="123"/>
      <c r="G67" s="366"/>
      <c r="H67" s="367"/>
      <c r="I67" s="124">
        <f t="shared" si="2"/>
        <v>0</v>
      </c>
      <c r="J67" s="124">
        <f t="shared" si="3"/>
        <v>0</v>
      </c>
    </row>
    <row r="68" spans="1:10" ht="12.75">
      <c r="A68" s="118"/>
      <c r="B68" s="119"/>
      <c r="C68" s="120" t="s">
        <v>2251</v>
      </c>
      <c r="D68" s="127" t="s">
        <v>2252</v>
      </c>
      <c r="E68" s="122" t="s">
        <v>192</v>
      </c>
      <c r="F68" s="123">
        <v>78</v>
      </c>
      <c r="G68" s="366"/>
      <c r="H68" s="367"/>
      <c r="I68" s="124">
        <f t="shared" si="2"/>
        <v>0</v>
      </c>
      <c r="J68" s="124">
        <f t="shared" si="3"/>
        <v>0</v>
      </c>
    </row>
    <row r="69" spans="1:10" ht="24">
      <c r="A69" s="118"/>
      <c r="B69" s="119"/>
      <c r="C69" s="132" t="s">
        <v>2253</v>
      </c>
      <c r="D69" s="130" t="s">
        <v>2254</v>
      </c>
      <c r="E69" s="122" t="s">
        <v>192</v>
      </c>
      <c r="F69" s="123">
        <v>14</v>
      </c>
      <c r="G69" s="366"/>
      <c r="H69" s="367"/>
      <c r="I69" s="124">
        <f t="shared" si="2"/>
        <v>0</v>
      </c>
      <c r="J69" s="124">
        <f t="shared" si="3"/>
        <v>0</v>
      </c>
    </row>
    <row r="70" spans="1:10" ht="7.5" customHeight="1">
      <c r="A70" s="118"/>
      <c r="B70" s="119"/>
      <c r="C70" s="132"/>
      <c r="D70" s="130"/>
      <c r="E70" s="122"/>
      <c r="F70" s="123"/>
      <c r="G70" s="124"/>
      <c r="H70" s="125"/>
      <c r="I70" s="124"/>
      <c r="J70" s="124"/>
    </row>
    <row r="71" spans="1:10" ht="12.75">
      <c r="A71" s="118"/>
      <c r="B71" s="119"/>
      <c r="C71" s="408" t="s">
        <v>2275</v>
      </c>
      <c r="D71" s="130"/>
      <c r="E71" s="122"/>
      <c r="F71" s="123"/>
      <c r="G71" s="124"/>
      <c r="H71" s="125"/>
      <c r="I71" s="124"/>
      <c r="J71" s="124"/>
    </row>
    <row r="72" spans="1:10" ht="25.5">
      <c r="A72" s="118" t="s">
        <v>2276</v>
      </c>
      <c r="B72" s="119"/>
      <c r="C72" s="132" t="s">
        <v>2277</v>
      </c>
      <c r="D72" s="130"/>
      <c r="E72" s="122" t="s">
        <v>2107</v>
      </c>
      <c r="F72" s="123">
        <v>2</v>
      </c>
      <c r="G72" s="366"/>
      <c r="H72" s="367"/>
      <c r="I72" s="124">
        <f aca="true" t="shared" si="4" ref="I72:I83">F72*G72</f>
        <v>0</v>
      </c>
      <c r="J72" s="124">
        <f aca="true" t="shared" si="5" ref="J72:J83">F72*H72</f>
        <v>0</v>
      </c>
    </row>
    <row r="73" spans="1:10" ht="38.25">
      <c r="A73" s="118" t="s">
        <v>2278</v>
      </c>
      <c r="B73" s="119"/>
      <c r="C73" s="132" t="s">
        <v>2279</v>
      </c>
      <c r="D73" s="130"/>
      <c r="E73" s="122" t="s">
        <v>2107</v>
      </c>
      <c r="F73" s="123">
        <v>2</v>
      </c>
      <c r="G73" s="366"/>
      <c r="H73" s="367"/>
      <c r="I73" s="124">
        <f t="shared" si="4"/>
        <v>0</v>
      </c>
      <c r="J73" s="124">
        <f t="shared" si="5"/>
        <v>0</v>
      </c>
    </row>
    <row r="74" spans="1:10" ht="12.75">
      <c r="A74" s="118" t="s">
        <v>2280</v>
      </c>
      <c r="B74" s="119"/>
      <c r="C74" s="132" t="s">
        <v>2281</v>
      </c>
      <c r="D74" s="130"/>
      <c r="E74" s="122" t="s">
        <v>2107</v>
      </c>
      <c r="F74" s="123">
        <v>2</v>
      </c>
      <c r="G74" s="366"/>
      <c r="H74" s="367"/>
      <c r="I74" s="124">
        <f t="shared" si="4"/>
        <v>0</v>
      </c>
      <c r="J74" s="124">
        <f t="shared" si="5"/>
        <v>0</v>
      </c>
    </row>
    <row r="75" spans="1:10" ht="12.75">
      <c r="A75" s="118" t="s">
        <v>2282</v>
      </c>
      <c r="B75" s="119"/>
      <c r="C75" s="132" t="s">
        <v>2283</v>
      </c>
      <c r="D75" s="130"/>
      <c r="E75" s="122" t="s">
        <v>2107</v>
      </c>
      <c r="F75" s="123">
        <v>2</v>
      </c>
      <c r="G75" s="366"/>
      <c r="H75" s="367"/>
      <c r="I75" s="124">
        <f t="shared" si="4"/>
        <v>0</v>
      </c>
      <c r="J75" s="124">
        <f t="shared" si="5"/>
        <v>0</v>
      </c>
    </row>
    <row r="76" spans="1:10" ht="12.75">
      <c r="A76" s="118" t="s">
        <v>2284</v>
      </c>
      <c r="B76" s="119"/>
      <c r="C76" s="120" t="s">
        <v>2232</v>
      </c>
      <c r="D76" s="126"/>
      <c r="E76" s="122" t="s">
        <v>2107</v>
      </c>
      <c r="F76" s="123">
        <v>10</v>
      </c>
      <c r="G76" s="366"/>
      <c r="H76" s="367"/>
      <c r="I76" s="124">
        <f t="shared" si="4"/>
        <v>0</v>
      </c>
      <c r="J76" s="124">
        <f t="shared" si="5"/>
        <v>0</v>
      </c>
    </row>
    <row r="77" spans="1:10" ht="12.75">
      <c r="A77" s="118"/>
      <c r="B77" s="119"/>
      <c r="C77" s="120" t="s">
        <v>2239</v>
      </c>
      <c r="D77" s="126"/>
      <c r="E77" s="122" t="s">
        <v>2216</v>
      </c>
      <c r="F77" s="123">
        <v>15</v>
      </c>
      <c r="G77" s="366"/>
      <c r="H77" s="367"/>
      <c r="I77" s="124">
        <f t="shared" si="4"/>
        <v>0</v>
      </c>
      <c r="J77" s="124">
        <f t="shared" si="5"/>
        <v>0</v>
      </c>
    </row>
    <row r="78" spans="1:10" ht="12.75">
      <c r="A78" s="118"/>
      <c r="B78" s="119"/>
      <c r="C78" s="129" t="s">
        <v>2244</v>
      </c>
      <c r="D78" s="127"/>
      <c r="E78" s="122"/>
      <c r="F78" s="123"/>
      <c r="G78" s="366"/>
      <c r="H78" s="367"/>
      <c r="I78" s="124"/>
      <c r="J78" s="124"/>
    </row>
    <row r="79" spans="1:10" ht="12.75">
      <c r="A79" s="118"/>
      <c r="B79" s="119"/>
      <c r="C79" s="131" t="s">
        <v>2285</v>
      </c>
      <c r="D79" s="127"/>
      <c r="E79" s="122" t="s">
        <v>2216</v>
      </c>
      <c r="F79" s="123">
        <v>4</v>
      </c>
      <c r="G79" s="366"/>
      <c r="H79" s="367"/>
      <c r="I79" s="124">
        <f t="shared" si="4"/>
        <v>0</v>
      </c>
      <c r="J79" s="124">
        <f t="shared" si="5"/>
        <v>0</v>
      </c>
    </row>
    <row r="80" spans="1:10" ht="12.75">
      <c r="A80" s="118"/>
      <c r="B80" s="119"/>
      <c r="C80" s="131" t="s">
        <v>2274</v>
      </c>
      <c r="D80" s="127"/>
      <c r="E80" s="122" t="s">
        <v>2216</v>
      </c>
      <c r="F80" s="123">
        <v>10</v>
      </c>
      <c r="G80" s="366"/>
      <c r="H80" s="367"/>
      <c r="I80" s="124">
        <f t="shared" si="4"/>
        <v>0</v>
      </c>
      <c r="J80" s="124">
        <f t="shared" si="5"/>
        <v>0</v>
      </c>
    </row>
    <row r="81" spans="1:10" ht="12.75">
      <c r="A81" s="118"/>
      <c r="B81" s="119"/>
      <c r="C81" s="131" t="s">
        <v>2245</v>
      </c>
      <c r="D81" s="127"/>
      <c r="E81" s="122" t="s">
        <v>2216</v>
      </c>
      <c r="F81" s="123">
        <v>12</v>
      </c>
      <c r="G81" s="366"/>
      <c r="H81" s="367"/>
      <c r="I81" s="124">
        <f t="shared" si="4"/>
        <v>0</v>
      </c>
      <c r="J81" s="124">
        <f t="shared" si="5"/>
        <v>0</v>
      </c>
    </row>
    <row r="82" spans="1:10" ht="12.75">
      <c r="A82" s="118"/>
      <c r="B82" s="119"/>
      <c r="C82" s="120" t="s">
        <v>2251</v>
      </c>
      <c r="D82" s="127" t="s">
        <v>2252</v>
      </c>
      <c r="E82" s="122" t="s">
        <v>192</v>
      </c>
      <c r="F82" s="123">
        <v>20</v>
      </c>
      <c r="G82" s="366"/>
      <c r="H82" s="367"/>
      <c r="I82" s="124">
        <f t="shared" si="4"/>
        <v>0</v>
      </c>
      <c r="J82" s="124">
        <f t="shared" si="5"/>
        <v>0</v>
      </c>
    </row>
    <row r="83" spans="1:10" ht="25.5">
      <c r="A83" s="118"/>
      <c r="B83" s="119"/>
      <c r="C83" s="120" t="s">
        <v>2286</v>
      </c>
      <c r="D83" s="127" t="s">
        <v>2218</v>
      </c>
      <c r="E83" s="122" t="s">
        <v>192</v>
      </c>
      <c r="F83" s="123">
        <v>3</v>
      </c>
      <c r="G83" s="366"/>
      <c r="H83" s="367"/>
      <c r="I83" s="124">
        <f t="shared" si="4"/>
        <v>0</v>
      </c>
      <c r="J83" s="124">
        <f t="shared" si="5"/>
        <v>0</v>
      </c>
    </row>
    <row r="84" spans="1:10" ht="7.5" customHeight="1">
      <c r="A84" s="118"/>
      <c r="B84" s="119"/>
      <c r="C84" s="132"/>
      <c r="D84" s="130"/>
      <c r="E84" s="122"/>
      <c r="F84" s="123"/>
      <c r="G84" s="124"/>
      <c r="H84" s="125"/>
      <c r="I84" s="124"/>
      <c r="J84" s="124"/>
    </row>
    <row r="85" spans="1:10" ht="12.75">
      <c r="A85" s="118"/>
      <c r="B85" s="119"/>
      <c r="C85" s="408" t="s">
        <v>2287</v>
      </c>
      <c r="D85" s="130"/>
      <c r="E85" s="122"/>
      <c r="F85" s="123"/>
      <c r="G85" s="124"/>
      <c r="H85" s="125"/>
      <c r="I85" s="124"/>
      <c r="J85" s="124"/>
    </row>
    <row r="86" spans="1:10" ht="153">
      <c r="A86" s="118" t="s">
        <v>2288</v>
      </c>
      <c r="B86" s="119"/>
      <c r="C86" s="120" t="s">
        <v>2289</v>
      </c>
      <c r="D86" s="121" t="s">
        <v>2290</v>
      </c>
      <c r="E86" s="122" t="s">
        <v>2064</v>
      </c>
      <c r="F86" s="123">
        <v>1</v>
      </c>
      <c r="G86" s="366"/>
      <c r="H86" s="367"/>
      <c r="I86" s="124">
        <f aca="true" t="shared" si="6" ref="I86:I107">F86*G86</f>
        <v>0</v>
      </c>
      <c r="J86" s="124">
        <f aca="true" t="shared" si="7" ref="J86:J107">F86*H86</f>
        <v>0</v>
      </c>
    </row>
    <row r="87" spans="1:10" ht="12.75">
      <c r="A87" s="118" t="s">
        <v>2291</v>
      </c>
      <c r="B87" s="119"/>
      <c r="C87" s="120" t="s">
        <v>2292</v>
      </c>
      <c r="D87" s="126"/>
      <c r="E87" s="122" t="s">
        <v>2107</v>
      </c>
      <c r="F87" s="123">
        <v>2</v>
      </c>
      <c r="G87" s="366"/>
      <c r="H87" s="367"/>
      <c r="I87" s="124">
        <f t="shared" si="6"/>
        <v>0</v>
      </c>
      <c r="J87" s="124">
        <f t="shared" si="7"/>
        <v>0</v>
      </c>
    </row>
    <row r="88" spans="1:10" ht="12.75">
      <c r="A88" s="118" t="s">
        <v>2293</v>
      </c>
      <c r="B88" s="119"/>
      <c r="C88" s="120" t="s">
        <v>2223</v>
      </c>
      <c r="D88" s="126"/>
      <c r="E88" s="122" t="s">
        <v>2107</v>
      </c>
      <c r="F88" s="123">
        <v>9</v>
      </c>
      <c r="G88" s="366"/>
      <c r="H88" s="367"/>
      <c r="I88" s="124">
        <f t="shared" si="6"/>
        <v>0</v>
      </c>
      <c r="J88" s="124">
        <f t="shared" si="7"/>
        <v>0</v>
      </c>
    </row>
    <row r="89" spans="1:10" ht="12.75">
      <c r="A89" s="118" t="s">
        <v>2294</v>
      </c>
      <c r="B89" s="119"/>
      <c r="C89" s="120" t="s">
        <v>2225</v>
      </c>
      <c r="D89" s="126"/>
      <c r="E89" s="122" t="s">
        <v>2107</v>
      </c>
      <c r="F89" s="123">
        <v>2</v>
      </c>
      <c r="G89" s="366"/>
      <c r="H89" s="367"/>
      <c r="I89" s="124">
        <f t="shared" si="6"/>
        <v>0</v>
      </c>
      <c r="J89" s="124">
        <f t="shared" si="7"/>
        <v>0</v>
      </c>
    </row>
    <row r="90" spans="1:10" ht="51">
      <c r="A90" s="118" t="s">
        <v>2295</v>
      </c>
      <c r="B90" s="119"/>
      <c r="C90" s="120" t="s">
        <v>2296</v>
      </c>
      <c r="D90" s="126"/>
      <c r="E90" s="122" t="s">
        <v>2064</v>
      </c>
      <c r="F90" s="123">
        <v>1</v>
      </c>
      <c r="G90" s="366"/>
      <c r="H90" s="367"/>
      <c r="I90" s="124">
        <f t="shared" si="6"/>
        <v>0</v>
      </c>
      <c r="J90" s="124">
        <f t="shared" si="7"/>
        <v>0</v>
      </c>
    </row>
    <row r="91" spans="1:10" ht="25.5">
      <c r="A91" s="118" t="s">
        <v>2297</v>
      </c>
      <c r="B91" s="119"/>
      <c r="C91" s="120" t="s">
        <v>2298</v>
      </c>
      <c r="D91" s="126"/>
      <c r="E91" s="122" t="s">
        <v>2107</v>
      </c>
      <c r="F91" s="123">
        <v>26</v>
      </c>
      <c r="G91" s="366"/>
      <c r="H91" s="367"/>
      <c r="I91" s="124">
        <f t="shared" si="6"/>
        <v>0</v>
      </c>
      <c r="J91" s="124">
        <f t="shared" si="7"/>
        <v>0</v>
      </c>
    </row>
    <row r="92" spans="1:10" ht="25.5">
      <c r="A92" s="118" t="s">
        <v>2299</v>
      </c>
      <c r="B92" s="119"/>
      <c r="C92" s="120" t="s">
        <v>2300</v>
      </c>
      <c r="D92" s="126"/>
      <c r="E92" s="122" t="s">
        <v>2107</v>
      </c>
      <c r="F92" s="123">
        <v>1</v>
      </c>
      <c r="G92" s="366"/>
      <c r="H92" s="367"/>
      <c r="I92" s="124">
        <f t="shared" si="6"/>
        <v>0</v>
      </c>
      <c r="J92" s="124">
        <f t="shared" si="7"/>
        <v>0</v>
      </c>
    </row>
    <row r="93" spans="1:10" ht="25.5">
      <c r="A93" s="118" t="s">
        <v>2301</v>
      </c>
      <c r="B93" s="119"/>
      <c r="C93" s="120" t="s">
        <v>2302</v>
      </c>
      <c r="D93" s="126"/>
      <c r="E93" s="122" t="s">
        <v>2107</v>
      </c>
      <c r="F93" s="123">
        <v>1</v>
      </c>
      <c r="G93" s="366"/>
      <c r="H93" s="367"/>
      <c r="I93" s="124">
        <f t="shared" si="6"/>
        <v>0</v>
      </c>
      <c r="J93" s="124">
        <f t="shared" si="7"/>
        <v>0</v>
      </c>
    </row>
    <row r="94" spans="1:10" ht="12.75">
      <c r="A94" s="118" t="s">
        <v>2303</v>
      </c>
      <c r="B94" s="119"/>
      <c r="C94" s="120" t="s">
        <v>2238</v>
      </c>
      <c r="D94" s="126"/>
      <c r="E94" s="122" t="s">
        <v>2107</v>
      </c>
      <c r="F94" s="123">
        <v>1</v>
      </c>
      <c r="G94" s="366"/>
      <c r="H94" s="367"/>
      <c r="I94" s="124">
        <f t="shared" si="6"/>
        <v>0</v>
      </c>
      <c r="J94" s="124">
        <f t="shared" si="7"/>
        <v>0</v>
      </c>
    </row>
    <row r="95" spans="1:10" ht="12.75">
      <c r="A95" s="118" t="s">
        <v>2304</v>
      </c>
      <c r="B95" s="119"/>
      <c r="C95" s="120" t="s">
        <v>2305</v>
      </c>
      <c r="D95" s="126"/>
      <c r="E95" s="122" t="s">
        <v>2107</v>
      </c>
      <c r="F95" s="123">
        <v>1</v>
      </c>
      <c r="G95" s="366"/>
      <c r="H95" s="367"/>
      <c r="I95" s="124">
        <f t="shared" si="6"/>
        <v>0</v>
      </c>
      <c r="J95" s="124">
        <f t="shared" si="7"/>
        <v>0</v>
      </c>
    </row>
    <row r="96" spans="1:10" ht="7.5" customHeight="1">
      <c r="A96" s="118"/>
      <c r="B96" s="119"/>
      <c r="C96" s="120"/>
      <c r="D96" s="126"/>
      <c r="E96" s="122"/>
      <c r="F96" s="123"/>
      <c r="G96" s="366"/>
      <c r="H96" s="367"/>
      <c r="I96" s="124">
        <f t="shared" si="6"/>
        <v>0</v>
      </c>
      <c r="J96" s="124">
        <f t="shared" si="7"/>
        <v>0</v>
      </c>
    </row>
    <row r="97" spans="1:10" ht="25.5">
      <c r="A97" s="118"/>
      <c r="B97" s="119"/>
      <c r="C97" s="129" t="s">
        <v>2242</v>
      </c>
      <c r="D97" s="130"/>
      <c r="E97" s="122"/>
      <c r="F97" s="123"/>
      <c r="G97" s="366"/>
      <c r="H97" s="367"/>
      <c r="I97" s="124">
        <f t="shared" si="6"/>
        <v>0</v>
      </c>
      <c r="J97" s="124">
        <f t="shared" si="7"/>
        <v>0</v>
      </c>
    </row>
    <row r="98" spans="1:10" ht="12.75">
      <c r="A98" s="118"/>
      <c r="B98" s="119"/>
      <c r="C98" s="120" t="s">
        <v>2243</v>
      </c>
      <c r="D98" s="127"/>
      <c r="E98" s="122" t="s">
        <v>192</v>
      </c>
      <c r="F98" s="123">
        <v>90</v>
      </c>
      <c r="G98" s="366"/>
      <c r="H98" s="367"/>
      <c r="I98" s="124">
        <f t="shared" si="6"/>
        <v>0</v>
      </c>
      <c r="J98" s="124">
        <f t="shared" si="7"/>
        <v>0</v>
      </c>
    </row>
    <row r="99" spans="1:10" ht="12.75">
      <c r="A99" s="118"/>
      <c r="B99" s="119"/>
      <c r="C99" s="120"/>
      <c r="D99" s="127"/>
      <c r="E99" s="122"/>
      <c r="F99" s="123"/>
      <c r="G99" s="366"/>
      <c r="H99" s="367"/>
      <c r="I99" s="124">
        <f t="shared" si="6"/>
        <v>0</v>
      </c>
      <c r="J99" s="124">
        <f t="shared" si="7"/>
        <v>0</v>
      </c>
    </row>
    <row r="100" spans="1:10" ht="12.75">
      <c r="A100" s="118"/>
      <c r="B100" s="119"/>
      <c r="C100" s="129" t="s">
        <v>2244</v>
      </c>
      <c r="D100" s="127"/>
      <c r="E100" s="122"/>
      <c r="F100" s="123"/>
      <c r="G100" s="366"/>
      <c r="H100" s="367"/>
      <c r="I100" s="124">
        <f t="shared" si="6"/>
        <v>0</v>
      </c>
      <c r="J100" s="124">
        <f t="shared" si="7"/>
        <v>0</v>
      </c>
    </row>
    <row r="101" spans="1:10" ht="12.75">
      <c r="A101" s="118"/>
      <c r="B101" s="119"/>
      <c r="C101" s="131" t="s">
        <v>2274</v>
      </c>
      <c r="D101" s="127"/>
      <c r="E101" s="122" t="s">
        <v>2216</v>
      </c>
      <c r="F101" s="123">
        <v>11</v>
      </c>
      <c r="G101" s="366"/>
      <c r="H101" s="367"/>
      <c r="I101" s="124">
        <f t="shared" si="6"/>
        <v>0</v>
      </c>
      <c r="J101" s="124">
        <f t="shared" si="7"/>
        <v>0</v>
      </c>
    </row>
    <row r="102" spans="1:10" ht="12.75">
      <c r="A102" s="118"/>
      <c r="B102" s="119"/>
      <c r="C102" s="131" t="s">
        <v>2245</v>
      </c>
      <c r="D102" s="127"/>
      <c r="E102" s="122" t="s">
        <v>2216</v>
      </c>
      <c r="F102" s="123">
        <v>5</v>
      </c>
      <c r="G102" s="366"/>
      <c r="H102" s="367"/>
      <c r="I102" s="124">
        <f t="shared" si="6"/>
        <v>0</v>
      </c>
      <c r="J102" s="124">
        <f t="shared" si="7"/>
        <v>0</v>
      </c>
    </row>
    <row r="103" spans="1:10" ht="12.75">
      <c r="A103" s="118"/>
      <c r="B103" s="119"/>
      <c r="C103" s="131" t="s">
        <v>2246</v>
      </c>
      <c r="D103" s="127"/>
      <c r="E103" s="122" t="s">
        <v>2216</v>
      </c>
      <c r="F103" s="123">
        <v>1</v>
      </c>
      <c r="G103" s="366"/>
      <c r="H103" s="367"/>
      <c r="I103" s="124">
        <f t="shared" si="6"/>
        <v>0</v>
      </c>
      <c r="J103" s="124">
        <f t="shared" si="7"/>
        <v>0</v>
      </c>
    </row>
    <row r="104" spans="1:10" ht="12.75">
      <c r="A104" s="118"/>
      <c r="B104" s="119"/>
      <c r="C104" s="120"/>
      <c r="D104" s="127"/>
      <c r="E104" s="122"/>
      <c r="F104" s="123"/>
      <c r="G104" s="366"/>
      <c r="H104" s="367"/>
      <c r="I104" s="124">
        <f t="shared" si="6"/>
        <v>0</v>
      </c>
      <c r="J104" s="124">
        <f t="shared" si="7"/>
        <v>0</v>
      </c>
    </row>
    <row r="105" spans="1:10" ht="12.75">
      <c r="A105" s="118"/>
      <c r="B105" s="119"/>
      <c r="C105" s="120" t="s">
        <v>2251</v>
      </c>
      <c r="D105" s="127" t="s">
        <v>2252</v>
      </c>
      <c r="E105" s="122" t="s">
        <v>192</v>
      </c>
      <c r="F105" s="123">
        <v>64</v>
      </c>
      <c r="G105" s="366"/>
      <c r="H105" s="367"/>
      <c r="I105" s="124">
        <f t="shared" si="6"/>
        <v>0</v>
      </c>
      <c r="J105" s="124">
        <f t="shared" si="7"/>
        <v>0</v>
      </c>
    </row>
    <row r="106" spans="1:10" ht="24">
      <c r="A106" s="118"/>
      <c r="B106" s="119"/>
      <c r="C106" s="132" t="s">
        <v>2253</v>
      </c>
      <c r="D106" s="130" t="s">
        <v>2254</v>
      </c>
      <c r="E106" s="122" t="s">
        <v>192</v>
      </c>
      <c r="F106" s="123">
        <v>50</v>
      </c>
      <c r="G106" s="366"/>
      <c r="H106" s="367"/>
      <c r="I106" s="124">
        <f t="shared" si="6"/>
        <v>0</v>
      </c>
      <c r="J106" s="124">
        <f t="shared" si="7"/>
        <v>0</v>
      </c>
    </row>
    <row r="107" spans="1:10" ht="25.5">
      <c r="A107" s="118"/>
      <c r="B107" s="119"/>
      <c r="C107" s="120" t="s">
        <v>2255</v>
      </c>
      <c r="D107" s="127" t="s">
        <v>2218</v>
      </c>
      <c r="E107" s="122" t="s">
        <v>192</v>
      </c>
      <c r="F107" s="123">
        <v>12</v>
      </c>
      <c r="G107" s="366"/>
      <c r="H107" s="367"/>
      <c r="I107" s="124">
        <f t="shared" si="6"/>
        <v>0</v>
      </c>
      <c r="J107" s="124">
        <f t="shared" si="7"/>
        <v>0</v>
      </c>
    </row>
    <row r="108" spans="1:10" ht="25.5">
      <c r="A108" s="118"/>
      <c r="B108" s="119"/>
      <c r="C108" s="408" t="s">
        <v>2306</v>
      </c>
      <c r="D108" s="130"/>
      <c r="E108" s="122"/>
      <c r="F108" s="123"/>
      <c r="G108" s="124"/>
      <c r="H108" s="125"/>
      <c r="I108" s="124"/>
      <c r="J108" s="124"/>
    </row>
    <row r="109" spans="1:10" ht="38.25">
      <c r="A109" s="118" t="s">
        <v>2307</v>
      </c>
      <c r="B109" s="119"/>
      <c r="C109" s="132" t="s">
        <v>2279</v>
      </c>
      <c r="D109" s="130"/>
      <c r="E109" s="122" t="s">
        <v>2107</v>
      </c>
      <c r="F109" s="123">
        <v>2</v>
      </c>
      <c r="G109" s="366"/>
      <c r="H109" s="367"/>
      <c r="I109" s="124">
        <f aca="true" t="shared" si="8" ref="I109:I115">F109*G109</f>
        <v>0</v>
      </c>
      <c r="J109" s="124">
        <f aca="true" t="shared" si="9" ref="J109:J115">F109*H109</f>
        <v>0</v>
      </c>
    </row>
    <row r="110" spans="1:10" ht="12.75">
      <c r="A110" s="118" t="s">
        <v>2308</v>
      </c>
      <c r="B110" s="119"/>
      <c r="C110" s="132" t="s">
        <v>2309</v>
      </c>
      <c r="D110" s="130"/>
      <c r="E110" s="122" t="s">
        <v>2107</v>
      </c>
      <c r="F110" s="123">
        <v>1</v>
      </c>
      <c r="G110" s="366"/>
      <c r="H110" s="367"/>
      <c r="I110" s="124">
        <f t="shared" si="8"/>
        <v>0</v>
      </c>
      <c r="J110" s="124">
        <f t="shared" si="9"/>
        <v>0</v>
      </c>
    </row>
    <row r="111" spans="1:10" ht="12.75">
      <c r="A111" s="118"/>
      <c r="B111" s="119"/>
      <c r="C111" s="132"/>
      <c r="D111" s="130"/>
      <c r="E111" s="122"/>
      <c r="F111" s="123"/>
      <c r="G111" s="366"/>
      <c r="H111" s="367"/>
      <c r="I111" s="124">
        <f t="shared" si="8"/>
        <v>0</v>
      </c>
      <c r="J111" s="124">
        <f t="shared" si="9"/>
        <v>0</v>
      </c>
    </row>
    <row r="112" spans="1:10" ht="12.75">
      <c r="A112" s="118"/>
      <c r="B112" s="119"/>
      <c r="C112" s="120" t="s">
        <v>2310</v>
      </c>
      <c r="D112" s="126"/>
      <c r="E112" s="122" t="s">
        <v>2216</v>
      </c>
      <c r="F112" s="123">
        <v>3</v>
      </c>
      <c r="G112" s="366"/>
      <c r="H112" s="367"/>
      <c r="I112" s="124">
        <f t="shared" si="8"/>
        <v>0</v>
      </c>
      <c r="J112" s="124">
        <f t="shared" si="9"/>
        <v>0</v>
      </c>
    </row>
    <row r="113" spans="1:10" ht="12.75">
      <c r="A113" s="118"/>
      <c r="B113" s="119"/>
      <c r="C113" s="132"/>
      <c r="D113" s="130"/>
      <c r="E113" s="122"/>
      <c r="F113" s="123"/>
      <c r="G113" s="366"/>
      <c r="H113" s="367"/>
      <c r="I113" s="124">
        <f t="shared" si="8"/>
        <v>0</v>
      </c>
      <c r="J113" s="124">
        <f t="shared" si="9"/>
        <v>0</v>
      </c>
    </row>
    <row r="114" spans="1:10" ht="12.75">
      <c r="A114" s="118"/>
      <c r="B114" s="119"/>
      <c r="C114" s="129" t="s">
        <v>2244</v>
      </c>
      <c r="D114" s="127"/>
      <c r="E114" s="122"/>
      <c r="F114" s="123"/>
      <c r="G114" s="366"/>
      <c r="H114" s="367"/>
      <c r="I114" s="124">
        <f t="shared" si="8"/>
        <v>0</v>
      </c>
      <c r="J114" s="124">
        <f t="shared" si="9"/>
        <v>0</v>
      </c>
    </row>
    <row r="115" spans="1:10" ht="12.75">
      <c r="A115" s="118"/>
      <c r="B115" s="119"/>
      <c r="C115" s="131" t="s">
        <v>2274</v>
      </c>
      <c r="D115" s="127"/>
      <c r="E115" s="122" t="s">
        <v>2216</v>
      </c>
      <c r="F115" s="123">
        <v>2</v>
      </c>
      <c r="G115" s="366"/>
      <c r="H115" s="367"/>
      <c r="I115" s="124">
        <f t="shared" si="8"/>
        <v>0</v>
      </c>
      <c r="J115" s="124">
        <f t="shared" si="9"/>
        <v>0</v>
      </c>
    </row>
    <row r="116" spans="1:10" ht="7.5" customHeight="1">
      <c r="A116" s="118"/>
      <c r="B116" s="119"/>
      <c r="C116" s="131"/>
      <c r="D116" s="127"/>
      <c r="E116" s="122"/>
      <c r="F116" s="123"/>
      <c r="G116" s="124"/>
      <c r="H116" s="125"/>
      <c r="I116" s="124"/>
      <c r="J116" s="124"/>
    </row>
    <row r="117" spans="1:10" ht="12.75">
      <c r="A117" s="118"/>
      <c r="B117" s="119"/>
      <c r="C117" s="133" t="s">
        <v>2311</v>
      </c>
      <c r="D117" s="117"/>
      <c r="E117" s="134"/>
      <c r="F117" s="123"/>
      <c r="G117" s="124"/>
      <c r="H117" s="125"/>
      <c r="I117" s="124">
        <f aca="true" t="shared" si="10" ref="I117:I123">F117*G117</f>
        <v>0</v>
      </c>
      <c r="J117" s="124">
        <f aca="true" t="shared" si="11" ref="J117:J123">F117*H117</f>
        <v>0</v>
      </c>
    </row>
    <row r="118" spans="1:10" ht="12.75">
      <c r="A118" s="118"/>
      <c r="B118" s="119"/>
      <c r="C118" s="135" t="s">
        <v>2312</v>
      </c>
      <c r="D118" s="117"/>
      <c r="E118" s="134" t="s">
        <v>2313</v>
      </c>
      <c r="F118" s="123">
        <v>300</v>
      </c>
      <c r="G118" s="366"/>
      <c r="H118" s="367"/>
      <c r="I118" s="124">
        <f t="shared" si="10"/>
        <v>0</v>
      </c>
      <c r="J118" s="124">
        <f t="shared" si="11"/>
        <v>0</v>
      </c>
    </row>
    <row r="119" spans="1:10" ht="12.75">
      <c r="A119" s="118"/>
      <c r="B119" s="119"/>
      <c r="C119" s="135" t="s">
        <v>2314</v>
      </c>
      <c r="D119" s="117"/>
      <c r="E119" s="134" t="s">
        <v>2313</v>
      </c>
      <c r="F119" s="123">
        <v>120</v>
      </c>
      <c r="G119" s="366"/>
      <c r="H119" s="367"/>
      <c r="I119" s="124">
        <f t="shared" si="10"/>
        <v>0</v>
      </c>
      <c r="J119" s="124">
        <f t="shared" si="11"/>
        <v>0</v>
      </c>
    </row>
    <row r="120" spans="1:10" ht="12.75">
      <c r="A120" s="118"/>
      <c r="B120" s="119"/>
      <c r="C120" s="135" t="s">
        <v>2315</v>
      </c>
      <c r="D120" s="117"/>
      <c r="E120" s="134" t="s">
        <v>2064</v>
      </c>
      <c r="F120" s="123">
        <v>1</v>
      </c>
      <c r="G120" s="366"/>
      <c r="H120" s="367"/>
      <c r="I120" s="124">
        <f t="shared" si="10"/>
        <v>0</v>
      </c>
      <c r="J120" s="124">
        <f t="shared" si="11"/>
        <v>0</v>
      </c>
    </row>
    <row r="121" spans="1:10" ht="12.75">
      <c r="A121" s="118"/>
      <c r="B121" s="119"/>
      <c r="C121" s="135" t="s">
        <v>2316</v>
      </c>
      <c r="D121" s="117"/>
      <c r="E121" s="134" t="s">
        <v>2064</v>
      </c>
      <c r="F121" s="123">
        <v>1</v>
      </c>
      <c r="G121" s="366"/>
      <c r="H121" s="367"/>
      <c r="I121" s="124">
        <f t="shared" si="10"/>
        <v>0</v>
      </c>
      <c r="J121" s="124">
        <f t="shared" si="11"/>
        <v>0</v>
      </c>
    </row>
    <row r="122" spans="1:10" ht="12.75">
      <c r="A122" s="118"/>
      <c r="B122" s="119"/>
      <c r="C122" s="135" t="s">
        <v>2317</v>
      </c>
      <c r="D122" s="117"/>
      <c r="E122" s="134" t="s">
        <v>2064</v>
      </c>
      <c r="F122" s="123">
        <v>1</v>
      </c>
      <c r="G122" s="366"/>
      <c r="H122" s="367"/>
      <c r="I122" s="124">
        <f t="shared" si="10"/>
        <v>0</v>
      </c>
      <c r="J122" s="124">
        <f t="shared" si="11"/>
        <v>0</v>
      </c>
    </row>
    <row r="123" spans="1:10" ht="12.75">
      <c r="A123" s="118"/>
      <c r="B123" s="136"/>
      <c r="C123" s="137" t="s">
        <v>2318</v>
      </c>
      <c r="D123" s="116"/>
      <c r="E123" s="122" t="s">
        <v>2064</v>
      </c>
      <c r="F123" s="123">
        <v>1</v>
      </c>
      <c r="G123" s="366"/>
      <c r="H123" s="367"/>
      <c r="I123" s="124">
        <f t="shared" si="10"/>
        <v>0</v>
      </c>
      <c r="J123" s="124">
        <f t="shared" si="11"/>
        <v>0</v>
      </c>
    </row>
    <row r="124" spans="1:10" ht="12.75">
      <c r="A124" s="138"/>
      <c r="B124" s="139"/>
      <c r="C124" s="139"/>
      <c r="D124" s="139"/>
      <c r="E124" s="139"/>
      <c r="F124" s="139"/>
      <c r="G124" s="139"/>
      <c r="H124" s="139"/>
      <c r="I124" s="139"/>
      <c r="J124" s="139"/>
    </row>
    <row r="125" spans="1:10" ht="12.75">
      <c r="A125" s="138"/>
      <c r="B125" s="138"/>
      <c r="C125" s="138"/>
      <c r="D125" s="138"/>
      <c r="E125" s="470" t="s">
        <v>2319</v>
      </c>
      <c r="F125" s="470"/>
      <c r="G125" s="470"/>
      <c r="H125" s="470"/>
      <c r="I125" s="469">
        <f>SUM(I5:I123)</f>
        <v>0</v>
      </c>
      <c r="J125" s="469"/>
    </row>
    <row r="126" spans="1:10" ht="17.1" customHeight="1">
      <c r="A126" s="138"/>
      <c r="B126" s="138"/>
      <c r="C126" s="138"/>
      <c r="D126" s="138"/>
      <c r="E126" s="470" t="s">
        <v>2320</v>
      </c>
      <c r="F126" s="470"/>
      <c r="G126" s="470"/>
      <c r="H126" s="470"/>
      <c r="I126" s="469">
        <f>SUM(J6:J123)</f>
        <v>0</v>
      </c>
      <c r="J126" s="469"/>
    </row>
    <row r="127" spans="2:10" ht="12.75">
      <c r="B127" s="138"/>
      <c r="C127" s="138"/>
      <c r="D127" s="138"/>
      <c r="E127" s="470" t="s">
        <v>2321</v>
      </c>
      <c r="F127" s="470"/>
      <c r="G127" s="470"/>
      <c r="H127" s="470"/>
      <c r="I127" s="469">
        <f>I125+I126</f>
        <v>0</v>
      </c>
      <c r="J127" s="469"/>
    </row>
  </sheetData>
  <mergeCells count="11">
    <mergeCell ref="I125:J125"/>
    <mergeCell ref="E126:H126"/>
    <mergeCell ref="I126:J126"/>
    <mergeCell ref="E127:H127"/>
    <mergeCell ref="I127:J127"/>
    <mergeCell ref="E125:H125"/>
    <mergeCell ref="A15:A16"/>
    <mergeCell ref="A17:A18"/>
    <mergeCell ref="A40:A42"/>
    <mergeCell ref="A50:A51"/>
    <mergeCell ref="A52:A5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3"/>
  <sheetViews>
    <sheetView workbookViewId="0" topLeftCell="A1">
      <selection activeCell="A3" sqref="A3:XFD3"/>
    </sheetView>
  </sheetViews>
  <sheetFormatPr defaultColWidth="9.00390625" defaultRowHeight="14.25" customHeight="1"/>
  <cols>
    <col min="1" max="1" width="44.28125" style="117" customWidth="1"/>
    <col min="2" max="2" width="7.57421875" style="158" customWidth="1"/>
    <col min="3" max="3" width="7.57421875" style="159" customWidth="1"/>
    <col min="4" max="4" width="10.57421875" style="159" customWidth="1"/>
    <col min="5" max="5" width="12.57421875" style="159" customWidth="1"/>
    <col min="6" max="6" width="11.57421875" style="160" customWidth="1"/>
    <col min="7" max="256" width="9.00390625" style="142" customWidth="1"/>
    <col min="257" max="257" width="44.28125" style="142" customWidth="1"/>
    <col min="258" max="259" width="7.57421875" style="142" customWidth="1"/>
    <col min="260" max="260" width="10.57421875" style="142" customWidth="1"/>
    <col min="261" max="261" width="12.57421875" style="142" customWidth="1"/>
    <col min="262" max="262" width="11.57421875" style="142" customWidth="1"/>
    <col min="263" max="512" width="9.00390625" style="142" customWidth="1"/>
    <col min="513" max="513" width="44.28125" style="142" customWidth="1"/>
    <col min="514" max="515" width="7.57421875" style="142" customWidth="1"/>
    <col min="516" max="516" width="10.57421875" style="142" customWidth="1"/>
    <col min="517" max="517" width="12.57421875" style="142" customWidth="1"/>
    <col min="518" max="518" width="11.57421875" style="142" customWidth="1"/>
    <col min="519" max="768" width="9.00390625" style="142" customWidth="1"/>
    <col min="769" max="769" width="44.28125" style="142" customWidth="1"/>
    <col min="770" max="771" width="7.57421875" style="142" customWidth="1"/>
    <col min="772" max="772" width="10.57421875" style="142" customWidth="1"/>
    <col min="773" max="773" width="12.57421875" style="142" customWidth="1"/>
    <col min="774" max="774" width="11.57421875" style="142" customWidth="1"/>
    <col min="775" max="1024" width="9.00390625" style="142" customWidth="1"/>
    <col min="1025" max="1025" width="44.28125" style="142" customWidth="1"/>
    <col min="1026" max="1027" width="7.57421875" style="142" customWidth="1"/>
    <col min="1028" max="1028" width="10.57421875" style="142" customWidth="1"/>
    <col min="1029" max="1029" width="12.57421875" style="142" customWidth="1"/>
    <col min="1030" max="1030" width="11.57421875" style="142" customWidth="1"/>
    <col min="1031" max="1280" width="9.00390625" style="142" customWidth="1"/>
    <col min="1281" max="1281" width="44.28125" style="142" customWidth="1"/>
    <col min="1282" max="1283" width="7.57421875" style="142" customWidth="1"/>
    <col min="1284" max="1284" width="10.57421875" style="142" customWidth="1"/>
    <col min="1285" max="1285" width="12.57421875" style="142" customWidth="1"/>
    <col min="1286" max="1286" width="11.57421875" style="142" customWidth="1"/>
    <col min="1287" max="1536" width="9.00390625" style="142" customWidth="1"/>
    <col min="1537" max="1537" width="44.28125" style="142" customWidth="1"/>
    <col min="1538" max="1539" width="7.57421875" style="142" customWidth="1"/>
    <col min="1540" max="1540" width="10.57421875" style="142" customWidth="1"/>
    <col min="1541" max="1541" width="12.57421875" style="142" customWidth="1"/>
    <col min="1542" max="1542" width="11.57421875" style="142" customWidth="1"/>
    <col min="1543" max="1792" width="9.00390625" style="142" customWidth="1"/>
    <col min="1793" max="1793" width="44.28125" style="142" customWidth="1"/>
    <col min="1794" max="1795" width="7.57421875" style="142" customWidth="1"/>
    <col min="1796" max="1796" width="10.57421875" style="142" customWidth="1"/>
    <col min="1797" max="1797" width="12.57421875" style="142" customWidth="1"/>
    <col min="1798" max="1798" width="11.57421875" style="142" customWidth="1"/>
    <col min="1799" max="2048" width="9.00390625" style="142" customWidth="1"/>
    <col min="2049" max="2049" width="44.28125" style="142" customWidth="1"/>
    <col min="2050" max="2051" width="7.57421875" style="142" customWidth="1"/>
    <col min="2052" max="2052" width="10.57421875" style="142" customWidth="1"/>
    <col min="2053" max="2053" width="12.57421875" style="142" customWidth="1"/>
    <col min="2054" max="2054" width="11.57421875" style="142" customWidth="1"/>
    <col min="2055" max="2304" width="9.00390625" style="142" customWidth="1"/>
    <col min="2305" max="2305" width="44.28125" style="142" customWidth="1"/>
    <col min="2306" max="2307" width="7.57421875" style="142" customWidth="1"/>
    <col min="2308" max="2308" width="10.57421875" style="142" customWidth="1"/>
    <col min="2309" max="2309" width="12.57421875" style="142" customWidth="1"/>
    <col min="2310" max="2310" width="11.57421875" style="142" customWidth="1"/>
    <col min="2311" max="2560" width="9.00390625" style="142" customWidth="1"/>
    <col min="2561" max="2561" width="44.28125" style="142" customWidth="1"/>
    <col min="2562" max="2563" width="7.57421875" style="142" customWidth="1"/>
    <col min="2564" max="2564" width="10.57421875" style="142" customWidth="1"/>
    <col min="2565" max="2565" width="12.57421875" style="142" customWidth="1"/>
    <col min="2566" max="2566" width="11.57421875" style="142" customWidth="1"/>
    <col min="2567" max="2816" width="9.00390625" style="142" customWidth="1"/>
    <col min="2817" max="2817" width="44.28125" style="142" customWidth="1"/>
    <col min="2818" max="2819" width="7.57421875" style="142" customWidth="1"/>
    <col min="2820" max="2820" width="10.57421875" style="142" customWidth="1"/>
    <col min="2821" max="2821" width="12.57421875" style="142" customWidth="1"/>
    <col min="2822" max="2822" width="11.57421875" style="142" customWidth="1"/>
    <col min="2823" max="3072" width="9.00390625" style="142" customWidth="1"/>
    <col min="3073" max="3073" width="44.28125" style="142" customWidth="1"/>
    <col min="3074" max="3075" width="7.57421875" style="142" customWidth="1"/>
    <col min="3076" max="3076" width="10.57421875" style="142" customWidth="1"/>
    <col min="3077" max="3077" width="12.57421875" style="142" customWidth="1"/>
    <col min="3078" max="3078" width="11.57421875" style="142" customWidth="1"/>
    <col min="3079" max="3328" width="9.00390625" style="142" customWidth="1"/>
    <col min="3329" max="3329" width="44.28125" style="142" customWidth="1"/>
    <col min="3330" max="3331" width="7.57421875" style="142" customWidth="1"/>
    <col min="3332" max="3332" width="10.57421875" style="142" customWidth="1"/>
    <col min="3333" max="3333" width="12.57421875" style="142" customWidth="1"/>
    <col min="3334" max="3334" width="11.57421875" style="142" customWidth="1"/>
    <col min="3335" max="3584" width="9.00390625" style="142" customWidth="1"/>
    <col min="3585" max="3585" width="44.28125" style="142" customWidth="1"/>
    <col min="3586" max="3587" width="7.57421875" style="142" customWidth="1"/>
    <col min="3588" max="3588" width="10.57421875" style="142" customWidth="1"/>
    <col min="3589" max="3589" width="12.57421875" style="142" customWidth="1"/>
    <col min="3590" max="3590" width="11.57421875" style="142" customWidth="1"/>
    <col min="3591" max="3840" width="9.00390625" style="142" customWidth="1"/>
    <col min="3841" max="3841" width="44.28125" style="142" customWidth="1"/>
    <col min="3842" max="3843" width="7.57421875" style="142" customWidth="1"/>
    <col min="3844" max="3844" width="10.57421875" style="142" customWidth="1"/>
    <col min="3845" max="3845" width="12.57421875" style="142" customWidth="1"/>
    <col min="3846" max="3846" width="11.57421875" style="142" customWidth="1"/>
    <col min="3847" max="4096" width="9.00390625" style="142" customWidth="1"/>
    <col min="4097" max="4097" width="44.28125" style="142" customWidth="1"/>
    <col min="4098" max="4099" width="7.57421875" style="142" customWidth="1"/>
    <col min="4100" max="4100" width="10.57421875" style="142" customWidth="1"/>
    <col min="4101" max="4101" width="12.57421875" style="142" customWidth="1"/>
    <col min="4102" max="4102" width="11.57421875" style="142" customWidth="1"/>
    <col min="4103" max="4352" width="9.00390625" style="142" customWidth="1"/>
    <col min="4353" max="4353" width="44.28125" style="142" customWidth="1"/>
    <col min="4354" max="4355" width="7.57421875" style="142" customWidth="1"/>
    <col min="4356" max="4356" width="10.57421875" style="142" customWidth="1"/>
    <col min="4357" max="4357" width="12.57421875" style="142" customWidth="1"/>
    <col min="4358" max="4358" width="11.57421875" style="142" customWidth="1"/>
    <col min="4359" max="4608" width="9.00390625" style="142" customWidth="1"/>
    <col min="4609" max="4609" width="44.28125" style="142" customWidth="1"/>
    <col min="4610" max="4611" width="7.57421875" style="142" customWidth="1"/>
    <col min="4612" max="4612" width="10.57421875" style="142" customWidth="1"/>
    <col min="4613" max="4613" width="12.57421875" style="142" customWidth="1"/>
    <col min="4614" max="4614" width="11.57421875" style="142" customWidth="1"/>
    <col min="4615" max="4864" width="9.00390625" style="142" customWidth="1"/>
    <col min="4865" max="4865" width="44.28125" style="142" customWidth="1"/>
    <col min="4866" max="4867" width="7.57421875" style="142" customWidth="1"/>
    <col min="4868" max="4868" width="10.57421875" style="142" customWidth="1"/>
    <col min="4869" max="4869" width="12.57421875" style="142" customWidth="1"/>
    <col min="4870" max="4870" width="11.57421875" style="142" customWidth="1"/>
    <col min="4871" max="5120" width="9.00390625" style="142" customWidth="1"/>
    <col min="5121" max="5121" width="44.28125" style="142" customWidth="1"/>
    <col min="5122" max="5123" width="7.57421875" style="142" customWidth="1"/>
    <col min="5124" max="5124" width="10.57421875" style="142" customWidth="1"/>
    <col min="5125" max="5125" width="12.57421875" style="142" customWidth="1"/>
    <col min="5126" max="5126" width="11.57421875" style="142" customWidth="1"/>
    <col min="5127" max="5376" width="9.00390625" style="142" customWidth="1"/>
    <col min="5377" max="5377" width="44.28125" style="142" customWidth="1"/>
    <col min="5378" max="5379" width="7.57421875" style="142" customWidth="1"/>
    <col min="5380" max="5380" width="10.57421875" style="142" customWidth="1"/>
    <col min="5381" max="5381" width="12.57421875" style="142" customWidth="1"/>
    <col min="5382" max="5382" width="11.57421875" style="142" customWidth="1"/>
    <col min="5383" max="5632" width="9.00390625" style="142" customWidth="1"/>
    <col min="5633" max="5633" width="44.28125" style="142" customWidth="1"/>
    <col min="5634" max="5635" width="7.57421875" style="142" customWidth="1"/>
    <col min="5636" max="5636" width="10.57421875" style="142" customWidth="1"/>
    <col min="5637" max="5637" width="12.57421875" style="142" customWidth="1"/>
    <col min="5638" max="5638" width="11.57421875" style="142" customWidth="1"/>
    <col min="5639" max="5888" width="9.00390625" style="142" customWidth="1"/>
    <col min="5889" max="5889" width="44.28125" style="142" customWidth="1"/>
    <col min="5890" max="5891" width="7.57421875" style="142" customWidth="1"/>
    <col min="5892" max="5892" width="10.57421875" style="142" customWidth="1"/>
    <col min="5893" max="5893" width="12.57421875" style="142" customWidth="1"/>
    <col min="5894" max="5894" width="11.57421875" style="142" customWidth="1"/>
    <col min="5895" max="6144" width="9.00390625" style="142" customWidth="1"/>
    <col min="6145" max="6145" width="44.28125" style="142" customWidth="1"/>
    <col min="6146" max="6147" width="7.57421875" style="142" customWidth="1"/>
    <col min="6148" max="6148" width="10.57421875" style="142" customWidth="1"/>
    <col min="6149" max="6149" width="12.57421875" style="142" customWidth="1"/>
    <col min="6150" max="6150" width="11.57421875" style="142" customWidth="1"/>
    <col min="6151" max="6400" width="9.00390625" style="142" customWidth="1"/>
    <col min="6401" max="6401" width="44.28125" style="142" customWidth="1"/>
    <col min="6402" max="6403" width="7.57421875" style="142" customWidth="1"/>
    <col min="6404" max="6404" width="10.57421875" style="142" customWidth="1"/>
    <col min="6405" max="6405" width="12.57421875" style="142" customWidth="1"/>
    <col min="6406" max="6406" width="11.57421875" style="142" customWidth="1"/>
    <col min="6407" max="6656" width="9.00390625" style="142" customWidth="1"/>
    <col min="6657" max="6657" width="44.28125" style="142" customWidth="1"/>
    <col min="6658" max="6659" width="7.57421875" style="142" customWidth="1"/>
    <col min="6660" max="6660" width="10.57421875" style="142" customWidth="1"/>
    <col min="6661" max="6661" width="12.57421875" style="142" customWidth="1"/>
    <col min="6662" max="6662" width="11.57421875" style="142" customWidth="1"/>
    <col min="6663" max="6912" width="9.00390625" style="142" customWidth="1"/>
    <col min="6913" max="6913" width="44.28125" style="142" customWidth="1"/>
    <col min="6914" max="6915" width="7.57421875" style="142" customWidth="1"/>
    <col min="6916" max="6916" width="10.57421875" style="142" customWidth="1"/>
    <col min="6917" max="6917" width="12.57421875" style="142" customWidth="1"/>
    <col min="6918" max="6918" width="11.57421875" style="142" customWidth="1"/>
    <col min="6919" max="7168" width="9.00390625" style="142" customWidth="1"/>
    <col min="7169" max="7169" width="44.28125" style="142" customWidth="1"/>
    <col min="7170" max="7171" width="7.57421875" style="142" customWidth="1"/>
    <col min="7172" max="7172" width="10.57421875" style="142" customWidth="1"/>
    <col min="7173" max="7173" width="12.57421875" style="142" customWidth="1"/>
    <col min="7174" max="7174" width="11.57421875" style="142" customWidth="1"/>
    <col min="7175" max="7424" width="9.00390625" style="142" customWidth="1"/>
    <col min="7425" max="7425" width="44.28125" style="142" customWidth="1"/>
    <col min="7426" max="7427" width="7.57421875" style="142" customWidth="1"/>
    <col min="7428" max="7428" width="10.57421875" style="142" customWidth="1"/>
    <col min="7429" max="7429" width="12.57421875" style="142" customWidth="1"/>
    <col min="7430" max="7430" width="11.57421875" style="142" customWidth="1"/>
    <col min="7431" max="7680" width="9.00390625" style="142" customWidth="1"/>
    <col min="7681" max="7681" width="44.28125" style="142" customWidth="1"/>
    <col min="7682" max="7683" width="7.57421875" style="142" customWidth="1"/>
    <col min="7684" max="7684" width="10.57421875" style="142" customWidth="1"/>
    <col min="7685" max="7685" width="12.57421875" style="142" customWidth="1"/>
    <col min="7686" max="7686" width="11.57421875" style="142" customWidth="1"/>
    <col min="7687" max="7936" width="9.00390625" style="142" customWidth="1"/>
    <col min="7937" max="7937" width="44.28125" style="142" customWidth="1"/>
    <col min="7938" max="7939" width="7.57421875" style="142" customWidth="1"/>
    <col min="7940" max="7940" width="10.57421875" style="142" customWidth="1"/>
    <col min="7941" max="7941" width="12.57421875" style="142" customWidth="1"/>
    <col min="7942" max="7942" width="11.57421875" style="142" customWidth="1"/>
    <col min="7943" max="8192" width="9.00390625" style="142" customWidth="1"/>
    <col min="8193" max="8193" width="44.28125" style="142" customWidth="1"/>
    <col min="8194" max="8195" width="7.57421875" style="142" customWidth="1"/>
    <col min="8196" max="8196" width="10.57421875" style="142" customWidth="1"/>
    <col min="8197" max="8197" width="12.57421875" style="142" customWidth="1"/>
    <col min="8198" max="8198" width="11.57421875" style="142" customWidth="1"/>
    <col min="8199" max="8448" width="9.00390625" style="142" customWidth="1"/>
    <col min="8449" max="8449" width="44.28125" style="142" customWidth="1"/>
    <col min="8450" max="8451" width="7.57421875" style="142" customWidth="1"/>
    <col min="8452" max="8452" width="10.57421875" style="142" customWidth="1"/>
    <col min="8453" max="8453" width="12.57421875" style="142" customWidth="1"/>
    <col min="8454" max="8454" width="11.57421875" style="142" customWidth="1"/>
    <col min="8455" max="8704" width="9.00390625" style="142" customWidth="1"/>
    <col min="8705" max="8705" width="44.28125" style="142" customWidth="1"/>
    <col min="8706" max="8707" width="7.57421875" style="142" customWidth="1"/>
    <col min="8708" max="8708" width="10.57421875" style="142" customWidth="1"/>
    <col min="8709" max="8709" width="12.57421875" style="142" customWidth="1"/>
    <col min="8710" max="8710" width="11.57421875" style="142" customWidth="1"/>
    <col min="8711" max="8960" width="9.00390625" style="142" customWidth="1"/>
    <col min="8961" max="8961" width="44.28125" style="142" customWidth="1"/>
    <col min="8962" max="8963" width="7.57421875" style="142" customWidth="1"/>
    <col min="8964" max="8964" width="10.57421875" style="142" customWidth="1"/>
    <col min="8965" max="8965" width="12.57421875" style="142" customWidth="1"/>
    <col min="8966" max="8966" width="11.57421875" style="142" customWidth="1"/>
    <col min="8967" max="9216" width="9.00390625" style="142" customWidth="1"/>
    <col min="9217" max="9217" width="44.28125" style="142" customWidth="1"/>
    <col min="9218" max="9219" width="7.57421875" style="142" customWidth="1"/>
    <col min="9220" max="9220" width="10.57421875" style="142" customWidth="1"/>
    <col min="9221" max="9221" width="12.57421875" style="142" customWidth="1"/>
    <col min="9222" max="9222" width="11.57421875" style="142" customWidth="1"/>
    <col min="9223" max="9472" width="9.00390625" style="142" customWidth="1"/>
    <col min="9473" max="9473" width="44.28125" style="142" customWidth="1"/>
    <col min="9474" max="9475" width="7.57421875" style="142" customWidth="1"/>
    <col min="9476" max="9476" width="10.57421875" style="142" customWidth="1"/>
    <col min="9477" max="9477" width="12.57421875" style="142" customWidth="1"/>
    <col min="9478" max="9478" width="11.57421875" style="142" customWidth="1"/>
    <col min="9479" max="9728" width="9.00390625" style="142" customWidth="1"/>
    <col min="9729" max="9729" width="44.28125" style="142" customWidth="1"/>
    <col min="9730" max="9731" width="7.57421875" style="142" customWidth="1"/>
    <col min="9732" max="9732" width="10.57421875" style="142" customWidth="1"/>
    <col min="9733" max="9733" width="12.57421875" style="142" customWidth="1"/>
    <col min="9734" max="9734" width="11.57421875" style="142" customWidth="1"/>
    <col min="9735" max="9984" width="9.00390625" style="142" customWidth="1"/>
    <col min="9985" max="9985" width="44.28125" style="142" customWidth="1"/>
    <col min="9986" max="9987" width="7.57421875" style="142" customWidth="1"/>
    <col min="9988" max="9988" width="10.57421875" style="142" customWidth="1"/>
    <col min="9989" max="9989" width="12.57421875" style="142" customWidth="1"/>
    <col min="9990" max="9990" width="11.57421875" style="142" customWidth="1"/>
    <col min="9991" max="10240" width="9.00390625" style="142" customWidth="1"/>
    <col min="10241" max="10241" width="44.28125" style="142" customWidth="1"/>
    <col min="10242" max="10243" width="7.57421875" style="142" customWidth="1"/>
    <col min="10244" max="10244" width="10.57421875" style="142" customWidth="1"/>
    <col min="10245" max="10245" width="12.57421875" style="142" customWidth="1"/>
    <col min="10246" max="10246" width="11.57421875" style="142" customWidth="1"/>
    <col min="10247" max="10496" width="9.00390625" style="142" customWidth="1"/>
    <col min="10497" max="10497" width="44.28125" style="142" customWidth="1"/>
    <col min="10498" max="10499" width="7.57421875" style="142" customWidth="1"/>
    <col min="10500" max="10500" width="10.57421875" style="142" customWidth="1"/>
    <col min="10501" max="10501" width="12.57421875" style="142" customWidth="1"/>
    <col min="10502" max="10502" width="11.57421875" style="142" customWidth="1"/>
    <col min="10503" max="10752" width="9.00390625" style="142" customWidth="1"/>
    <col min="10753" max="10753" width="44.28125" style="142" customWidth="1"/>
    <col min="10754" max="10755" width="7.57421875" style="142" customWidth="1"/>
    <col min="10756" max="10756" width="10.57421875" style="142" customWidth="1"/>
    <col min="10757" max="10757" width="12.57421875" style="142" customWidth="1"/>
    <col min="10758" max="10758" width="11.57421875" style="142" customWidth="1"/>
    <col min="10759" max="11008" width="9.00390625" style="142" customWidth="1"/>
    <col min="11009" max="11009" width="44.28125" style="142" customWidth="1"/>
    <col min="11010" max="11011" width="7.57421875" style="142" customWidth="1"/>
    <col min="11012" max="11012" width="10.57421875" style="142" customWidth="1"/>
    <col min="11013" max="11013" width="12.57421875" style="142" customWidth="1"/>
    <col min="11014" max="11014" width="11.57421875" style="142" customWidth="1"/>
    <col min="11015" max="11264" width="9.00390625" style="142" customWidth="1"/>
    <col min="11265" max="11265" width="44.28125" style="142" customWidth="1"/>
    <col min="11266" max="11267" width="7.57421875" style="142" customWidth="1"/>
    <col min="11268" max="11268" width="10.57421875" style="142" customWidth="1"/>
    <col min="11269" max="11269" width="12.57421875" style="142" customWidth="1"/>
    <col min="11270" max="11270" width="11.57421875" style="142" customWidth="1"/>
    <col min="11271" max="11520" width="9.00390625" style="142" customWidth="1"/>
    <col min="11521" max="11521" width="44.28125" style="142" customWidth="1"/>
    <col min="11522" max="11523" width="7.57421875" style="142" customWidth="1"/>
    <col min="11524" max="11524" width="10.57421875" style="142" customWidth="1"/>
    <col min="11525" max="11525" width="12.57421875" style="142" customWidth="1"/>
    <col min="11526" max="11526" width="11.57421875" style="142" customWidth="1"/>
    <col min="11527" max="11776" width="9.00390625" style="142" customWidth="1"/>
    <col min="11777" max="11777" width="44.28125" style="142" customWidth="1"/>
    <col min="11778" max="11779" width="7.57421875" style="142" customWidth="1"/>
    <col min="11780" max="11780" width="10.57421875" style="142" customWidth="1"/>
    <col min="11781" max="11781" width="12.57421875" style="142" customWidth="1"/>
    <col min="11782" max="11782" width="11.57421875" style="142" customWidth="1"/>
    <col min="11783" max="12032" width="9.00390625" style="142" customWidth="1"/>
    <col min="12033" max="12033" width="44.28125" style="142" customWidth="1"/>
    <col min="12034" max="12035" width="7.57421875" style="142" customWidth="1"/>
    <col min="12036" max="12036" width="10.57421875" style="142" customWidth="1"/>
    <col min="12037" max="12037" width="12.57421875" style="142" customWidth="1"/>
    <col min="12038" max="12038" width="11.57421875" style="142" customWidth="1"/>
    <col min="12039" max="12288" width="9.00390625" style="142" customWidth="1"/>
    <col min="12289" max="12289" width="44.28125" style="142" customWidth="1"/>
    <col min="12290" max="12291" width="7.57421875" style="142" customWidth="1"/>
    <col min="12292" max="12292" width="10.57421875" style="142" customWidth="1"/>
    <col min="12293" max="12293" width="12.57421875" style="142" customWidth="1"/>
    <col min="12294" max="12294" width="11.57421875" style="142" customWidth="1"/>
    <col min="12295" max="12544" width="9.00390625" style="142" customWidth="1"/>
    <col min="12545" max="12545" width="44.28125" style="142" customWidth="1"/>
    <col min="12546" max="12547" width="7.57421875" style="142" customWidth="1"/>
    <col min="12548" max="12548" width="10.57421875" style="142" customWidth="1"/>
    <col min="12549" max="12549" width="12.57421875" style="142" customWidth="1"/>
    <col min="12550" max="12550" width="11.57421875" style="142" customWidth="1"/>
    <col min="12551" max="12800" width="9.00390625" style="142" customWidth="1"/>
    <col min="12801" max="12801" width="44.28125" style="142" customWidth="1"/>
    <col min="12802" max="12803" width="7.57421875" style="142" customWidth="1"/>
    <col min="12804" max="12804" width="10.57421875" style="142" customWidth="1"/>
    <col min="12805" max="12805" width="12.57421875" style="142" customWidth="1"/>
    <col min="12806" max="12806" width="11.57421875" style="142" customWidth="1"/>
    <col min="12807" max="13056" width="9.00390625" style="142" customWidth="1"/>
    <col min="13057" max="13057" width="44.28125" style="142" customWidth="1"/>
    <col min="13058" max="13059" width="7.57421875" style="142" customWidth="1"/>
    <col min="13060" max="13060" width="10.57421875" style="142" customWidth="1"/>
    <col min="13061" max="13061" width="12.57421875" style="142" customWidth="1"/>
    <col min="13062" max="13062" width="11.57421875" style="142" customWidth="1"/>
    <col min="13063" max="13312" width="9.00390625" style="142" customWidth="1"/>
    <col min="13313" max="13313" width="44.28125" style="142" customWidth="1"/>
    <col min="13314" max="13315" width="7.57421875" style="142" customWidth="1"/>
    <col min="13316" max="13316" width="10.57421875" style="142" customWidth="1"/>
    <col min="13317" max="13317" width="12.57421875" style="142" customWidth="1"/>
    <col min="13318" max="13318" width="11.57421875" style="142" customWidth="1"/>
    <col min="13319" max="13568" width="9.00390625" style="142" customWidth="1"/>
    <col min="13569" max="13569" width="44.28125" style="142" customWidth="1"/>
    <col min="13570" max="13571" width="7.57421875" style="142" customWidth="1"/>
    <col min="13572" max="13572" width="10.57421875" style="142" customWidth="1"/>
    <col min="13573" max="13573" width="12.57421875" style="142" customWidth="1"/>
    <col min="13574" max="13574" width="11.57421875" style="142" customWidth="1"/>
    <col min="13575" max="13824" width="9.00390625" style="142" customWidth="1"/>
    <col min="13825" max="13825" width="44.28125" style="142" customWidth="1"/>
    <col min="13826" max="13827" width="7.57421875" style="142" customWidth="1"/>
    <col min="13828" max="13828" width="10.57421875" style="142" customWidth="1"/>
    <col min="13829" max="13829" width="12.57421875" style="142" customWidth="1"/>
    <col min="13830" max="13830" width="11.57421875" style="142" customWidth="1"/>
    <col min="13831" max="14080" width="9.00390625" style="142" customWidth="1"/>
    <col min="14081" max="14081" width="44.28125" style="142" customWidth="1"/>
    <col min="14082" max="14083" width="7.57421875" style="142" customWidth="1"/>
    <col min="14084" max="14084" width="10.57421875" style="142" customWidth="1"/>
    <col min="14085" max="14085" width="12.57421875" style="142" customWidth="1"/>
    <col min="14086" max="14086" width="11.57421875" style="142" customWidth="1"/>
    <col min="14087" max="14336" width="9.00390625" style="142" customWidth="1"/>
    <col min="14337" max="14337" width="44.28125" style="142" customWidth="1"/>
    <col min="14338" max="14339" width="7.57421875" style="142" customWidth="1"/>
    <col min="14340" max="14340" width="10.57421875" style="142" customWidth="1"/>
    <col min="14341" max="14341" width="12.57421875" style="142" customWidth="1"/>
    <col min="14342" max="14342" width="11.57421875" style="142" customWidth="1"/>
    <col min="14343" max="14592" width="9.00390625" style="142" customWidth="1"/>
    <col min="14593" max="14593" width="44.28125" style="142" customWidth="1"/>
    <col min="14594" max="14595" width="7.57421875" style="142" customWidth="1"/>
    <col min="14596" max="14596" width="10.57421875" style="142" customWidth="1"/>
    <col min="14597" max="14597" width="12.57421875" style="142" customWidth="1"/>
    <col min="14598" max="14598" width="11.57421875" style="142" customWidth="1"/>
    <col min="14599" max="14848" width="9.00390625" style="142" customWidth="1"/>
    <col min="14849" max="14849" width="44.28125" style="142" customWidth="1"/>
    <col min="14850" max="14851" width="7.57421875" style="142" customWidth="1"/>
    <col min="14852" max="14852" width="10.57421875" style="142" customWidth="1"/>
    <col min="14853" max="14853" width="12.57421875" style="142" customWidth="1"/>
    <col min="14854" max="14854" width="11.57421875" style="142" customWidth="1"/>
    <col min="14855" max="15104" width="9.00390625" style="142" customWidth="1"/>
    <col min="15105" max="15105" width="44.28125" style="142" customWidth="1"/>
    <col min="15106" max="15107" width="7.57421875" style="142" customWidth="1"/>
    <col min="15108" max="15108" width="10.57421875" style="142" customWidth="1"/>
    <col min="15109" max="15109" width="12.57421875" style="142" customWidth="1"/>
    <col min="15110" max="15110" width="11.57421875" style="142" customWidth="1"/>
    <col min="15111" max="15360" width="9.00390625" style="142" customWidth="1"/>
    <col min="15361" max="15361" width="44.28125" style="142" customWidth="1"/>
    <col min="15362" max="15363" width="7.57421875" style="142" customWidth="1"/>
    <col min="15364" max="15364" width="10.57421875" style="142" customWidth="1"/>
    <col min="15365" max="15365" width="12.57421875" style="142" customWidth="1"/>
    <col min="15366" max="15366" width="11.57421875" style="142" customWidth="1"/>
    <col min="15367" max="15616" width="9.00390625" style="142" customWidth="1"/>
    <col min="15617" max="15617" width="44.28125" style="142" customWidth="1"/>
    <col min="15618" max="15619" width="7.57421875" style="142" customWidth="1"/>
    <col min="15620" max="15620" width="10.57421875" style="142" customWidth="1"/>
    <col min="15621" max="15621" width="12.57421875" style="142" customWidth="1"/>
    <col min="15622" max="15622" width="11.57421875" style="142" customWidth="1"/>
    <col min="15623" max="15872" width="9.00390625" style="142" customWidth="1"/>
    <col min="15873" max="15873" width="44.28125" style="142" customWidth="1"/>
    <col min="15874" max="15875" width="7.57421875" style="142" customWidth="1"/>
    <col min="15876" max="15876" width="10.57421875" style="142" customWidth="1"/>
    <col min="15877" max="15877" width="12.57421875" style="142" customWidth="1"/>
    <col min="15878" max="15878" width="11.57421875" style="142" customWidth="1"/>
    <col min="15879" max="16128" width="9.00390625" style="142" customWidth="1"/>
    <col min="16129" max="16129" width="44.28125" style="142" customWidth="1"/>
    <col min="16130" max="16131" width="7.57421875" style="142" customWidth="1"/>
    <col min="16132" max="16132" width="10.57421875" style="142" customWidth="1"/>
    <col min="16133" max="16133" width="12.57421875" style="142" customWidth="1"/>
    <col min="16134" max="16134" width="11.57421875" style="142" customWidth="1"/>
    <col min="16135" max="16384" width="9.00390625" style="142" customWidth="1"/>
  </cols>
  <sheetData>
    <row r="1" spans="1:8" s="140" customFormat="1" ht="12.75" customHeight="1">
      <c r="A1" s="471" t="s">
        <v>2524</v>
      </c>
      <c r="B1" s="471"/>
      <c r="C1" s="471"/>
      <c r="D1" s="471"/>
      <c r="E1" s="471"/>
      <c r="F1" s="471"/>
      <c r="H1" s="141"/>
    </row>
    <row r="2" spans="1:6" ht="12.75" customHeight="1">
      <c r="A2" s="218"/>
      <c r="B2" s="218"/>
      <c r="C2" s="218"/>
      <c r="D2" s="218"/>
      <c r="E2" s="218"/>
      <c r="F2" s="218"/>
    </row>
    <row r="3" spans="1:8" s="140" customFormat="1" ht="18.2" customHeight="1">
      <c r="A3" s="219"/>
      <c r="B3" s="219"/>
      <c r="C3" s="219"/>
      <c r="D3" s="219"/>
      <c r="E3" s="219"/>
      <c r="F3" s="219"/>
      <c r="H3" s="141"/>
    </row>
    <row r="4" spans="1:8" s="140" customFormat="1" ht="12.75" customHeight="1">
      <c r="A4" s="472" t="s">
        <v>2324</v>
      </c>
      <c r="B4" s="472"/>
      <c r="C4" s="472"/>
      <c r="D4" s="472"/>
      <c r="E4" s="472"/>
      <c r="F4" s="472"/>
      <c r="H4" s="141"/>
    </row>
    <row r="5" spans="1:8" s="140" customFormat="1" ht="69.6" customHeight="1">
      <c r="A5" s="473" t="s">
        <v>2325</v>
      </c>
      <c r="B5" s="473"/>
      <c r="C5" s="473"/>
      <c r="D5" s="473"/>
      <c r="E5" s="473"/>
      <c r="F5" s="473"/>
      <c r="H5" s="141"/>
    </row>
    <row r="6" spans="1:8" s="140" customFormat="1" ht="12.75" customHeight="1">
      <c r="A6" s="472" t="s">
        <v>2322</v>
      </c>
      <c r="B6" s="472"/>
      <c r="C6" s="472"/>
      <c r="D6" s="472"/>
      <c r="E6" s="472"/>
      <c r="F6" s="472"/>
      <c r="H6" s="141"/>
    </row>
    <row r="7" spans="1:8" s="140" customFormat="1" ht="18.2" customHeight="1">
      <c r="A7" s="475" t="s">
        <v>2323</v>
      </c>
      <c r="B7" s="475"/>
      <c r="C7" s="475"/>
      <c r="D7" s="475"/>
      <c r="E7" s="475"/>
      <c r="F7" s="475"/>
      <c r="H7" s="141"/>
    </row>
    <row r="8" spans="1:8" s="143" customFormat="1" ht="15.75" customHeight="1">
      <c r="A8" s="217" t="s">
        <v>2524</v>
      </c>
      <c r="B8" s="217"/>
      <c r="C8" s="217"/>
      <c r="D8" s="217"/>
      <c r="E8" s="217"/>
      <c r="F8" s="217"/>
      <c r="H8" s="144"/>
    </row>
    <row r="9" spans="1:6" ht="12.75" customHeight="1">
      <c r="A9" s="476"/>
      <c r="B9" s="476"/>
      <c r="C9" s="476"/>
      <c r="D9" s="476"/>
      <c r="E9" s="476"/>
      <c r="F9" s="476"/>
    </row>
    <row r="10" spans="1:6" s="145" customFormat="1" ht="41.25" customHeight="1">
      <c r="A10" s="404" t="s">
        <v>2326</v>
      </c>
      <c r="B10" s="405" t="s">
        <v>2327</v>
      </c>
      <c r="C10" s="406" t="s">
        <v>2328</v>
      </c>
      <c r="D10" s="406" t="s">
        <v>2329</v>
      </c>
      <c r="E10" s="406" t="s">
        <v>2330</v>
      </c>
      <c r="F10" s="407" t="s">
        <v>2331</v>
      </c>
    </row>
    <row r="11" spans="1:6" ht="12.75" customHeight="1">
      <c r="A11" s="146"/>
      <c r="B11" s="147"/>
      <c r="C11" s="148"/>
      <c r="D11" s="148"/>
      <c r="E11" s="149"/>
      <c r="F11" s="150"/>
    </row>
    <row r="12" spans="1:8" s="140" customFormat="1" ht="27.4" customHeight="1">
      <c r="A12" s="151" t="s">
        <v>2332</v>
      </c>
      <c r="B12" s="152"/>
      <c r="C12" s="153"/>
      <c r="D12" s="154"/>
      <c r="E12" s="155">
        <f>E15</f>
        <v>0</v>
      </c>
      <c r="F12" s="156" t="s">
        <v>2333</v>
      </c>
      <c r="H12" s="141"/>
    </row>
    <row r="13" spans="1:5" ht="12.75" customHeight="1">
      <c r="A13" s="157" t="s">
        <v>2334</v>
      </c>
      <c r="E13" s="148"/>
    </row>
    <row r="14" ht="12.75" customHeight="1">
      <c r="E14" s="149"/>
    </row>
    <row r="15" spans="1:8" s="165" customFormat="1" ht="12.75" customHeight="1">
      <c r="A15" s="161" t="s">
        <v>2335</v>
      </c>
      <c r="B15" s="158"/>
      <c r="C15" s="159"/>
      <c r="D15" s="162"/>
      <c r="E15" s="163">
        <f>SUM(E16:E26)</f>
        <v>0</v>
      </c>
      <c r="F15" s="164" t="s">
        <v>2333</v>
      </c>
      <c r="H15" s="142"/>
    </row>
    <row r="16" spans="1:9" s="165" customFormat="1" ht="12.75" customHeight="1">
      <c r="A16" s="166" t="str">
        <f>A30</f>
        <v>STROJOVNA</v>
      </c>
      <c r="B16" s="167"/>
      <c r="C16" s="168"/>
      <c r="D16" s="169"/>
      <c r="E16" s="170">
        <f>E30</f>
        <v>0</v>
      </c>
      <c r="F16" s="171"/>
      <c r="H16" s="172"/>
      <c r="I16" s="142"/>
    </row>
    <row r="17" spans="1:9" s="165" customFormat="1" ht="12.75" customHeight="1">
      <c r="A17" s="166" t="str">
        <f>A75</f>
        <v>ODVOD SPALIN / PŘÍVOD VZDUCHU</v>
      </c>
      <c r="B17" s="167"/>
      <c r="C17" s="168"/>
      <c r="D17" s="169"/>
      <c r="E17" s="170">
        <f>E75</f>
        <v>0</v>
      </c>
      <c r="F17" s="171"/>
      <c r="H17" s="172"/>
      <c r="I17" s="142"/>
    </row>
    <row r="18" spans="1:9" s="165" customFormat="1" ht="12.75" customHeight="1">
      <c r="A18" s="117" t="str">
        <f>A87</f>
        <v>OTOPNÁ TĚLESA</v>
      </c>
      <c r="B18" s="167"/>
      <c r="C18" s="168"/>
      <c r="D18" s="169"/>
      <c r="E18" s="170">
        <f>E87</f>
        <v>0</v>
      </c>
      <c r="F18" s="171"/>
      <c r="H18" s="172"/>
      <c r="I18" s="142"/>
    </row>
    <row r="19" spans="1:8" s="165" customFormat="1" ht="12.75" customHeight="1">
      <c r="A19" s="117" t="str">
        <f>A117</f>
        <v>ARMATURY</v>
      </c>
      <c r="B19" s="167"/>
      <c r="C19" s="168"/>
      <c r="D19" s="169"/>
      <c r="E19" s="170">
        <f>E117</f>
        <v>0</v>
      </c>
      <c r="F19" s="171"/>
      <c r="H19" s="172"/>
    </row>
    <row r="20" spans="1:8" ht="12.75" customHeight="1">
      <c r="A20" s="117" t="str">
        <f>A181</f>
        <v>ROZVOD POTRUBÍ</v>
      </c>
      <c r="E20" s="170">
        <f>E181</f>
        <v>0</v>
      </c>
      <c r="F20" s="171"/>
      <c r="H20" s="172"/>
    </row>
    <row r="21" spans="1:8" ht="12.75" customHeight="1">
      <c r="A21" s="117" t="str">
        <f>A211</f>
        <v>IZOLACE TEPELNÉ</v>
      </c>
      <c r="E21" s="170">
        <f>E211</f>
        <v>0</v>
      </c>
      <c r="F21" s="117"/>
      <c r="H21" s="172"/>
    </row>
    <row r="22" spans="1:8" ht="12.75" customHeight="1">
      <c r="A22" s="117" t="str">
        <f>A237</f>
        <v>DOPLŇKOVÉ KONSTRUKCE A NÁTĚRY</v>
      </c>
      <c r="E22" s="170">
        <f>E237</f>
        <v>0</v>
      </c>
      <c r="F22" s="117"/>
      <c r="H22" s="172"/>
    </row>
    <row r="23" spans="1:8" ht="12.75" customHeight="1">
      <c r="A23" s="117" t="str">
        <f>A247</f>
        <v>ZPROVOZNĚNÍ A MONTÁŽ</v>
      </c>
      <c r="E23" s="170">
        <f>E247</f>
        <v>0</v>
      </c>
      <c r="F23" s="117"/>
      <c r="H23" s="172"/>
    </row>
    <row r="24" spans="1:8" ht="12.75" customHeight="1">
      <c r="A24" s="117" t="str">
        <f>A258</f>
        <v>STAVEBNÍ ÚPRAVY</v>
      </c>
      <c r="E24" s="170">
        <f>E258</f>
        <v>0</v>
      </c>
      <c r="F24" s="117"/>
      <c r="H24" s="172"/>
    </row>
    <row r="25" spans="1:8" ht="12.75" customHeight="1">
      <c r="A25" s="117" t="str">
        <f>A274</f>
        <v>ELEKTRO; MĚŘENÍ A REGULACE</v>
      </c>
      <c r="E25" s="170">
        <f>E274</f>
        <v>0</v>
      </c>
      <c r="F25" s="117"/>
      <c r="H25" s="172"/>
    </row>
    <row r="26" ht="12.75" customHeight="1">
      <c r="F26" s="117"/>
    </row>
    <row r="27" ht="14.65" customHeight="1">
      <c r="F27" s="117"/>
    </row>
    <row r="28" spans="1:6" s="174" customFormat="1" ht="14.65" customHeight="1">
      <c r="A28" s="355"/>
      <c r="B28" s="180"/>
      <c r="C28" s="169"/>
      <c r="D28" s="169"/>
      <c r="E28" s="169"/>
      <c r="F28" s="355"/>
    </row>
    <row r="29" spans="1:6" s="174" customFormat="1" ht="13.5" customHeight="1">
      <c r="A29" s="173"/>
      <c r="B29" s="167"/>
      <c r="C29" s="168"/>
      <c r="D29" s="169"/>
      <c r="E29" s="168"/>
      <c r="F29" s="173"/>
    </row>
    <row r="30" spans="1:6" ht="14.65" customHeight="1">
      <c r="A30" s="175" t="s">
        <v>2336</v>
      </c>
      <c r="B30" s="167"/>
      <c r="C30" s="168"/>
      <c r="D30" s="169"/>
      <c r="E30" s="176">
        <f>SUM(E34:E72)</f>
        <v>0</v>
      </c>
      <c r="F30" s="171" t="s">
        <v>2333</v>
      </c>
    </row>
    <row r="31" spans="1:6" ht="14.65" customHeight="1">
      <c r="A31" s="175"/>
      <c r="B31" s="167"/>
      <c r="C31" s="168"/>
      <c r="D31" s="169"/>
      <c r="E31" s="176"/>
      <c r="F31" s="171"/>
    </row>
    <row r="32" spans="1:6" ht="14.65" customHeight="1">
      <c r="A32" s="477" t="s">
        <v>2337</v>
      </c>
      <c r="B32" s="477"/>
      <c r="C32" s="477"/>
      <c r="D32" s="477"/>
      <c r="E32" s="477"/>
      <c r="F32" s="477"/>
    </row>
    <row r="33" spans="1:6" ht="14.65" customHeight="1">
      <c r="A33" s="177"/>
      <c r="B33" s="167"/>
      <c r="C33" s="168"/>
      <c r="D33" s="169"/>
      <c r="E33" s="169"/>
      <c r="F33" s="178" t="s">
        <v>2338</v>
      </c>
    </row>
    <row r="34" spans="1:6" ht="139.9" customHeight="1">
      <c r="A34" s="179" t="s">
        <v>2339</v>
      </c>
      <c r="B34" s="180" t="s">
        <v>2107</v>
      </c>
      <c r="C34" s="169">
        <v>2</v>
      </c>
      <c r="D34" s="368"/>
      <c r="E34" s="169">
        <f>C34*D34</f>
        <v>0</v>
      </c>
      <c r="F34" s="181">
        <v>1</v>
      </c>
    </row>
    <row r="35" spans="1:6" ht="14.65" customHeight="1">
      <c r="A35" s="175"/>
      <c r="B35" s="167"/>
      <c r="C35" s="168"/>
      <c r="D35" s="169"/>
      <c r="E35" s="169"/>
      <c r="F35" s="171"/>
    </row>
    <row r="36" spans="1:6" ht="37.35" customHeight="1">
      <c r="A36" s="179" t="s">
        <v>2340</v>
      </c>
      <c r="B36" s="180" t="s">
        <v>2107</v>
      </c>
      <c r="C36" s="169">
        <v>1</v>
      </c>
      <c r="D36" s="368"/>
      <c r="E36" s="169">
        <f>C36*D36</f>
        <v>0</v>
      </c>
      <c r="F36" s="181">
        <v>2</v>
      </c>
    </row>
    <row r="37" spans="1:6" ht="14.65" customHeight="1">
      <c r="A37" s="179"/>
      <c r="B37" s="180"/>
      <c r="C37" s="169"/>
      <c r="D37" s="169"/>
      <c r="E37" s="169"/>
      <c r="F37" s="171"/>
    </row>
    <row r="38" spans="1:6" ht="34.5" customHeight="1">
      <c r="A38" s="179" t="s">
        <v>2341</v>
      </c>
      <c r="B38" s="180" t="s">
        <v>2107</v>
      </c>
      <c r="C38" s="169">
        <v>1</v>
      </c>
      <c r="D38" s="368"/>
      <c r="E38" s="169">
        <f>C38*D38</f>
        <v>0</v>
      </c>
      <c r="F38" s="181">
        <v>3</v>
      </c>
    </row>
    <row r="39" spans="1:6" ht="14.65" customHeight="1">
      <c r="A39" s="179"/>
      <c r="B39" s="180"/>
      <c r="C39" s="169"/>
      <c r="D39" s="169"/>
      <c r="E39" s="169"/>
      <c r="F39" s="171"/>
    </row>
    <row r="40" spans="1:6" ht="44.65" customHeight="1">
      <c r="A40" s="179" t="s">
        <v>2342</v>
      </c>
      <c r="B40" s="180" t="s">
        <v>2107</v>
      </c>
      <c r="C40" s="169">
        <v>1</v>
      </c>
      <c r="D40" s="368"/>
      <c r="E40" s="169">
        <f>C40*D40</f>
        <v>0</v>
      </c>
      <c r="F40" s="181" t="s">
        <v>2343</v>
      </c>
    </row>
    <row r="41" spans="1:6" ht="14.65" customHeight="1">
      <c r="A41" s="179"/>
      <c r="B41" s="180"/>
      <c r="C41" s="169"/>
      <c r="D41" s="169"/>
      <c r="E41" s="169"/>
      <c r="F41" s="171"/>
    </row>
    <row r="42" spans="1:6" ht="44.65" customHeight="1">
      <c r="A42" s="179" t="s">
        <v>2344</v>
      </c>
      <c r="B42" s="180" t="s">
        <v>2107</v>
      </c>
      <c r="C42" s="169">
        <v>1</v>
      </c>
      <c r="D42" s="368"/>
      <c r="E42" s="169">
        <f>C42*D42</f>
        <v>0</v>
      </c>
      <c r="F42" s="181" t="s">
        <v>2345</v>
      </c>
    </row>
    <row r="43" spans="1:6" ht="14.65" customHeight="1">
      <c r="A43" s="179"/>
      <c r="B43" s="180"/>
      <c r="C43" s="169"/>
      <c r="D43" s="169"/>
      <c r="E43" s="169"/>
      <c r="F43" s="171"/>
    </row>
    <row r="44" spans="1:6" ht="44.65" customHeight="1">
      <c r="A44" s="179" t="s">
        <v>2346</v>
      </c>
      <c r="B44" s="180" t="s">
        <v>2107</v>
      </c>
      <c r="C44" s="169">
        <v>1</v>
      </c>
      <c r="D44" s="368"/>
      <c r="E44" s="169">
        <f>C44*D44</f>
        <v>0</v>
      </c>
      <c r="F44" s="181">
        <v>5</v>
      </c>
    </row>
    <row r="45" spans="1:6" ht="14.65" customHeight="1">
      <c r="A45" s="179"/>
      <c r="B45" s="180"/>
      <c r="C45" s="169"/>
      <c r="D45" s="169"/>
      <c r="E45" s="169"/>
      <c r="F45" s="171"/>
    </row>
    <row r="46" spans="1:6" ht="409.6" customHeight="1">
      <c r="A46" s="179" t="s">
        <v>2347</v>
      </c>
      <c r="B46" s="180" t="s">
        <v>2107</v>
      </c>
      <c r="C46" s="169">
        <v>1</v>
      </c>
      <c r="D46" s="368"/>
      <c r="E46" s="169">
        <f>C46*D46</f>
        <v>0</v>
      </c>
      <c r="F46" s="181">
        <v>6</v>
      </c>
    </row>
    <row r="47" spans="1:8" ht="18.2" customHeight="1">
      <c r="A47" s="179"/>
      <c r="B47" s="180"/>
      <c r="C47" s="169"/>
      <c r="D47" s="169"/>
      <c r="E47" s="169"/>
      <c r="F47" s="181"/>
      <c r="H47" s="174"/>
    </row>
    <row r="48" spans="1:8" ht="18.2" customHeight="1">
      <c r="A48" s="179" t="s">
        <v>2348</v>
      </c>
      <c r="B48" s="180" t="s">
        <v>2107</v>
      </c>
      <c r="C48" s="169">
        <v>1</v>
      </c>
      <c r="D48" s="368"/>
      <c r="E48" s="169">
        <f>C48*D48</f>
        <v>0</v>
      </c>
      <c r="F48" s="181">
        <v>7</v>
      </c>
      <c r="H48" s="174"/>
    </row>
    <row r="49" spans="1:8" ht="18.2" customHeight="1">
      <c r="A49" s="179"/>
      <c r="B49" s="180"/>
      <c r="C49" s="169"/>
      <c r="D49" s="169"/>
      <c r="E49" s="169"/>
      <c r="F49" s="181"/>
      <c r="H49" s="174"/>
    </row>
    <row r="50" spans="1:6" ht="34.9" customHeight="1">
      <c r="A50" s="179" t="s">
        <v>2349</v>
      </c>
      <c r="B50" s="180" t="s">
        <v>2107</v>
      </c>
      <c r="C50" s="169">
        <v>3</v>
      </c>
      <c r="D50" s="368"/>
      <c r="E50" s="169">
        <f>C50*D50</f>
        <v>0</v>
      </c>
      <c r="F50" s="181" t="s">
        <v>2350</v>
      </c>
    </row>
    <row r="51" spans="1:6" ht="18.2" customHeight="1">
      <c r="A51" s="179"/>
      <c r="B51" s="180"/>
      <c r="C51" s="169"/>
      <c r="D51" s="169"/>
      <c r="E51" s="169"/>
      <c r="F51" s="181"/>
    </row>
    <row r="52" spans="1:6" ht="34.9" customHeight="1">
      <c r="A52" s="179" t="s">
        <v>2351</v>
      </c>
      <c r="B52" s="180" t="s">
        <v>2107</v>
      </c>
      <c r="C52" s="169">
        <v>1</v>
      </c>
      <c r="D52" s="368"/>
      <c r="E52" s="169">
        <f>C52*D52</f>
        <v>0</v>
      </c>
      <c r="F52" s="181" t="s">
        <v>2352</v>
      </c>
    </row>
    <row r="53" spans="1:6" ht="18.2" customHeight="1">
      <c r="A53" s="179"/>
      <c r="B53" s="180"/>
      <c r="C53" s="169"/>
      <c r="D53" s="169"/>
      <c r="E53" s="169"/>
      <c r="F53" s="181"/>
    </row>
    <row r="54" spans="1:6" ht="34.5" customHeight="1">
      <c r="A54" s="179" t="s">
        <v>2353</v>
      </c>
      <c r="B54" s="180" t="s">
        <v>2107</v>
      </c>
      <c r="C54" s="169">
        <v>1</v>
      </c>
      <c r="D54" s="368"/>
      <c r="E54" s="169">
        <f>C54*D54</f>
        <v>0</v>
      </c>
      <c r="F54" s="181" t="s">
        <v>2354</v>
      </c>
    </row>
    <row r="55" spans="1:6" ht="18.2" customHeight="1">
      <c r="A55" s="179"/>
      <c r="B55" s="180"/>
      <c r="C55" s="169"/>
      <c r="D55" s="169"/>
      <c r="E55" s="169"/>
      <c r="F55" s="181"/>
    </row>
    <row r="56" spans="1:6" ht="34.5" customHeight="1">
      <c r="A56" s="179" t="s">
        <v>2355</v>
      </c>
      <c r="B56" s="180" t="s">
        <v>2107</v>
      </c>
      <c r="C56" s="169">
        <v>1</v>
      </c>
      <c r="D56" s="368"/>
      <c r="E56" s="169">
        <f>C56*D56</f>
        <v>0</v>
      </c>
      <c r="F56" s="181" t="s">
        <v>2356</v>
      </c>
    </row>
    <row r="57" spans="1:6" ht="18.2" customHeight="1">
      <c r="A57" s="179"/>
      <c r="B57" s="180"/>
      <c r="C57" s="169"/>
      <c r="D57" s="169"/>
      <c r="E57" s="169"/>
      <c r="F57" s="181"/>
    </row>
    <row r="58" spans="1:6" ht="34.5" customHeight="1">
      <c r="A58" s="179" t="s">
        <v>2357</v>
      </c>
      <c r="B58" s="180" t="s">
        <v>2107</v>
      </c>
      <c r="C58" s="169">
        <v>1</v>
      </c>
      <c r="D58" s="368"/>
      <c r="E58" s="169">
        <f>C58*D58</f>
        <v>0</v>
      </c>
      <c r="F58" s="181" t="s">
        <v>2358</v>
      </c>
    </row>
    <row r="59" spans="1:6" ht="18.2" customHeight="1">
      <c r="A59" s="179"/>
      <c r="B59" s="180"/>
      <c r="C59" s="169"/>
      <c r="D59" s="169"/>
      <c r="E59" s="169"/>
      <c r="F59" s="181"/>
    </row>
    <row r="60" spans="1:6" ht="34.5" customHeight="1">
      <c r="A60" s="179" t="s">
        <v>2359</v>
      </c>
      <c r="B60" s="180" t="s">
        <v>2107</v>
      </c>
      <c r="C60" s="169">
        <v>1</v>
      </c>
      <c r="D60" s="368"/>
      <c r="E60" s="169">
        <f>C60*D60</f>
        <v>0</v>
      </c>
      <c r="F60" s="181" t="s">
        <v>2360</v>
      </c>
    </row>
    <row r="61" spans="1:6" ht="18.2" customHeight="1">
      <c r="A61" s="179"/>
      <c r="B61" s="180"/>
      <c r="C61" s="169"/>
      <c r="D61" s="169"/>
      <c r="E61" s="169"/>
      <c r="F61" s="181"/>
    </row>
    <row r="62" spans="1:6" ht="23.85" customHeight="1">
      <c r="A62" s="179" t="s">
        <v>2361</v>
      </c>
      <c r="B62" s="180" t="s">
        <v>2107</v>
      </c>
      <c r="C62" s="169">
        <v>0</v>
      </c>
      <c r="D62" s="368"/>
      <c r="E62" s="169">
        <f>C62*D62</f>
        <v>0</v>
      </c>
      <c r="F62" s="181"/>
    </row>
    <row r="63" spans="1:6" ht="18.2" customHeight="1">
      <c r="A63" s="179"/>
      <c r="B63" s="180"/>
      <c r="C63" s="169"/>
      <c r="D63" s="169"/>
      <c r="E63" s="169"/>
      <c r="F63" s="181"/>
    </row>
    <row r="64" spans="1:6" ht="26.1" customHeight="1">
      <c r="A64" s="179" t="s">
        <v>2362</v>
      </c>
      <c r="B64" s="180" t="s">
        <v>2107</v>
      </c>
      <c r="C64" s="169">
        <v>1</v>
      </c>
      <c r="D64" s="368"/>
      <c r="E64" s="169">
        <f>C64*D64</f>
        <v>0</v>
      </c>
      <c r="F64" s="181"/>
    </row>
    <row r="65" spans="1:6" ht="18.2" customHeight="1">
      <c r="A65" s="179"/>
      <c r="B65" s="180"/>
      <c r="C65" s="169"/>
      <c r="D65" s="169"/>
      <c r="E65" s="169"/>
      <c r="F65" s="181"/>
    </row>
    <row r="66" spans="1:6" ht="18.2" customHeight="1">
      <c r="A66" s="179" t="s">
        <v>2363</v>
      </c>
      <c r="B66" s="180" t="s">
        <v>2107</v>
      </c>
      <c r="C66" s="169">
        <v>1</v>
      </c>
      <c r="D66" s="368"/>
      <c r="E66" s="169">
        <f>C66*D66</f>
        <v>0</v>
      </c>
      <c r="F66" s="181"/>
    </row>
    <row r="67" spans="1:6" ht="18.2" customHeight="1">
      <c r="A67" s="179"/>
      <c r="B67" s="180"/>
      <c r="C67" s="169"/>
      <c r="D67" s="169"/>
      <c r="E67" s="169"/>
      <c r="F67" s="181"/>
    </row>
    <row r="68" spans="1:6" ht="69" customHeight="1">
      <c r="A68" s="179" t="s">
        <v>2364</v>
      </c>
      <c r="B68" s="180" t="s">
        <v>2107</v>
      </c>
      <c r="C68" s="169">
        <v>2</v>
      </c>
      <c r="D68" s="368"/>
      <c r="E68" s="169">
        <f aca="true" t="shared" si="0" ref="E68:E69">C68*D68</f>
        <v>0</v>
      </c>
      <c r="F68" s="181" t="s">
        <v>2365</v>
      </c>
    </row>
    <row r="69" spans="1:6" ht="67.15" customHeight="1">
      <c r="A69" s="179" t="s">
        <v>2366</v>
      </c>
      <c r="B69" s="180" t="s">
        <v>2107</v>
      </c>
      <c r="C69" s="169">
        <v>1</v>
      </c>
      <c r="D69" s="368"/>
      <c r="E69" s="169">
        <f t="shared" si="0"/>
        <v>0</v>
      </c>
      <c r="F69" s="181" t="s">
        <v>2367</v>
      </c>
    </row>
    <row r="70" spans="1:6" ht="18.2" customHeight="1">
      <c r="A70" s="179"/>
      <c r="B70" s="180"/>
      <c r="C70" s="169"/>
      <c r="D70" s="169"/>
      <c r="E70" s="169"/>
      <c r="F70" s="181"/>
    </row>
    <row r="71" spans="1:6" ht="18.2" customHeight="1">
      <c r="A71" s="179" t="s">
        <v>2368</v>
      </c>
      <c r="B71" s="180" t="s">
        <v>2107</v>
      </c>
      <c r="C71" s="169">
        <v>3</v>
      </c>
      <c r="D71" s="368"/>
      <c r="E71" s="169">
        <f>C71*D71</f>
        <v>0</v>
      </c>
      <c r="F71" s="181"/>
    </row>
    <row r="72" spans="1:6" ht="18.2" customHeight="1">
      <c r="A72" s="179"/>
      <c r="B72" s="180"/>
      <c r="C72" s="169"/>
      <c r="D72" s="169"/>
      <c r="E72" s="169"/>
      <c r="F72" s="181"/>
    </row>
    <row r="73" spans="1:6" ht="3.4" customHeight="1">
      <c r="A73" s="182"/>
      <c r="B73" s="183"/>
      <c r="C73" s="184"/>
      <c r="D73" s="184"/>
      <c r="E73" s="184"/>
      <c r="F73" s="185"/>
    </row>
    <row r="74" spans="1:6" ht="14.65" customHeight="1">
      <c r="A74" s="173"/>
      <c r="B74" s="167"/>
      <c r="C74" s="168"/>
      <c r="D74" s="169"/>
      <c r="E74" s="169"/>
      <c r="F74" s="171"/>
    </row>
    <row r="75" spans="1:6" ht="14.65" customHeight="1">
      <c r="A75" s="175" t="s">
        <v>2369</v>
      </c>
      <c r="B75" s="180"/>
      <c r="C75" s="169"/>
      <c r="D75" s="169"/>
      <c r="E75" s="176">
        <f>SUM(E77:E83)</f>
        <v>0</v>
      </c>
      <c r="F75" s="171" t="s">
        <v>2333</v>
      </c>
    </row>
    <row r="76" spans="1:6" ht="14.65" customHeight="1">
      <c r="A76" s="175"/>
      <c r="B76" s="180"/>
      <c r="C76" s="169"/>
      <c r="D76" s="169"/>
      <c r="E76" s="186"/>
      <c r="F76" s="171"/>
    </row>
    <row r="77" spans="1:8" ht="87" customHeight="1">
      <c r="A77" s="179" t="s">
        <v>2370</v>
      </c>
      <c r="B77" s="180" t="s">
        <v>2107</v>
      </c>
      <c r="C77" s="169">
        <v>2</v>
      </c>
      <c r="D77" s="368"/>
      <c r="E77" s="169">
        <f>C77*D77</f>
        <v>0</v>
      </c>
      <c r="F77" s="171"/>
      <c r="H77" s="174"/>
    </row>
    <row r="78" spans="1:6" ht="14.65" customHeight="1">
      <c r="A78" s="179"/>
      <c r="B78" s="180"/>
      <c r="C78" s="169"/>
      <c r="D78" s="169"/>
      <c r="E78" s="169"/>
      <c r="F78" s="171"/>
    </row>
    <row r="79" spans="1:8" ht="14.65" customHeight="1">
      <c r="A79" s="179" t="s">
        <v>2371</v>
      </c>
      <c r="B79" s="180" t="s">
        <v>2107</v>
      </c>
      <c r="C79" s="169">
        <v>1</v>
      </c>
      <c r="D79" s="368"/>
      <c r="E79" s="169">
        <f>C79*D79</f>
        <v>0</v>
      </c>
      <c r="F79" s="171"/>
      <c r="H79" s="174"/>
    </row>
    <row r="80" spans="1:8" ht="14.65" customHeight="1">
      <c r="A80" s="179"/>
      <c r="B80" s="180"/>
      <c r="C80" s="169"/>
      <c r="D80" s="169"/>
      <c r="E80" s="169"/>
      <c r="F80" s="171"/>
      <c r="H80" s="174"/>
    </row>
    <row r="81" spans="1:8" ht="14.65" customHeight="1">
      <c r="A81" s="179" t="s">
        <v>2372</v>
      </c>
      <c r="B81" s="180" t="s">
        <v>2107</v>
      </c>
      <c r="C81" s="169">
        <v>1</v>
      </c>
      <c r="D81" s="368"/>
      <c r="E81" s="169">
        <f>C81*D81</f>
        <v>0</v>
      </c>
      <c r="F81" s="171"/>
      <c r="H81" s="174"/>
    </row>
    <row r="82" spans="1:6" ht="14.65" customHeight="1">
      <c r="A82" s="179"/>
      <c r="B82" s="180"/>
      <c r="C82" s="169"/>
      <c r="D82" s="169"/>
      <c r="E82" s="169"/>
      <c r="F82" s="171"/>
    </row>
    <row r="83" spans="1:6" ht="48" customHeight="1">
      <c r="A83" s="187" t="s">
        <v>2373</v>
      </c>
      <c r="B83" s="180"/>
      <c r="C83" s="169"/>
      <c r="D83" s="169"/>
      <c r="E83" s="169"/>
      <c r="F83" s="171"/>
    </row>
    <row r="84" spans="1:6" ht="14.65" customHeight="1">
      <c r="A84" s="173"/>
      <c r="B84" s="167"/>
      <c r="C84" s="168"/>
      <c r="D84" s="169"/>
      <c r="E84" s="169"/>
      <c r="F84" s="171"/>
    </row>
    <row r="85" spans="1:6" ht="3.4" customHeight="1">
      <c r="A85" s="182"/>
      <c r="B85" s="183"/>
      <c r="C85" s="184"/>
      <c r="D85" s="184"/>
      <c r="E85" s="184"/>
      <c r="F85" s="185"/>
    </row>
    <row r="86" spans="1:6" ht="14.65" customHeight="1">
      <c r="A86" s="179"/>
      <c r="B86" s="180"/>
      <c r="C86" s="169"/>
      <c r="D86" s="169"/>
      <c r="E86" s="169"/>
      <c r="F86" s="171"/>
    </row>
    <row r="87" spans="1:6" ht="14.65" customHeight="1">
      <c r="A87" s="175" t="s">
        <v>2374</v>
      </c>
      <c r="B87" s="167"/>
      <c r="C87" s="168"/>
      <c r="D87" s="169"/>
      <c r="E87" s="176">
        <f>SUM(E88:E114)</f>
        <v>0</v>
      </c>
      <c r="F87" s="171" t="s">
        <v>2333</v>
      </c>
    </row>
    <row r="88" spans="1:6" ht="14.65" customHeight="1">
      <c r="A88" s="187"/>
      <c r="B88" s="180"/>
      <c r="C88" s="169"/>
      <c r="D88" s="169"/>
      <c r="E88" s="169"/>
      <c r="F88" s="171"/>
    </row>
    <row r="89" spans="1:6" ht="24.2" customHeight="1">
      <c r="A89" s="188" t="s">
        <v>2375</v>
      </c>
      <c r="B89" s="180"/>
      <c r="C89" s="169"/>
      <c r="D89" s="169"/>
      <c r="E89" s="169"/>
      <c r="F89" s="171"/>
    </row>
    <row r="90" spans="1:6" ht="14.65" customHeight="1">
      <c r="A90" s="187"/>
      <c r="B90" s="180"/>
      <c r="C90" s="169"/>
      <c r="D90" s="169"/>
      <c r="E90" s="169"/>
      <c r="F90" s="171"/>
    </row>
    <row r="91" spans="1:6" ht="14.65" customHeight="1">
      <c r="A91" s="117" t="s">
        <v>2376</v>
      </c>
      <c r="B91" s="180" t="s">
        <v>2107</v>
      </c>
      <c r="C91" s="169">
        <v>1</v>
      </c>
      <c r="D91" s="368"/>
      <c r="E91" s="169">
        <f>C91*D91</f>
        <v>0</v>
      </c>
      <c r="F91" s="171"/>
    </row>
    <row r="92" spans="2:6" ht="14.65" customHeight="1">
      <c r="B92" s="180"/>
      <c r="C92" s="169"/>
      <c r="D92" s="169"/>
      <c r="E92" s="169"/>
      <c r="F92" s="171"/>
    </row>
    <row r="93" spans="1:6" ht="14.65" customHeight="1">
      <c r="A93" s="179" t="s">
        <v>2377</v>
      </c>
      <c r="B93" s="180" t="s">
        <v>2107</v>
      </c>
      <c r="C93" s="169">
        <v>6</v>
      </c>
      <c r="D93" s="368"/>
      <c r="E93" s="169">
        <f>C93*D93</f>
        <v>0</v>
      </c>
      <c r="F93" s="171"/>
    </row>
    <row r="94" spans="1:6" ht="9.2" customHeight="1">
      <c r="A94" s="179"/>
      <c r="B94" s="180"/>
      <c r="C94" s="169"/>
      <c r="D94" s="169"/>
      <c r="E94" s="169"/>
      <c r="F94" s="171"/>
    </row>
    <row r="95" spans="1:6" ht="14.65" customHeight="1">
      <c r="A95" s="117" t="s">
        <v>2378</v>
      </c>
      <c r="B95" s="180" t="s">
        <v>2107</v>
      </c>
      <c r="C95" s="169">
        <v>2</v>
      </c>
      <c r="D95" s="368"/>
      <c r="E95" s="169">
        <f>C95*D95</f>
        <v>0</v>
      </c>
      <c r="F95" s="171"/>
    </row>
    <row r="96" spans="2:6" ht="8.25" customHeight="1">
      <c r="B96" s="180"/>
      <c r="C96" s="169"/>
      <c r="D96" s="169"/>
      <c r="E96" s="169"/>
      <c r="F96" s="171"/>
    </row>
    <row r="97" spans="1:6" ht="14.65" customHeight="1">
      <c r="A97" s="117" t="s">
        <v>2379</v>
      </c>
      <c r="B97" s="180" t="s">
        <v>2107</v>
      </c>
      <c r="C97" s="169">
        <v>1</v>
      </c>
      <c r="D97" s="368"/>
      <c r="E97" s="169">
        <f aca="true" t="shared" si="1" ref="E97:E102">C97*D97</f>
        <v>0</v>
      </c>
      <c r="F97" s="171"/>
    </row>
    <row r="98" spans="1:6" ht="14.65" customHeight="1">
      <c r="A98" s="117" t="s">
        <v>2380</v>
      </c>
      <c r="B98" s="180" t="s">
        <v>2107</v>
      </c>
      <c r="C98" s="169">
        <v>4</v>
      </c>
      <c r="D98" s="368"/>
      <c r="E98" s="169">
        <f t="shared" si="1"/>
        <v>0</v>
      </c>
      <c r="F98" s="171"/>
    </row>
    <row r="99" spans="1:6" ht="14.65" customHeight="1">
      <c r="A99" s="117" t="s">
        <v>2381</v>
      </c>
      <c r="B99" s="180" t="s">
        <v>2107</v>
      </c>
      <c r="C99" s="169">
        <v>6</v>
      </c>
      <c r="D99" s="368"/>
      <c r="E99" s="169">
        <f t="shared" si="1"/>
        <v>0</v>
      </c>
      <c r="F99" s="171"/>
    </row>
    <row r="100" spans="1:6" ht="14.65" customHeight="1">
      <c r="A100" s="117" t="s">
        <v>2382</v>
      </c>
      <c r="B100" s="180" t="s">
        <v>2107</v>
      </c>
      <c r="C100" s="169">
        <v>6</v>
      </c>
      <c r="D100" s="368"/>
      <c r="E100" s="169">
        <f t="shared" si="1"/>
        <v>0</v>
      </c>
      <c r="F100" s="171"/>
    </row>
    <row r="101" spans="1:6" ht="14.65" customHeight="1">
      <c r="A101" s="117" t="s">
        <v>2383</v>
      </c>
      <c r="B101" s="180" t="s">
        <v>2107</v>
      </c>
      <c r="C101" s="169">
        <v>1</v>
      </c>
      <c r="D101" s="368"/>
      <c r="E101" s="169">
        <f t="shared" si="1"/>
        <v>0</v>
      </c>
      <c r="F101" s="171"/>
    </row>
    <row r="102" spans="1:6" ht="14.65" customHeight="1">
      <c r="A102" s="117" t="s">
        <v>2384</v>
      </c>
      <c r="B102" s="180" t="s">
        <v>2107</v>
      </c>
      <c r="C102" s="169">
        <v>1</v>
      </c>
      <c r="D102" s="368"/>
      <c r="E102" s="169">
        <f t="shared" si="1"/>
        <v>0</v>
      </c>
      <c r="F102" s="171"/>
    </row>
    <row r="103" spans="2:6" ht="14.65" customHeight="1">
      <c r="B103" s="180"/>
      <c r="C103" s="169"/>
      <c r="D103" s="169"/>
      <c r="E103" s="169"/>
      <c r="F103" s="171"/>
    </row>
    <row r="104" spans="1:6" ht="14.65" customHeight="1">
      <c r="A104" s="117" t="s">
        <v>2385</v>
      </c>
      <c r="B104" s="180" t="s">
        <v>2107</v>
      </c>
      <c r="C104" s="169">
        <v>8</v>
      </c>
      <c r="D104" s="368"/>
      <c r="E104" s="169">
        <f>C104*D104</f>
        <v>0</v>
      </c>
      <c r="F104" s="171"/>
    </row>
    <row r="105" spans="2:6" ht="14.65" customHeight="1">
      <c r="B105" s="180"/>
      <c r="C105" s="169"/>
      <c r="D105" s="169"/>
      <c r="E105" s="169"/>
      <c r="F105" s="171"/>
    </row>
    <row r="106" spans="1:6" ht="14.65" customHeight="1">
      <c r="A106" s="117" t="s">
        <v>2386</v>
      </c>
      <c r="B106" s="180" t="s">
        <v>2107</v>
      </c>
      <c r="C106" s="169">
        <v>1</v>
      </c>
      <c r="D106" s="368"/>
      <c r="E106" s="169">
        <f>C106*D106</f>
        <v>0</v>
      </c>
      <c r="F106" s="171"/>
    </row>
    <row r="107" spans="2:6" ht="14.65" customHeight="1">
      <c r="B107" s="180"/>
      <c r="C107" s="169"/>
      <c r="D107" s="169"/>
      <c r="E107" s="169"/>
      <c r="F107" s="171"/>
    </row>
    <row r="108" spans="1:6" ht="14.65" customHeight="1">
      <c r="A108" s="117" t="s">
        <v>2387</v>
      </c>
      <c r="B108" s="180" t="s">
        <v>2107</v>
      </c>
      <c r="C108" s="169">
        <v>3</v>
      </c>
      <c r="D108" s="368"/>
      <c r="E108" s="169">
        <f aca="true" t="shared" si="2" ref="E108:E109">C108*D108</f>
        <v>0</v>
      </c>
      <c r="F108" s="171"/>
    </row>
    <row r="109" spans="1:6" ht="14.65" customHeight="1">
      <c r="A109" s="117" t="s">
        <v>2388</v>
      </c>
      <c r="B109" s="180" t="s">
        <v>2107</v>
      </c>
      <c r="C109" s="169">
        <v>4</v>
      </c>
      <c r="D109" s="368"/>
      <c r="E109" s="169">
        <f t="shared" si="2"/>
        <v>0</v>
      </c>
      <c r="F109" s="171"/>
    </row>
    <row r="110" spans="2:6" ht="14.65" customHeight="1">
      <c r="B110" s="180"/>
      <c r="C110" s="169"/>
      <c r="D110" s="169"/>
      <c r="E110" s="169"/>
      <c r="F110" s="171"/>
    </row>
    <row r="111" spans="1:6" ht="24.2" customHeight="1">
      <c r="A111" s="188" t="s">
        <v>2389</v>
      </c>
      <c r="B111" s="180"/>
      <c r="C111" s="169"/>
      <c r="D111" s="169"/>
      <c r="E111" s="169"/>
      <c r="F111" s="171"/>
    </row>
    <row r="112" spans="2:6" ht="14.65" customHeight="1">
      <c r="B112" s="180"/>
      <c r="C112" s="169"/>
      <c r="D112" s="169"/>
      <c r="E112" s="169"/>
      <c r="F112" s="171"/>
    </row>
    <row r="113" spans="1:6" ht="14.65" customHeight="1">
      <c r="A113" s="117" t="s">
        <v>2390</v>
      </c>
      <c r="B113" s="180" t="s">
        <v>2107</v>
      </c>
      <c r="C113" s="169">
        <v>6</v>
      </c>
      <c r="D113" s="368"/>
      <c r="E113" s="169">
        <f>C113*D113</f>
        <v>0</v>
      </c>
      <c r="F113" s="171"/>
    </row>
    <row r="114" spans="2:6" ht="14.65" customHeight="1">
      <c r="B114" s="180"/>
      <c r="C114" s="169"/>
      <c r="D114" s="169"/>
      <c r="E114" s="169"/>
      <c r="F114" s="171"/>
    </row>
    <row r="115" spans="1:6" ht="3.4" customHeight="1">
      <c r="A115" s="182"/>
      <c r="B115" s="183"/>
      <c r="C115" s="184"/>
      <c r="D115" s="184"/>
      <c r="E115" s="184"/>
      <c r="F115" s="185"/>
    </row>
    <row r="116" spans="1:6" ht="14.65" customHeight="1">
      <c r="A116" s="179"/>
      <c r="B116" s="180"/>
      <c r="C116" s="169"/>
      <c r="D116" s="169"/>
      <c r="E116" s="169"/>
      <c r="F116" s="171"/>
    </row>
    <row r="117" spans="1:6" ht="14.65" customHeight="1">
      <c r="A117" s="175" t="s">
        <v>2391</v>
      </c>
      <c r="B117" s="167"/>
      <c r="C117" s="168"/>
      <c r="D117" s="169"/>
      <c r="E117" s="176">
        <f>SUM(E118:E178)</f>
        <v>0</v>
      </c>
      <c r="F117" s="171" t="s">
        <v>2333</v>
      </c>
    </row>
    <row r="118" spans="1:6" ht="14.65" customHeight="1">
      <c r="A118" s="166"/>
      <c r="B118" s="180"/>
      <c r="C118" s="169"/>
      <c r="D118" s="169"/>
      <c r="E118" s="186"/>
      <c r="F118" s="171"/>
    </row>
    <row r="119" spans="1:6" ht="23.85" customHeight="1">
      <c r="A119" s="189" t="s">
        <v>2392</v>
      </c>
      <c r="B119" s="180" t="s">
        <v>2107</v>
      </c>
      <c r="C119" s="169">
        <f>SUM(C91:C109)</f>
        <v>44</v>
      </c>
      <c r="D119" s="368"/>
      <c r="E119" s="169">
        <f>C119*D119</f>
        <v>0</v>
      </c>
      <c r="F119" s="171"/>
    </row>
    <row r="120" spans="1:6" ht="14.65" customHeight="1">
      <c r="A120" s="166"/>
      <c r="B120" s="180"/>
      <c r="C120" s="169"/>
      <c r="D120" s="169"/>
      <c r="E120" s="186"/>
      <c r="F120" s="171"/>
    </row>
    <row r="121" spans="1:6" ht="34.35" customHeight="1">
      <c r="A121" s="190" t="s">
        <v>2393</v>
      </c>
      <c r="B121" s="158" t="s">
        <v>2107</v>
      </c>
      <c r="C121" s="159">
        <f>C119*2</f>
        <v>88</v>
      </c>
      <c r="D121" s="368"/>
      <c r="E121" s="169">
        <f>C121*D121</f>
        <v>0</v>
      </c>
      <c r="F121" s="171"/>
    </row>
    <row r="122" spans="1:6" ht="14.65" customHeight="1">
      <c r="A122" s="190"/>
      <c r="E122" s="169"/>
      <c r="F122" s="171"/>
    </row>
    <row r="123" spans="1:6" ht="24.2" customHeight="1">
      <c r="A123" s="179" t="s">
        <v>2394</v>
      </c>
      <c r="B123" s="180" t="s">
        <v>2107</v>
      </c>
      <c r="C123" s="159">
        <f>C113</f>
        <v>6</v>
      </c>
      <c r="D123" s="368"/>
      <c r="E123" s="169">
        <f>C123*D123</f>
        <v>0</v>
      </c>
      <c r="F123" s="171"/>
    </row>
    <row r="124" spans="1:6" ht="14.65" customHeight="1">
      <c r="A124" s="179"/>
      <c r="E124" s="169"/>
      <c r="F124" s="171"/>
    </row>
    <row r="125" spans="1:6" ht="34.9" customHeight="1">
      <c r="A125" s="190" t="s">
        <v>2393</v>
      </c>
      <c r="B125" s="158" t="s">
        <v>2107</v>
      </c>
      <c r="C125" s="159">
        <f>C123*2</f>
        <v>12</v>
      </c>
      <c r="D125" s="368"/>
      <c r="E125" s="169">
        <f>C125*D125</f>
        <v>0</v>
      </c>
      <c r="F125" s="171"/>
    </row>
    <row r="126" spans="1:6" ht="14.65" customHeight="1">
      <c r="A126" s="166"/>
      <c r="B126" s="180"/>
      <c r="C126" s="169"/>
      <c r="D126" s="169"/>
      <c r="E126" s="186"/>
      <c r="F126" s="171"/>
    </row>
    <row r="127" spans="1:6" ht="14.65" customHeight="1">
      <c r="A127" s="190" t="s">
        <v>2395</v>
      </c>
      <c r="B127" s="158" t="s">
        <v>2107</v>
      </c>
      <c r="C127" s="159">
        <f>2*SUM(C91:C109)-12</f>
        <v>76</v>
      </c>
      <c r="D127" s="368"/>
      <c r="E127" s="169">
        <f>C127*D127</f>
        <v>0</v>
      </c>
      <c r="F127" s="171"/>
    </row>
    <row r="128" spans="1:6" ht="14.65" customHeight="1">
      <c r="A128" s="166"/>
      <c r="B128" s="180"/>
      <c r="C128" s="169"/>
      <c r="D128" s="169"/>
      <c r="E128" s="186"/>
      <c r="F128" s="171"/>
    </row>
    <row r="129" spans="1:6" ht="23.85" customHeight="1">
      <c r="A129" s="190" t="s">
        <v>2396</v>
      </c>
      <c r="B129" s="158" t="s">
        <v>2107</v>
      </c>
      <c r="C129" s="159">
        <f>C125+C121</f>
        <v>100</v>
      </c>
      <c r="D129" s="368"/>
      <c r="E129" s="169">
        <f>C129*D129</f>
        <v>0</v>
      </c>
      <c r="F129" s="171"/>
    </row>
    <row r="130" spans="1:6" ht="14.65" customHeight="1">
      <c r="A130" s="166"/>
      <c r="B130" s="180"/>
      <c r="C130" s="169"/>
      <c r="D130" s="169"/>
      <c r="E130" s="186"/>
      <c r="F130" s="171"/>
    </row>
    <row r="131" spans="1:6" ht="24" customHeight="1">
      <c r="A131" s="190" t="s">
        <v>2397</v>
      </c>
      <c r="B131" s="158" t="s">
        <v>2107</v>
      </c>
      <c r="C131" s="159">
        <f>SUM(C91:C113)</f>
        <v>50</v>
      </c>
      <c r="D131" s="368"/>
      <c r="E131" s="169">
        <f>C131*D131</f>
        <v>0</v>
      </c>
      <c r="F131" s="171"/>
    </row>
    <row r="132" spans="1:6" ht="14.65" customHeight="1">
      <c r="A132" s="166"/>
      <c r="B132" s="180"/>
      <c r="C132" s="169"/>
      <c r="D132" s="169"/>
      <c r="E132" s="186"/>
      <c r="F132" s="171"/>
    </row>
    <row r="133" spans="1:6" ht="23.85" customHeight="1">
      <c r="A133" s="190" t="s">
        <v>2398</v>
      </c>
      <c r="B133" s="158" t="s">
        <v>2107</v>
      </c>
      <c r="C133" s="159">
        <f>C131</f>
        <v>50</v>
      </c>
      <c r="D133" s="368"/>
      <c r="E133" s="169">
        <f>C133*D133</f>
        <v>0</v>
      </c>
      <c r="F133" s="171"/>
    </row>
    <row r="134" spans="1:6" ht="14.65" customHeight="1">
      <c r="A134" s="166"/>
      <c r="B134" s="180"/>
      <c r="C134" s="169"/>
      <c r="D134" s="169"/>
      <c r="E134" s="186"/>
      <c r="F134" s="171"/>
    </row>
    <row r="135" spans="1:6" ht="14.65" customHeight="1">
      <c r="A135" s="117" t="s">
        <v>2399</v>
      </c>
      <c r="E135" s="169"/>
      <c r="F135" s="164"/>
    </row>
    <row r="136" spans="1:9" ht="14.65" customHeight="1">
      <c r="A136" s="117" t="s">
        <v>2400</v>
      </c>
      <c r="B136" s="158" t="s">
        <v>2107</v>
      </c>
      <c r="C136" s="159">
        <v>9</v>
      </c>
      <c r="D136" s="368"/>
      <c r="E136" s="169">
        <f>C136*D136</f>
        <v>0</v>
      </c>
      <c r="F136" s="164"/>
      <c r="H136" s="174"/>
      <c r="I136" s="174"/>
    </row>
    <row r="137" spans="5:9" ht="14.65" customHeight="1">
      <c r="E137" s="169"/>
      <c r="F137" s="164"/>
      <c r="H137" s="174"/>
      <c r="I137" s="174"/>
    </row>
    <row r="138" spans="1:9" ht="14.65" customHeight="1">
      <c r="A138" s="117" t="s">
        <v>2401</v>
      </c>
      <c r="E138" s="169"/>
      <c r="F138" s="164"/>
      <c r="H138" s="174"/>
      <c r="I138" s="174"/>
    </row>
    <row r="139" spans="1:9" ht="14.65" customHeight="1">
      <c r="A139" s="117" t="s">
        <v>2402</v>
      </c>
      <c r="B139" s="158" t="s">
        <v>2107</v>
      </c>
      <c r="C139" s="159">
        <v>10</v>
      </c>
      <c r="D139" s="368"/>
      <c r="E139" s="169">
        <f>C139*D139</f>
        <v>0</v>
      </c>
      <c r="F139" s="164"/>
      <c r="H139" s="174"/>
      <c r="I139" s="174"/>
    </row>
    <row r="140" spans="5:9" ht="14.65" customHeight="1">
      <c r="E140" s="169"/>
      <c r="F140" s="164"/>
      <c r="H140" s="191"/>
      <c r="I140" s="191"/>
    </row>
    <row r="141" spans="1:9" ht="14.65" customHeight="1">
      <c r="A141" s="192" t="s">
        <v>2403</v>
      </c>
      <c r="F141" s="164"/>
      <c r="H141" s="174"/>
      <c r="I141" s="174"/>
    </row>
    <row r="142" spans="1:10" ht="14.65" customHeight="1">
      <c r="A142" s="117" t="s">
        <v>2404</v>
      </c>
      <c r="B142" s="158" t="s">
        <v>2107</v>
      </c>
      <c r="C142" s="159">
        <v>5</v>
      </c>
      <c r="D142" s="368"/>
      <c r="E142" s="169">
        <f aca="true" t="shared" si="3" ref="E142:E145">C142*D142</f>
        <v>0</v>
      </c>
      <c r="F142" s="164"/>
      <c r="H142" s="193"/>
      <c r="I142" s="194"/>
      <c r="J142"/>
    </row>
    <row r="143" spans="1:10" ht="14.65" customHeight="1">
      <c r="A143" s="117" t="s">
        <v>2405</v>
      </c>
      <c r="B143" s="158" t="s">
        <v>2107</v>
      </c>
      <c r="C143" s="159">
        <v>8</v>
      </c>
      <c r="D143" s="368"/>
      <c r="E143" s="169">
        <f t="shared" si="3"/>
        <v>0</v>
      </c>
      <c r="F143" s="164"/>
      <c r="H143" s="193"/>
      <c r="I143" s="194"/>
      <c r="J143"/>
    </row>
    <row r="144" spans="1:9" ht="14.65" customHeight="1">
      <c r="A144" s="117" t="s">
        <v>2406</v>
      </c>
      <c r="B144" s="158" t="s">
        <v>2107</v>
      </c>
      <c r="C144" s="159">
        <v>10</v>
      </c>
      <c r="D144" s="368"/>
      <c r="E144" s="169">
        <f t="shared" si="3"/>
        <v>0</v>
      </c>
      <c r="F144" s="164"/>
      <c r="H144" s="193"/>
      <c r="I144" s="194"/>
    </row>
    <row r="145" spans="1:9" ht="14.65" customHeight="1">
      <c r="A145" s="117" t="s">
        <v>2407</v>
      </c>
      <c r="B145" s="158" t="s">
        <v>2107</v>
      </c>
      <c r="C145" s="159">
        <v>4</v>
      </c>
      <c r="D145" s="368"/>
      <c r="E145" s="169">
        <f t="shared" si="3"/>
        <v>0</v>
      </c>
      <c r="F145" s="164"/>
      <c r="H145" s="174"/>
      <c r="I145" s="174"/>
    </row>
    <row r="146" spans="6:9" ht="14.65" customHeight="1">
      <c r="F146" s="164"/>
      <c r="H146" s="174"/>
      <c r="I146" s="174"/>
    </row>
    <row r="147" spans="1:9" ht="14.65" customHeight="1">
      <c r="A147" s="192" t="s">
        <v>2408</v>
      </c>
      <c r="F147" s="164"/>
      <c r="H147" s="174"/>
      <c r="I147" s="174"/>
    </row>
    <row r="148" spans="1:9" ht="14.65" customHeight="1">
      <c r="A148" s="117" t="s">
        <v>2406</v>
      </c>
      <c r="B148" s="158" t="s">
        <v>2107</v>
      </c>
      <c r="C148" s="159">
        <v>2</v>
      </c>
      <c r="D148" s="368"/>
      <c r="E148" s="169">
        <f>C148*D148</f>
        <v>0</v>
      </c>
      <c r="F148" s="164"/>
      <c r="H148" s="174"/>
      <c r="I148" s="174"/>
    </row>
    <row r="149" spans="5:9" ht="14.65" customHeight="1">
      <c r="E149" s="169"/>
      <c r="F149" s="164"/>
      <c r="G149"/>
      <c r="H149" s="191"/>
      <c r="I149" s="191"/>
    </row>
    <row r="150" spans="1:9" ht="14.65" customHeight="1">
      <c r="A150" s="117" t="s">
        <v>2409</v>
      </c>
      <c r="E150" s="169"/>
      <c r="F150" s="164"/>
      <c r="G150"/>
      <c r="H150" s="191"/>
      <c r="I150" s="191"/>
    </row>
    <row r="151" spans="1:9" ht="14.65" customHeight="1">
      <c r="A151" s="117" t="s">
        <v>2405</v>
      </c>
      <c r="B151" s="158" t="s">
        <v>2107</v>
      </c>
      <c r="C151" s="159">
        <v>2</v>
      </c>
      <c r="D151" s="368"/>
      <c r="E151" s="169">
        <f aca="true" t="shared" si="4" ref="E151:E152">C151*D151</f>
        <v>0</v>
      </c>
      <c r="F151" s="164"/>
      <c r="G151"/>
      <c r="H151" s="191"/>
      <c r="I151" s="191"/>
    </row>
    <row r="152" spans="1:9" ht="14.65" customHeight="1">
      <c r="A152" s="117" t="s">
        <v>2406</v>
      </c>
      <c r="B152" s="158" t="s">
        <v>2107</v>
      </c>
      <c r="C152" s="159">
        <v>2</v>
      </c>
      <c r="D152" s="368"/>
      <c r="E152" s="169">
        <f t="shared" si="4"/>
        <v>0</v>
      </c>
      <c r="F152" s="164"/>
      <c r="G152"/>
      <c r="H152" s="191"/>
      <c r="I152" s="191"/>
    </row>
    <row r="153" spans="5:9" ht="14.65" customHeight="1">
      <c r="E153" s="169"/>
      <c r="F153" s="164"/>
      <c r="G153"/>
      <c r="H153" s="191"/>
      <c r="I153" s="191"/>
    </row>
    <row r="154" spans="1:9" ht="14.65" customHeight="1">
      <c r="A154" s="166" t="s">
        <v>2410</v>
      </c>
      <c r="E154" s="169"/>
      <c r="F154" s="164"/>
      <c r="G154"/>
      <c r="H154" s="191"/>
      <c r="I154" s="191"/>
    </row>
    <row r="155" spans="1:9" ht="14.65" customHeight="1">
      <c r="A155" s="195" t="s">
        <v>2405</v>
      </c>
      <c r="B155" s="158" t="s">
        <v>2107</v>
      </c>
      <c r="C155" s="159">
        <v>2</v>
      </c>
      <c r="D155" s="368"/>
      <c r="E155" s="169">
        <f aca="true" t="shared" si="5" ref="E155:E156">C155*D155</f>
        <v>0</v>
      </c>
      <c r="F155" s="164"/>
      <c r="H155" s="174"/>
      <c r="I155" s="174"/>
    </row>
    <row r="156" spans="1:9" ht="14.65" customHeight="1">
      <c r="A156" s="195" t="s">
        <v>2406</v>
      </c>
      <c r="B156" s="158" t="s">
        <v>2107</v>
      </c>
      <c r="C156" s="159">
        <v>4</v>
      </c>
      <c r="D156" s="368"/>
      <c r="E156" s="169">
        <f t="shared" si="5"/>
        <v>0</v>
      </c>
      <c r="F156" s="164"/>
      <c r="H156" s="174"/>
      <c r="I156" s="174"/>
    </row>
    <row r="157" spans="1:9" ht="14.65" customHeight="1">
      <c r="A157" s="195"/>
      <c r="E157" s="169"/>
      <c r="F157" s="164"/>
      <c r="H157" s="174"/>
      <c r="I157" s="174"/>
    </row>
    <row r="158" spans="1:8" ht="14.65" customHeight="1">
      <c r="A158" s="192" t="s">
        <v>2411</v>
      </c>
      <c r="F158" s="164"/>
      <c r="H158" s="174"/>
    </row>
    <row r="159" spans="1:8" ht="14.65" customHeight="1">
      <c r="A159" s="117" t="s">
        <v>2405</v>
      </c>
      <c r="B159" s="158" t="s">
        <v>2107</v>
      </c>
      <c r="C159" s="159">
        <v>5</v>
      </c>
      <c r="D159" s="368"/>
      <c r="E159" s="169">
        <f aca="true" t="shared" si="6" ref="E159:E161">C159*D159</f>
        <v>0</v>
      </c>
      <c r="F159" s="164"/>
      <c r="H159" s="174"/>
    </row>
    <row r="160" spans="1:8" ht="14.65" customHeight="1">
      <c r="A160" s="117" t="s">
        <v>2406</v>
      </c>
      <c r="B160" s="158" t="s">
        <v>2107</v>
      </c>
      <c r="C160" s="159">
        <v>2</v>
      </c>
      <c r="D160" s="368"/>
      <c r="E160" s="169">
        <f t="shared" si="6"/>
        <v>0</v>
      </c>
      <c r="F160" s="164"/>
      <c r="H160" s="174"/>
    </row>
    <row r="161" spans="1:8" ht="14.65" customHeight="1">
      <c r="A161" s="117" t="s">
        <v>2407</v>
      </c>
      <c r="B161" s="158" t="s">
        <v>2107</v>
      </c>
      <c r="C161" s="159">
        <v>4</v>
      </c>
      <c r="D161" s="368"/>
      <c r="E161" s="169">
        <f t="shared" si="6"/>
        <v>0</v>
      </c>
      <c r="F161" s="164"/>
      <c r="H161" s="174"/>
    </row>
    <row r="162" spans="5:8" ht="14.65" customHeight="1">
      <c r="E162" s="169"/>
      <c r="F162" s="164"/>
      <c r="H162" s="174"/>
    </row>
    <row r="163" spans="1:8" ht="37.35" customHeight="1">
      <c r="A163" s="190" t="s">
        <v>2412</v>
      </c>
      <c r="B163" s="158" t="s">
        <v>2107</v>
      </c>
      <c r="C163" s="159">
        <v>12</v>
      </c>
      <c r="D163" s="368"/>
      <c r="E163" s="169">
        <f>C163*D163</f>
        <v>0</v>
      </c>
      <c r="F163" s="164"/>
      <c r="H163" s="174"/>
    </row>
    <row r="164" spans="1:8" ht="14.65" customHeight="1">
      <c r="A164" s="190"/>
      <c r="E164" s="169"/>
      <c r="F164" s="164"/>
      <c r="H164" s="174"/>
    </row>
    <row r="165" spans="1:8" ht="37.35" customHeight="1">
      <c r="A165" s="190" t="s">
        <v>2413</v>
      </c>
      <c r="B165" s="158" t="s">
        <v>2107</v>
      </c>
      <c r="C165" s="159">
        <v>1</v>
      </c>
      <c r="D165" s="368"/>
      <c r="E165" s="169">
        <f>C165*D165</f>
        <v>0</v>
      </c>
      <c r="F165" s="164"/>
      <c r="H165" s="174"/>
    </row>
    <row r="166" spans="1:8" ht="14.65" customHeight="1">
      <c r="A166" s="190"/>
      <c r="E166" s="169"/>
      <c r="F166" s="164"/>
      <c r="H166" s="174"/>
    </row>
    <row r="167" spans="1:8" ht="26.1" customHeight="1">
      <c r="A167" s="190" t="s">
        <v>2414</v>
      </c>
      <c r="B167" s="158" t="s">
        <v>2107</v>
      </c>
      <c r="C167" s="117">
        <v>2</v>
      </c>
      <c r="D167" s="369"/>
      <c r="E167" s="169">
        <f>C167*D167</f>
        <v>0</v>
      </c>
      <c r="F167" s="196"/>
      <c r="H167" s="174"/>
    </row>
    <row r="168" spans="1:8" ht="14.65" customHeight="1">
      <c r="A168" s="190"/>
      <c r="C168" s="117"/>
      <c r="D168" s="117"/>
      <c r="E168" s="169"/>
      <c r="F168" s="196"/>
      <c r="H168" s="174"/>
    </row>
    <row r="169" spans="1:8" ht="37.35" customHeight="1">
      <c r="A169" s="190" t="s">
        <v>2415</v>
      </c>
      <c r="B169" s="158" t="s">
        <v>2107</v>
      </c>
      <c r="C169" s="117">
        <v>2</v>
      </c>
      <c r="D169" s="369"/>
      <c r="E169" s="169">
        <f>C169*D169</f>
        <v>0</v>
      </c>
      <c r="F169" s="196"/>
      <c r="H169" s="174"/>
    </row>
    <row r="170" spans="1:8" ht="14.65" customHeight="1">
      <c r="A170" s="190"/>
      <c r="C170" s="117"/>
      <c r="D170" s="117"/>
      <c r="E170" s="169"/>
      <c r="F170" s="196"/>
      <c r="H170" s="174"/>
    </row>
    <row r="171" spans="1:8" ht="26.1" customHeight="1">
      <c r="A171" s="190" t="s">
        <v>2416</v>
      </c>
      <c r="B171" s="158" t="s">
        <v>395</v>
      </c>
      <c r="C171" s="117">
        <v>8</v>
      </c>
      <c r="D171" s="369"/>
      <c r="E171" s="169">
        <f>C171*D171</f>
        <v>0</v>
      </c>
      <c r="F171" s="196"/>
      <c r="H171" s="174"/>
    </row>
    <row r="172" spans="3:8" ht="14.65" customHeight="1">
      <c r="C172" s="117"/>
      <c r="D172" s="117"/>
      <c r="E172" s="169"/>
      <c r="F172" s="196"/>
      <c r="H172" s="174"/>
    </row>
    <row r="173" spans="1:8" ht="48.4" customHeight="1">
      <c r="A173" s="190" t="s">
        <v>2417</v>
      </c>
      <c r="B173" s="158" t="s">
        <v>395</v>
      </c>
      <c r="C173" s="117">
        <v>10</v>
      </c>
      <c r="D173" s="369"/>
      <c r="E173" s="169">
        <f>C173*D173</f>
        <v>0</v>
      </c>
      <c r="F173" s="196"/>
      <c r="H173" s="174"/>
    </row>
    <row r="174" spans="3:8" ht="14.65" customHeight="1">
      <c r="C174" s="117"/>
      <c r="D174" s="117"/>
      <c r="E174" s="169"/>
      <c r="F174" s="196"/>
      <c r="H174" s="174"/>
    </row>
    <row r="175" spans="1:8" ht="24.2" customHeight="1">
      <c r="A175" s="190" t="s">
        <v>2418</v>
      </c>
      <c r="B175" s="158" t="s">
        <v>2107</v>
      </c>
      <c r="C175" s="117">
        <v>1</v>
      </c>
      <c r="D175" s="369"/>
      <c r="E175" s="169">
        <f>C175*D175</f>
        <v>0</v>
      </c>
      <c r="F175" s="196"/>
      <c r="H175" s="174"/>
    </row>
    <row r="176" spans="3:9" ht="14.65" customHeight="1">
      <c r="C176" s="117"/>
      <c r="D176" s="117"/>
      <c r="E176" s="169"/>
      <c r="F176" s="196"/>
      <c r="H176"/>
      <c r="I176"/>
    </row>
    <row r="177" spans="1:8" ht="26.1" customHeight="1">
      <c r="A177" s="197" t="s">
        <v>2419</v>
      </c>
      <c r="B177" s="158" t="s">
        <v>395</v>
      </c>
      <c r="C177" s="117">
        <v>3</v>
      </c>
      <c r="D177" s="369"/>
      <c r="E177" s="169">
        <f>C177*D177</f>
        <v>0</v>
      </c>
      <c r="F177" s="196"/>
      <c r="H177" s="174"/>
    </row>
    <row r="178" spans="1:8" ht="14.65" customHeight="1">
      <c r="A178" s="197"/>
      <c r="C178" s="117"/>
      <c r="D178" s="117"/>
      <c r="E178" s="169"/>
      <c r="F178" s="196"/>
      <c r="H178" s="174"/>
    </row>
    <row r="179" spans="1:6" ht="3.4" customHeight="1">
      <c r="A179" s="182"/>
      <c r="B179" s="183"/>
      <c r="C179" s="184"/>
      <c r="D179" s="184"/>
      <c r="E179" s="184"/>
      <c r="F179" s="185"/>
    </row>
    <row r="180" spans="3:6" ht="14.65" customHeight="1">
      <c r="C180" s="117"/>
      <c r="D180" s="117"/>
      <c r="E180" s="169"/>
      <c r="F180" s="196"/>
    </row>
    <row r="181" spans="1:6" ht="14.65" customHeight="1">
      <c r="A181" s="175" t="s">
        <v>2420</v>
      </c>
      <c r="C181" s="117"/>
      <c r="D181" s="117"/>
      <c r="E181" s="176">
        <f>SUM(E183:E208)</f>
        <v>0</v>
      </c>
      <c r="F181" s="171" t="s">
        <v>2333</v>
      </c>
    </row>
    <row r="182" spans="1:6" ht="14.65" customHeight="1">
      <c r="A182" s="173"/>
      <c r="B182" s="167"/>
      <c r="C182" s="168"/>
      <c r="D182" s="117"/>
      <c r="E182" s="196"/>
      <c r="F182" s="196"/>
    </row>
    <row r="183" spans="1:6" ht="34.5" customHeight="1">
      <c r="A183" s="188" t="s">
        <v>2421</v>
      </c>
      <c r="B183" s="180"/>
      <c r="C183" s="179"/>
      <c r="D183" s="169"/>
      <c r="E183" s="169"/>
      <c r="F183" s="166"/>
    </row>
    <row r="184" spans="1:6" ht="14.65" customHeight="1">
      <c r="A184" s="179" t="s">
        <v>2422</v>
      </c>
      <c r="B184" s="180" t="s">
        <v>395</v>
      </c>
      <c r="C184" s="198">
        <v>32.89</v>
      </c>
      <c r="D184" s="368"/>
      <c r="E184" s="169">
        <f aca="true" t="shared" si="7" ref="E184:E189">C184*D184</f>
        <v>0</v>
      </c>
      <c r="F184" s="166"/>
    </row>
    <row r="185" spans="1:6" ht="14.65" customHeight="1">
      <c r="A185" s="179" t="s">
        <v>2423</v>
      </c>
      <c r="B185" s="180" t="s">
        <v>395</v>
      </c>
      <c r="C185" s="198">
        <v>62.33</v>
      </c>
      <c r="D185" s="368"/>
      <c r="E185" s="169">
        <f t="shared" si="7"/>
        <v>0</v>
      </c>
      <c r="F185" s="166"/>
    </row>
    <row r="186" spans="1:6" ht="14.65" customHeight="1">
      <c r="A186" s="179" t="s">
        <v>2424</v>
      </c>
      <c r="B186" s="180" t="s">
        <v>395</v>
      </c>
      <c r="C186" s="198">
        <v>76.36</v>
      </c>
      <c r="D186" s="368"/>
      <c r="E186" s="169">
        <f t="shared" si="7"/>
        <v>0</v>
      </c>
      <c r="F186" s="166"/>
    </row>
    <row r="187" spans="1:8" ht="14.65" customHeight="1">
      <c r="A187" s="179" t="s">
        <v>2425</v>
      </c>
      <c r="B187" s="180" t="s">
        <v>395</v>
      </c>
      <c r="C187" s="198">
        <v>153.87</v>
      </c>
      <c r="D187" s="368"/>
      <c r="E187" s="169">
        <f t="shared" si="7"/>
        <v>0</v>
      </c>
      <c r="F187" s="166"/>
      <c r="H187" s="174"/>
    </row>
    <row r="188" spans="1:8" ht="14.65" customHeight="1">
      <c r="A188" s="179" t="s">
        <v>2426</v>
      </c>
      <c r="B188" s="180" t="s">
        <v>395</v>
      </c>
      <c r="C188" s="198">
        <v>44.39</v>
      </c>
      <c r="D188" s="368"/>
      <c r="E188" s="169">
        <f t="shared" si="7"/>
        <v>0</v>
      </c>
      <c r="F188" s="166"/>
      <c r="H188" s="174"/>
    </row>
    <row r="189" spans="1:8" ht="14.65" customHeight="1">
      <c r="A189" s="179" t="s">
        <v>2427</v>
      </c>
      <c r="B189" s="180" t="s">
        <v>395</v>
      </c>
      <c r="C189" s="198">
        <v>24.15</v>
      </c>
      <c r="D189" s="368"/>
      <c r="E189" s="169">
        <f t="shared" si="7"/>
        <v>0</v>
      </c>
      <c r="F189" s="166"/>
      <c r="H189" s="174"/>
    </row>
    <row r="190" spans="1:8" ht="14.65" customHeight="1">
      <c r="A190" s="179"/>
      <c r="B190" s="180"/>
      <c r="C190" s="198"/>
      <c r="D190" s="169"/>
      <c r="E190" s="169"/>
      <c r="F190" s="166"/>
      <c r="H190" s="174"/>
    </row>
    <row r="191" spans="1:8" ht="14.65" customHeight="1">
      <c r="A191" s="199" t="s">
        <v>2428</v>
      </c>
      <c r="B191" s="180"/>
      <c r="C191" s="169"/>
      <c r="D191" s="169"/>
      <c r="E191" s="169"/>
      <c r="F191" s="166"/>
      <c r="H191" s="174"/>
    </row>
    <row r="192" spans="1:8" ht="14.65" customHeight="1">
      <c r="A192" s="166"/>
      <c r="B192" s="180"/>
      <c r="C192" s="169"/>
      <c r="D192" s="169"/>
      <c r="E192" s="169"/>
      <c r="F192" s="166"/>
      <c r="H192" s="174"/>
    </row>
    <row r="193" spans="1:8" ht="14.65" customHeight="1">
      <c r="A193" s="179" t="s">
        <v>2429</v>
      </c>
      <c r="B193" s="180"/>
      <c r="C193" s="179"/>
      <c r="D193" s="169"/>
      <c r="E193" s="169"/>
      <c r="F193" s="166"/>
      <c r="H193" s="174"/>
    </row>
    <row r="194" spans="1:8" ht="14.65" customHeight="1">
      <c r="A194" s="179" t="s">
        <v>2430</v>
      </c>
      <c r="B194" s="180" t="s">
        <v>395</v>
      </c>
      <c r="C194" s="198">
        <v>156.17</v>
      </c>
      <c r="D194" s="368"/>
      <c r="E194" s="169">
        <f aca="true" t="shared" si="8" ref="E194:E197">C194*D194</f>
        <v>0</v>
      </c>
      <c r="F194" s="166"/>
      <c r="H194" s="174"/>
    </row>
    <row r="195" spans="1:8" ht="14.65" customHeight="1">
      <c r="A195" s="179" t="s">
        <v>2431</v>
      </c>
      <c r="B195" s="180" t="s">
        <v>395</v>
      </c>
      <c r="C195" s="198">
        <v>138.23</v>
      </c>
      <c r="D195" s="368"/>
      <c r="E195" s="169">
        <f t="shared" si="8"/>
        <v>0</v>
      </c>
      <c r="F195" s="166"/>
      <c r="H195" s="174"/>
    </row>
    <row r="196" spans="1:8" ht="14.65" customHeight="1">
      <c r="A196" s="179" t="s">
        <v>2432</v>
      </c>
      <c r="B196" s="180" t="s">
        <v>395</v>
      </c>
      <c r="C196" s="198">
        <v>31.279999999999998</v>
      </c>
      <c r="D196" s="368"/>
      <c r="E196" s="169">
        <f t="shared" si="8"/>
        <v>0</v>
      </c>
      <c r="F196" s="166"/>
      <c r="H196" s="174"/>
    </row>
    <row r="197" spans="1:8" ht="14.65" customHeight="1">
      <c r="A197" s="179" t="s">
        <v>2433</v>
      </c>
      <c r="B197" s="180" t="s">
        <v>395</v>
      </c>
      <c r="C197" s="198">
        <v>71.07</v>
      </c>
      <c r="D197" s="368"/>
      <c r="E197" s="169">
        <f t="shared" si="8"/>
        <v>0</v>
      </c>
      <c r="F197" s="166"/>
      <c r="H197" s="174"/>
    </row>
    <row r="198" spans="1:8" ht="14.65" customHeight="1">
      <c r="A198" s="179"/>
      <c r="B198" s="180"/>
      <c r="C198" s="198"/>
      <c r="D198" s="169"/>
      <c r="E198" s="169"/>
      <c r="F198" s="166"/>
      <c r="H198" s="174"/>
    </row>
    <row r="199" spans="1:8" ht="14.65" customHeight="1">
      <c r="A199" s="179" t="s">
        <v>2434</v>
      </c>
      <c r="B199" s="180" t="s">
        <v>395</v>
      </c>
      <c r="C199" s="198">
        <f>C194*0.1</f>
        <v>15.616999999999999</v>
      </c>
      <c r="D199" s="368"/>
      <c r="E199" s="169">
        <f>C199*D199</f>
        <v>0</v>
      </c>
      <c r="F199" s="166"/>
      <c r="H199" s="174"/>
    </row>
    <row r="200" spans="1:8" ht="14.65" customHeight="1">
      <c r="A200" s="179"/>
      <c r="B200" s="180"/>
      <c r="C200" s="179"/>
      <c r="D200" s="169"/>
      <c r="E200" s="169"/>
      <c r="F200" s="166"/>
      <c r="H200" s="174"/>
    </row>
    <row r="201" spans="1:8" ht="34.9" customHeight="1">
      <c r="A201" s="179" t="s">
        <v>2435</v>
      </c>
      <c r="B201" s="180" t="s">
        <v>2436</v>
      </c>
      <c r="C201" s="179">
        <v>1</v>
      </c>
      <c r="D201" s="368"/>
      <c r="E201" s="169">
        <f>C201*D201</f>
        <v>0</v>
      </c>
      <c r="F201" s="166"/>
      <c r="H201" s="174"/>
    </row>
    <row r="202" spans="1:8" ht="14.65" customHeight="1">
      <c r="A202" s="179"/>
      <c r="B202" s="180"/>
      <c r="C202" s="179"/>
      <c r="D202" s="169"/>
      <c r="E202" s="169"/>
      <c r="F202" s="166"/>
      <c r="H202" s="174"/>
    </row>
    <row r="203" spans="1:8" ht="34.9" customHeight="1">
      <c r="A203" s="179" t="s">
        <v>2437</v>
      </c>
      <c r="B203" s="180" t="s">
        <v>2436</v>
      </c>
      <c r="C203" s="179">
        <v>1</v>
      </c>
      <c r="D203" s="368"/>
      <c r="E203" s="169">
        <f>C203*D203</f>
        <v>0</v>
      </c>
      <c r="F203" s="166"/>
      <c r="H203" s="174"/>
    </row>
    <row r="204" spans="1:8" ht="14.65" customHeight="1">
      <c r="A204" s="179"/>
      <c r="B204" s="180"/>
      <c r="C204" s="179"/>
      <c r="D204" s="169"/>
      <c r="E204" s="169"/>
      <c r="F204" s="166"/>
      <c r="H204" s="174"/>
    </row>
    <row r="205" spans="1:8" ht="34.9" customHeight="1">
      <c r="A205" s="179" t="s">
        <v>2437</v>
      </c>
      <c r="B205" s="180" t="s">
        <v>2436</v>
      </c>
      <c r="C205" s="179">
        <v>1</v>
      </c>
      <c r="D205" s="368"/>
      <c r="E205" s="169">
        <f>C205*D205</f>
        <v>0</v>
      </c>
      <c r="F205" s="166"/>
      <c r="H205" s="174"/>
    </row>
    <row r="206" spans="1:8" ht="14.65" customHeight="1">
      <c r="A206" s="179"/>
      <c r="B206" s="180"/>
      <c r="C206" s="179"/>
      <c r="D206" s="169"/>
      <c r="E206" s="169"/>
      <c r="F206" s="166"/>
      <c r="H206" s="174"/>
    </row>
    <row r="207" spans="1:8" ht="34.9" customHeight="1">
      <c r="A207" s="179" t="s">
        <v>2438</v>
      </c>
      <c r="B207" s="180" t="s">
        <v>2436</v>
      </c>
      <c r="C207" s="179">
        <v>1</v>
      </c>
      <c r="D207" s="368"/>
      <c r="E207" s="169">
        <f>C207*D207</f>
        <v>0</v>
      </c>
      <c r="F207" s="166"/>
      <c r="H207" s="174"/>
    </row>
    <row r="208" spans="1:8" ht="14.65" customHeight="1">
      <c r="A208" s="179"/>
      <c r="B208" s="180"/>
      <c r="C208" s="198"/>
      <c r="D208" s="169"/>
      <c r="E208" s="169"/>
      <c r="F208" s="166"/>
      <c r="H208" s="174"/>
    </row>
    <row r="209" spans="1:9" ht="3.4" customHeight="1">
      <c r="A209" s="182"/>
      <c r="B209" s="183"/>
      <c r="C209" s="184"/>
      <c r="D209" s="184"/>
      <c r="E209" s="184"/>
      <c r="F209" s="185"/>
      <c r="I209" s="165"/>
    </row>
    <row r="210" spans="1:9" ht="14.65" customHeight="1">
      <c r="A210" s="196"/>
      <c r="B210" s="200"/>
      <c r="C210" s="201"/>
      <c r="D210" s="117"/>
      <c r="E210" s="196"/>
      <c r="F210" s="196"/>
      <c r="I210" s="165"/>
    </row>
    <row r="211" spans="1:6" ht="14.65" customHeight="1">
      <c r="A211" s="175" t="s">
        <v>2439</v>
      </c>
      <c r="D211" s="117"/>
      <c r="E211" s="202">
        <f>SUM(E213:E234)</f>
        <v>0</v>
      </c>
      <c r="F211" s="164" t="s">
        <v>2333</v>
      </c>
    </row>
    <row r="212" spans="1:6" ht="14.65" customHeight="1">
      <c r="A212" s="203"/>
      <c r="D212" s="117"/>
      <c r="F212" s="164"/>
    </row>
    <row r="213" spans="1:6" ht="14.65" customHeight="1">
      <c r="A213" s="190" t="s">
        <v>2440</v>
      </c>
      <c r="D213" s="117"/>
      <c r="E213" s="169"/>
      <c r="F213" s="117"/>
    </row>
    <row r="214" spans="4:6" ht="14.65" customHeight="1">
      <c r="D214" s="117"/>
      <c r="F214" s="164"/>
    </row>
    <row r="215" spans="1:6" ht="14.65" customHeight="1">
      <c r="A215" s="190" t="s">
        <v>2441</v>
      </c>
      <c r="D215" s="117"/>
      <c r="E215" s="169"/>
      <c r="F215" s="117"/>
    </row>
    <row r="216" spans="1:8" ht="14.65" customHeight="1">
      <c r="A216" s="179" t="s">
        <v>2442</v>
      </c>
      <c r="B216" s="158" t="s">
        <v>395</v>
      </c>
      <c r="C216" s="159">
        <f aca="true" t="shared" si="9" ref="C216:C219">C184</f>
        <v>32.89</v>
      </c>
      <c r="D216" s="369"/>
      <c r="E216" s="169">
        <f aca="true" t="shared" si="10" ref="E216:E219">C216*D216</f>
        <v>0</v>
      </c>
      <c r="F216" s="117"/>
      <c r="H216" s="174"/>
    </row>
    <row r="217" spans="1:8" ht="14.65" customHeight="1">
      <c r="A217" s="179" t="s">
        <v>2443</v>
      </c>
      <c r="B217" s="158" t="s">
        <v>395</v>
      </c>
      <c r="C217" s="159">
        <f t="shared" si="9"/>
        <v>62.33</v>
      </c>
      <c r="D217" s="369"/>
      <c r="E217" s="169">
        <f t="shared" si="10"/>
        <v>0</v>
      </c>
      <c r="F217" s="117"/>
      <c r="H217" s="174"/>
    </row>
    <row r="218" spans="1:8" ht="14.65" customHeight="1">
      <c r="A218" s="179" t="s">
        <v>2444</v>
      </c>
      <c r="B218" s="158" t="s">
        <v>395</v>
      </c>
      <c r="C218" s="159">
        <f t="shared" si="9"/>
        <v>76.36</v>
      </c>
      <c r="D218" s="369"/>
      <c r="E218" s="169">
        <f t="shared" si="10"/>
        <v>0</v>
      </c>
      <c r="F218" s="117"/>
      <c r="H218" s="174"/>
    </row>
    <row r="219" spans="1:8" ht="14.65" customHeight="1">
      <c r="A219" s="179" t="s">
        <v>2445</v>
      </c>
      <c r="B219" s="158" t="s">
        <v>395</v>
      </c>
      <c r="C219" s="159">
        <f t="shared" si="9"/>
        <v>153.87</v>
      </c>
      <c r="D219" s="369"/>
      <c r="E219" s="169">
        <f t="shared" si="10"/>
        <v>0</v>
      </c>
      <c r="F219" s="117"/>
      <c r="H219" s="174"/>
    </row>
    <row r="220" spans="4:8" ht="14.65" customHeight="1">
      <c r="D220" s="117"/>
      <c r="E220" s="169"/>
      <c r="F220" s="117"/>
      <c r="H220" s="174"/>
    </row>
    <row r="221" spans="1:8" ht="14.65" customHeight="1">
      <c r="A221" s="117" t="s">
        <v>2446</v>
      </c>
      <c r="D221" s="117"/>
      <c r="E221" s="169"/>
      <c r="F221" s="117"/>
      <c r="H221" s="174"/>
    </row>
    <row r="222" spans="1:8" ht="14.65" customHeight="1">
      <c r="A222" s="179" t="s">
        <v>2447</v>
      </c>
      <c r="B222" s="158" t="s">
        <v>395</v>
      </c>
      <c r="C222" s="159">
        <f aca="true" t="shared" si="11" ref="C222:C225">C186</f>
        <v>76.36</v>
      </c>
      <c r="D222" s="369"/>
      <c r="E222" s="169">
        <f aca="true" t="shared" si="12" ref="E222:E225">C222*D222</f>
        <v>0</v>
      </c>
      <c r="F222" s="117"/>
      <c r="H222" s="174"/>
    </row>
    <row r="223" spans="1:8" ht="14.65" customHeight="1">
      <c r="A223" s="179" t="s">
        <v>2448</v>
      </c>
      <c r="B223" s="158" t="s">
        <v>395</v>
      </c>
      <c r="C223" s="159">
        <f t="shared" si="11"/>
        <v>153.87</v>
      </c>
      <c r="D223" s="369"/>
      <c r="E223" s="169">
        <f t="shared" si="12"/>
        <v>0</v>
      </c>
      <c r="F223" s="117"/>
      <c r="H223" s="174"/>
    </row>
    <row r="224" spans="1:8" ht="14.65" customHeight="1">
      <c r="A224" s="179" t="s">
        <v>2449</v>
      </c>
      <c r="B224" s="158" t="s">
        <v>395</v>
      </c>
      <c r="C224" s="159">
        <f t="shared" si="11"/>
        <v>44.39</v>
      </c>
      <c r="D224" s="369"/>
      <c r="E224" s="169">
        <f t="shared" si="12"/>
        <v>0</v>
      </c>
      <c r="F224" s="117"/>
      <c r="H224" s="174"/>
    </row>
    <row r="225" spans="1:8" ht="14.65" customHeight="1">
      <c r="A225" s="179" t="s">
        <v>2450</v>
      </c>
      <c r="B225" s="158" t="s">
        <v>395</v>
      </c>
      <c r="C225" s="159">
        <f t="shared" si="11"/>
        <v>24.15</v>
      </c>
      <c r="D225" s="369"/>
      <c r="E225" s="169">
        <f t="shared" si="12"/>
        <v>0</v>
      </c>
      <c r="F225" s="117"/>
      <c r="H225" s="174"/>
    </row>
    <row r="226" spans="4:8" ht="14.65" customHeight="1">
      <c r="D226" s="117"/>
      <c r="E226" s="169"/>
      <c r="F226" s="117"/>
      <c r="H226" s="174"/>
    </row>
    <row r="227" spans="1:8" ht="14.65" customHeight="1">
      <c r="A227" s="117" t="s">
        <v>2451</v>
      </c>
      <c r="D227" s="117"/>
      <c r="E227" s="169"/>
      <c r="F227" s="117"/>
      <c r="H227" s="174"/>
    </row>
    <row r="228" spans="1:8" ht="14.65" customHeight="1">
      <c r="A228" s="179" t="s">
        <v>2452</v>
      </c>
      <c r="B228" s="158" t="s">
        <v>395</v>
      </c>
      <c r="C228" s="159">
        <f aca="true" t="shared" si="13" ref="C228:C229">C188</f>
        <v>44.39</v>
      </c>
      <c r="D228" s="369"/>
      <c r="E228" s="169">
        <f aca="true" t="shared" si="14" ref="E228:E229">C228*D228</f>
        <v>0</v>
      </c>
      <c r="F228" s="117"/>
      <c r="H228" s="174"/>
    </row>
    <row r="229" spans="1:8" ht="14.65" customHeight="1">
      <c r="A229" s="179" t="s">
        <v>2453</v>
      </c>
      <c r="B229" s="158" t="s">
        <v>395</v>
      </c>
      <c r="C229" s="159">
        <f t="shared" si="13"/>
        <v>24.15</v>
      </c>
      <c r="D229" s="369"/>
      <c r="E229" s="169">
        <f t="shared" si="14"/>
        <v>0</v>
      </c>
      <c r="F229" s="117"/>
      <c r="H229" s="174"/>
    </row>
    <row r="230" spans="4:8" ht="14.65" customHeight="1">
      <c r="D230" s="117"/>
      <c r="E230" s="169"/>
      <c r="F230" s="117"/>
      <c r="H230" s="174"/>
    </row>
    <row r="231" spans="1:8" ht="36.6" customHeight="1">
      <c r="A231" s="190" t="s">
        <v>2454</v>
      </c>
      <c r="B231" s="158" t="s">
        <v>2107</v>
      </c>
      <c r="C231" s="159">
        <v>1</v>
      </c>
      <c r="D231" s="369"/>
      <c r="E231" s="169">
        <f>C231*D231</f>
        <v>0</v>
      </c>
      <c r="F231" s="117"/>
      <c r="H231" s="174"/>
    </row>
    <row r="232" spans="1:8" ht="14.65" customHeight="1">
      <c r="A232" s="190"/>
      <c r="D232" s="117"/>
      <c r="E232" s="169"/>
      <c r="F232" s="117"/>
      <c r="H232" s="174"/>
    </row>
    <row r="233" spans="1:8" ht="36.6" customHeight="1">
      <c r="A233" s="190" t="s">
        <v>2455</v>
      </c>
      <c r="B233" s="158" t="s">
        <v>2107</v>
      </c>
      <c r="C233" s="159">
        <v>1</v>
      </c>
      <c r="D233" s="369"/>
      <c r="E233" s="169">
        <f>C233*D233</f>
        <v>0</v>
      </c>
      <c r="F233" s="117"/>
      <c r="H233" s="174"/>
    </row>
    <row r="234" spans="1:8" ht="12.4" customHeight="1">
      <c r="A234" s="196"/>
      <c r="B234" s="200"/>
      <c r="C234" s="201"/>
      <c r="E234" s="201"/>
      <c r="F234" s="196"/>
      <c r="H234" s="174"/>
    </row>
    <row r="235" spans="1:8" ht="3.4" customHeight="1">
      <c r="A235" s="182"/>
      <c r="B235" s="183"/>
      <c r="C235" s="184"/>
      <c r="D235" s="184"/>
      <c r="E235" s="184"/>
      <c r="F235" s="185"/>
      <c r="H235" s="174"/>
    </row>
    <row r="236" spans="1:8" ht="12.4" customHeight="1">
      <c r="A236" s="196"/>
      <c r="B236" s="200"/>
      <c r="C236" s="201"/>
      <c r="E236" s="201"/>
      <c r="F236" s="196"/>
      <c r="H236" s="174"/>
    </row>
    <row r="237" spans="1:8" ht="14.65" customHeight="1">
      <c r="A237" s="204" t="s">
        <v>2456</v>
      </c>
      <c r="E237" s="202">
        <f>SUM(E239:E244)</f>
        <v>0</v>
      </c>
      <c r="F237" s="164" t="s">
        <v>2333</v>
      </c>
      <c r="H237" s="174"/>
    </row>
    <row r="238" spans="6:8" ht="14.65" customHeight="1">
      <c r="F238" s="117"/>
      <c r="H238" s="174"/>
    </row>
    <row r="239" spans="1:6" ht="14.65" customHeight="1">
      <c r="A239" s="117" t="s">
        <v>2457</v>
      </c>
      <c r="B239" s="158" t="s">
        <v>395</v>
      </c>
      <c r="C239" s="205">
        <f>3*0.5</f>
        <v>1.5</v>
      </c>
      <c r="D239" s="368"/>
      <c r="E239" s="169">
        <f>C239*D239</f>
        <v>0</v>
      </c>
      <c r="F239" s="117"/>
    </row>
    <row r="240" spans="5:6" ht="14.65" customHeight="1">
      <c r="E240" s="169"/>
      <c r="F240" s="117"/>
    </row>
    <row r="241" spans="1:8" ht="24" customHeight="1">
      <c r="A241" s="190" t="s">
        <v>2458</v>
      </c>
      <c r="B241" s="158" t="s">
        <v>2107</v>
      </c>
      <c r="C241" s="159">
        <v>1</v>
      </c>
      <c r="D241" s="368"/>
      <c r="E241" s="169">
        <f>C241*D241</f>
        <v>0</v>
      </c>
      <c r="F241" s="117"/>
      <c r="H241" s="174"/>
    </row>
    <row r="242" spans="5:8" ht="14.65" customHeight="1">
      <c r="E242" s="169"/>
      <c r="F242" s="117"/>
      <c r="H242" s="174"/>
    </row>
    <row r="243" spans="1:8" ht="14.65" customHeight="1">
      <c r="A243" s="117" t="s">
        <v>2459</v>
      </c>
      <c r="B243" s="158" t="s">
        <v>2107</v>
      </c>
      <c r="C243" s="159">
        <v>1</v>
      </c>
      <c r="D243" s="368"/>
      <c r="E243" s="169">
        <f>C243*D243</f>
        <v>0</v>
      </c>
      <c r="F243" s="117"/>
      <c r="H243" s="174"/>
    </row>
    <row r="244" spans="5:8" ht="12.4" customHeight="1">
      <c r="E244" s="169"/>
      <c r="F244" s="117"/>
      <c r="H244" s="174"/>
    </row>
    <row r="245" spans="1:8" ht="3.4" customHeight="1">
      <c r="A245" s="182"/>
      <c r="B245" s="183"/>
      <c r="C245" s="184"/>
      <c r="D245" s="184"/>
      <c r="E245" s="184"/>
      <c r="F245" s="185"/>
      <c r="H245" s="174"/>
    </row>
    <row r="246" spans="1:6" ht="14.65" customHeight="1">
      <c r="A246" s="196"/>
      <c r="B246" s="200"/>
      <c r="C246" s="201"/>
      <c r="E246" s="201"/>
      <c r="F246" s="196"/>
    </row>
    <row r="247" spans="1:6" ht="14.65" customHeight="1">
      <c r="A247" s="204" t="s">
        <v>2460</v>
      </c>
      <c r="E247" s="202">
        <f>SUM(E249:E255)</f>
        <v>0</v>
      </c>
      <c r="F247" s="164" t="s">
        <v>2333</v>
      </c>
    </row>
    <row r="248" ht="14.65" customHeight="1">
      <c r="F248" s="117"/>
    </row>
    <row r="249" spans="1:6" ht="14.65" customHeight="1">
      <c r="A249" s="117" t="s">
        <v>2461</v>
      </c>
      <c r="B249" s="158" t="s">
        <v>2107</v>
      </c>
      <c r="C249" s="159">
        <v>1</v>
      </c>
      <c r="D249" s="368"/>
      <c r="E249" s="169">
        <f aca="true" t="shared" si="15" ref="E249:E254">C249*D249</f>
        <v>0</v>
      </c>
      <c r="F249" s="117"/>
    </row>
    <row r="250" spans="1:6" ht="14.65" customHeight="1">
      <c r="A250" s="117" t="s">
        <v>2462</v>
      </c>
      <c r="B250" s="158" t="s">
        <v>2107</v>
      </c>
      <c r="C250" s="159">
        <v>1</v>
      </c>
      <c r="D250" s="368"/>
      <c r="E250" s="169">
        <f t="shared" si="15"/>
        <v>0</v>
      </c>
      <c r="F250" s="117"/>
    </row>
    <row r="251" spans="1:6" ht="14.65" customHeight="1">
      <c r="A251" s="117" t="s">
        <v>2463</v>
      </c>
      <c r="B251" s="158" t="s">
        <v>2107</v>
      </c>
      <c r="C251" s="159">
        <v>1</v>
      </c>
      <c r="D251" s="368"/>
      <c r="E251" s="169">
        <f t="shared" si="15"/>
        <v>0</v>
      </c>
      <c r="F251" s="117"/>
    </row>
    <row r="252" spans="1:6" ht="14.65" customHeight="1">
      <c r="A252" s="117" t="s">
        <v>2464</v>
      </c>
      <c r="B252" s="158" t="s">
        <v>2465</v>
      </c>
      <c r="C252" s="159">
        <v>72</v>
      </c>
      <c r="D252" s="368"/>
      <c r="E252" s="169">
        <f t="shared" si="15"/>
        <v>0</v>
      </c>
      <c r="F252" s="117"/>
    </row>
    <row r="253" spans="1:6" ht="14.65" customHeight="1">
      <c r="A253" s="117" t="s">
        <v>2466</v>
      </c>
      <c r="B253" s="158" t="s">
        <v>2107</v>
      </c>
      <c r="C253" s="159">
        <v>1</v>
      </c>
      <c r="D253" s="368"/>
      <c r="E253" s="169">
        <f t="shared" si="15"/>
        <v>0</v>
      </c>
      <c r="F253" s="117"/>
    </row>
    <row r="254" spans="1:6" ht="14.65" customHeight="1">
      <c r="A254" s="117" t="s">
        <v>2467</v>
      </c>
      <c r="B254" s="158" t="s">
        <v>2107</v>
      </c>
      <c r="C254" s="159">
        <v>1</v>
      </c>
      <c r="D254" s="368"/>
      <c r="E254" s="169">
        <f t="shared" si="15"/>
        <v>0</v>
      </c>
      <c r="F254" s="117"/>
    </row>
    <row r="255" spans="5:6" ht="14.65" customHeight="1">
      <c r="E255" s="169"/>
      <c r="F255" s="117"/>
    </row>
    <row r="256" spans="1:6" ht="3.4" customHeight="1">
      <c r="A256" s="182"/>
      <c r="B256" s="183"/>
      <c r="C256" s="184"/>
      <c r="D256" s="184"/>
      <c r="E256" s="184"/>
      <c r="F256" s="185"/>
    </row>
    <row r="257" spans="1:6" ht="14.65" customHeight="1">
      <c r="A257" s="196"/>
      <c r="B257" s="200"/>
      <c r="C257" s="201"/>
      <c r="E257" s="201"/>
      <c r="F257" s="196"/>
    </row>
    <row r="258" spans="1:8" ht="14.65" customHeight="1">
      <c r="A258" s="204" t="s">
        <v>2468</v>
      </c>
      <c r="E258" s="202">
        <f>SUM(E260:E271)</f>
        <v>0</v>
      </c>
      <c r="F258" s="164" t="s">
        <v>2333</v>
      </c>
      <c r="H258" s="174"/>
    </row>
    <row r="259" spans="6:8" ht="14.65" customHeight="1">
      <c r="F259" s="117"/>
      <c r="H259" s="174"/>
    </row>
    <row r="260" spans="1:8" ht="25.5" customHeight="1">
      <c r="A260" s="190" t="s">
        <v>2469</v>
      </c>
      <c r="B260" s="158" t="s">
        <v>2107</v>
      </c>
      <c r="C260" s="159">
        <v>1</v>
      </c>
      <c r="D260" s="368"/>
      <c r="E260" s="169">
        <f>C260*D260</f>
        <v>0</v>
      </c>
      <c r="F260" s="117"/>
      <c r="H260" s="174"/>
    </row>
    <row r="261" spans="5:8" ht="14.65" customHeight="1">
      <c r="E261" s="169"/>
      <c r="F261" s="117"/>
      <c r="H261" s="174"/>
    </row>
    <row r="262" spans="1:8" ht="36.6" customHeight="1">
      <c r="A262" s="190" t="s">
        <v>2470</v>
      </c>
      <c r="B262" s="158" t="s">
        <v>2107</v>
      </c>
      <c r="C262" s="159">
        <v>1</v>
      </c>
      <c r="D262" s="368"/>
      <c r="E262" s="169">
        <f>C262*D262</f>
        <v>0</v>
      </c>
      <c r="F262" s="117"/>
      <c r="H262" s="174"/>
    </row>
    <row r="263" spans="1:8" ht="14.65" customHeight="1">
      <c r="A263" s="190"/>
      <c r="E263" s="169"/>
      <c r="F263" s="117"/>
      <c r="H263" s="174"/>
    </row>
    <row r="264" spans="1:8" ht="14.65" customHeight="1">
      <c r="A264" s="190" t="s">
        <v>2471</v>
      </c>
      <c r="B264" s="158" t="s">
        <v>2107</v>
      </c>
      <c r="C264" s="159">
        <f>SUM(C91:C113)</f>
        <v>50</v>
      </c>
      <c r="D264" s="368"/>
      <c r="E264" s="169">
        <f>C264*D264</f>
        <v>0</v>
      </c>
      <c r="F264" s="117"/>
      <c r="H264" s="174"/>
    </row>
    <row r="265" spans="1:8" ht="14.65" customHeight="1">
      <c r="A265" s="190"/>
      <c r="E265" s="169"/>
      <c r="F265" s="117"/>
      <c r="H265" s="174"/>
    </row>
    <row r="266" spans="1:8" ht="14.65" customHeight="1">
      <c r="A266" s="190" t="s">
        <v>2472</v>
      </c>
      <c r="B266" s="158" t="s">
        <v>2107</v>
      </c>
      <c r="C266" s="159">
        <v>1</v>
      </c>
      <c r="D266" s="368"/>
      <c r="E266" s="169">
        <f>C266*D266</f>
        <v>0</v>
      </c>
      <c r="F266" s="117"/>
      <c r="H266" s="174"/>
    </row>
    <row r="267" spans="1:8" ht="14.65" customHeight="1">
      <c r="A267" s="190"/>
      <c r="E267" s="169"/>
      <c r="F267" s="117"/>
      <c r="H267" s="174"/>
    </row>
    <row r="268" spans="1:8" ht="23.85" customHeight="1">
      <c r="A268" s="190" t="s">
        <v>2473</v>
      </c>
      <c r="B268" s="158" t="s">
        <v>2107</v>
      </c>
      <c r="C268" s="159">
        <v>2</v>
      </c>
      <c r="D268" s="368"/>
      <c r="E268" s="169">
        <f>C268*D268</f>
        <v>0</v>
      </c>
      <c r="F268" s="117"/>
      <c r="H268" s="174"/>
    </row>
    <row r="269" spans="1:8" ht="14.65" customHeight="1">
      <c r="A269" s="190"/>
      <c r="E269" s="169"/>
      <c r="F269" s="117"/>
      <c r="H269" s="174"/>
    </row>
    <row r="270" spans="1:8" ht="14.65" customHeight="1">
      <c r="A270" s="190" t="s">
        <v>2474</v>
      </c>
      <c r="B270" s="158" t="s">
        <v>2436</v>
      </c>
      <c r="C270" s="159">
        <v>1</v>
      </c>
      <c r="D270" s="368"/>
      <c r="E270" s="169">
        <f>C270*D270</f>
        <v>0</v>
      </c>
      <c r="F270" s="117"/>
      <c r="H270" s="174"/>
    </row>
    <row r="271" spans="1:6" ht="14.65" customHeight="1">
      <c r="A271" s="190"/>
      <c r="E271" s="169"/>
      <c r="F271" s="117"/>
    </row>
    <row r="272" spans="1:6" ht="2.85" customHeight="1">
      <c r="A272" s="182"/>
      <c r="B272" s="183"/>
      <c r="C272" s="184"/>
      <c r="D272" s="184"/>
      <c r="E272" s="184"/>
      <c r="F272" s="185"/>
    </row>
    <row r="273" spans="5:6" ht="14.65" customHeight="1">
      <c r="E273" s="169"/>
      <c r="F273" s="117"/>
    </row>
    <row r="274" spans="1:6" ht="14.65" customHeight="1">
      <c r="A274" s="204" t="s">
        <v>2475</v>
      </c>
      <c r="E274" s="202">
        <f>SUM(E276:E331)</f>
        <v>0</v>
      </c>
      <c r="F274" s="164" t="s">
        <v>2333</v>
      </c>
    </row>
    <row r="275" spans="1:6" ht="12.4" customHeight="1">
      <c r="A275" s="179"/>
      <c r="E275" s="206"/>
      <c r="F275" s="164"/>
    </row>
    <row r="276" spans="1:6" ht="14.65" customHeight="1">
      <c r="A276" s="188" t="s">
        <v>2476</v>
      </c>
      <c r="E276" s="206"/>
      <c r="F276" s="164"/>
    </row>
    <row r="277" spans="1:6" ht="12.4" customHeight="1">
      <c r="A277" s="179"/>
      <c r="E277" s="206"/>
      <c r="F277" s="164"/>
    </row>
    <row r="278" spans="1:6" ht="116.45" customHeight="1">
      <c r="A278" s="179" t="s">
        <v>2477</v>
      </c>
      <c r="B278" s="158" t="s">
        <v>2478</v>
      </c>
      <c r="C278" s="159">
        <v>1</v>
      </c>
      <c r="D278" s="368"/>
      <c r="E278" s="169">
        <f>C278*D278</f>
        <v>0</v>
      </c>
      <c r="F278" s="164"/>
    </row>
    <row r="279" spans="1:6" ht="14.65" customHeight="1">
      <c r="A279" s="179"/>
      <c r="E279" s="169"/>
      <c r="F279" s="164"/>
    </row>
    <row r="280" spans="1:6" ht="14.65" customHeight="1">
      <c r="A280" s="474" t="s">
        <v>2479</v>
      </c>
      <c r="B280" s="474"/>
      <c r="C280" s="474"/>
      <c r="D280" s="474"/>
      <c r="E280" s="474"/>
      <c r="F280" s="474"/>
    </row>
    <row r="281" spans="1:6" ht="14.65" customHeight="1">
      <c r="A281" s="179"/>
      <c r="E281" s="206"/>
      <c r="F281" s="164"/>
    </row>
    <row r="282" spans="1:6" ht="24" customHeight="1">
      <c r="A282" s="179" t="s">
        <v>2480</v>
      </c>
      <c r="B282" s="158" t="s">
        <v>2107</v>
      </c>
      <c r="C282" s="159">
        <v>1</v>
      </c>
      <c r="D282" s="368"/>
      <c r="E282" s="169">
        <f>C282*D282</f>
        <v>0</v>
      </c>
      <c r="F282" s="164"/>
    </row>
    <row r="283" spans="1:6" ht="14.65" customHeight="1">
      <c r="A283" s="179"/>
      <c r="E283" s="206"/>
      <c r="F283" s="164"/>
    </row>
    <row r="284" spans="1:6" ht="25.35" customHeight="1">
      <c r="A284" s="179" t="s">
        <v>2481</v>
      </c>
      <c r="B284" s="158" t="s">
        <v>2478</v>
      </c>
      <c r="C284" s="159">
        <v>2</v>
      </c>
      <c r="D284" s="368"/>
      <c r="E284" s="169">
        <f>C284*D284</f>
        <v>0</v>
      </c>
      <c r="F284" s="164"/>
    </row>
    <row r="285" spans="1:6" ht="14.65" customHeight="1">
      <c r="A285" s="179"/>
      <c r="E285" s="206"/>
      <c r="F285" s="164"/>
    </row>
    <row r="286" spans="1:6" ht="23.65" customHeight="1">
      <c r="A286" s="179" t="s">
        <v>2482</v>
      </c>
      <c r="B286" s="158" t="s">
        <v>2107</v>
      </c>
      <c r="C286" s="159">
        <v>2</v>
      </c>
      <c r="D286" s="368"/>
      <c r="E286" s="169">
        <f>C286*D286</f>
        <v>0</v>
      </c>
      <c r="F286" s="164"/>
    </row>
    <row r="287" spans="1:6" ht="14.65" customHeight="1">
      <c r="A287" s="179"/>
      <c r="E287" s="206"/>
      <c r="F287" s="164"/>
    </row>
    <row r="288" spans="1:6" ht="14.65" customHeight="1">
      <c r="A288" s="179" t="s">
        <v>2483</v>
      </c>
      <c r="E288" s="206"/>
      <c r="F288" s="164"/>
    </row>
    <row r="289" spans="1:6" ht="14.65" customHeight="1">
      <c r="A289" s="190" t="s">
        <v>2484</v>
      </c>
      <c r="B289" s="158" t="s">
        <v>2107</v>
      </c>
      <c r="C289" s="159">
        <v>1</v>
      </c>
      <c r="D289" s="368"/>
      <c r="E289" s="169">
        <f>C289*D289</f>
        <v>0</v>
      </c>
      <c r="F289" s="164"/>
    </row>
    <row r="290" spans="1:6" ht="14.65" customHeight="1">
      <c r="A290" s="190" t="s">
        <v>2485</v>
      </c>
      <c r="B290" s="158" t="s">
        <v>2107</v>
      </c>
      <c r="C290" s="159">
        <v>3</v>
      </c>
      <c r="D290" s="368"/>
      <c r="E290" s="169">
        <f aca="true" t="shared" si="16" ref="E290:E291">C290*D290</f>
        <v>0</v>
      </c>
      <c r="F290" s="164"/>
    </row>
    <row r="291" spans="1:6" ht="18.2" customHeight="1">
      <c r="A291" s="190" t="s">
        <v>2486</v>
      </c>
      <c r="B291" s="158" t="s">
        <v>2107</v>
      </c>
      <c r="C291" s="159">
        <v>1</v>
      </c>
      <c r="D291" s="368"/>
      <c r="E291" s="169">
        <f t="shared" si="16"/>
        <v>0</v>
      </c>
      <c r="F291" s="164"/>
    </row>
    <row r="292" spans="1:9" ht="12.4" customHeight="1">
      <c r="A292" s="169"/>
      <c r="B292" s="180"/>
      <c r="C292" s="169"/>
      <c r="D292" s="169"/>
      <c r="E292" s="169"/>
      <c r="F292" s="181"/>
      <c r="H292" s="174"/>
      <c r="I292" s="174"/>
    </row>
    <row r="293" spans="1:6" ht="14.65" customHeight="1">
      <c r="A293" s="207" t="s">
        <v>2487</v>
      </c>
      <c r="B293" s="208"/>
      <c r="C293" s="209"/>
      <c r="E293" s="169"/>
      <c r="F293" s="117"/>
    </row>
    <row r="294" spans="1:6" ht="14.65" customHeight="1">
      <c r="A294" s="197"/>
      <c r="B294" s="208"/>
      <c r="C294" s="209"/>
      <c r="E294" s="169"/>
      <c r="F294" s="117"/>
    </row>
    <row r="295" spans="1:6" ht="48.4" customHeight="1">
      <c r="A295" s="179" t="s">
        <v>2488</v>
      </c>
      <c r="B295" s="208" t="s">
        <v>2107</v>
      </c>
      <c r="C295" s="209">
        <v>1</v>
      </c>
      <c r="D295" s="368"/>
      <c r="E295" s="169">
        <f>C295*D295</f>
        <v>0</v>
      </c>
      <c r="F295" s="117"/>
    </row>
    <row r="296" spans="1:6" ht="14.65" customHeight="1">
      <c r="A296" s="197"/>
      <c r="B296" s="208"/>
      <c r="C296" s="209"/>
      <c r="E296" s="169"/>
      <c r="F296" s="117"/>
    </row>
    <row r="297" spans="1:6" ht="14.65" customHeight="1">
      <c r="A297" s="179" t="s">
        <v>2489</v>
      </c>
      <c r="B297" s="208" t="s">
        <v>2107</v>
      </c>
      <c r="C297" s="209">
        <v>1</v>
      </c>
      <c r="D297" s="368"/>
      <c r="E297" s="169">
        <f aca="true" t="shared" si="17" ref="E297:E298">C297*D297</f>
        <v>0</v>
      </c>
      <c r="F297" s="117"/>
    </row>
    <row r="298" spans="1:6" ht="14.65" customHeight="1">
      <c r="A298" s="179" t="s">
        <v>2490</v>
      </c>
      <c r="B298" s="208" t="s">
        <v>2107</v>
      </c>
      <c r="C298" s="209">
        <v>1</v>
      </c>
      <c r="D298" s="368"/>
      <c r="E298" s="169">
        <f t="shared" si="17"/>
        <v>0</v>
      </c>
      <c r="F298" s="117"/>
    </row>
    <row r="299" spans="1:6" ht="14.65" customHeight="1">
      <c r="A299" s="197"/>
      <c r="B299" s="208"/>
      <c r="C299" s="209"/>
      <c r="E299" s="169"/>
      <c r="F299" s="117"/>
    </row>
    <row r="300" spans="1:6" ht="23.85" customHeight="1">
      <c r="A300" s="179" t="s">
        <v>2491</v>
      </c>
      <c r="B300" s="208" t="s">
        <v>2107</v>
      </c>
      <c r="C300" s="209">
        <v>1</v>
      </c>
      <c r="D300" s="368"/>
      <c r="E300" s="169">
        <f>C300*D300</f>
        <v>0</v>
      </c>
      <c r="F300" s="117"/>
    </row>
    <row r="301" spans="1:6" ht="14.65" customHeight="1">
      <c r="A301" s="197"/>
      <c r="B301" s="208"/>
      <c r="C301" s="209"/>
      <c r="E301" s="169"/>
      <c r="F301" s="117"/>
    </row>
    <row r="302" spans="1:6" ht="14.65" customHeight="1">
      <c r="A302" s="179" t="s">
        <v>2492</v>
      </c>
      <c r="B302" s="208" t="s">
        <v>2107</v>
      </c>
      <c r="C302" s="209">
        <v>1</v>
      </c>
      <c r="D302" s="368"/>
      <c r="E302" s="169">
        <f>C302*D302</f>
        <v>0</v>
      </c>
      <c r="F302" s="117"/>
    </row>
    <row r="303" spans="1:6" ht="14.65" customHeight="1">
      <c r="A303" s="197"/>
      <c r="B303" s="208"/>
      <c r="C303" s="209"/>
      <c r="E303" s="169"/>
      <c r="F303" s="117"/>
    </row>
    <row r="304" spans="1:6" ht="23.85" customHeight="1">
      <c r="A304" s="197" t="s">
        <v>2493</v>
      </c>
      <c r="B304" s="208" t="s">
        <v>2107</v>
      </c>
      <c r="C304" s="209">
        <v>1</v>
      </c>
      <c r="D304" s="368"/>
      <c r="E304" s="169">
        <f>C304*D304</f>
        <v>0</v>
      </c>
      <c r="F304" s="117"/>
    </row>
    <row r="305" spans="1:6" ht="14.65" customHeight="1">
      <c r="A305" s="197"/>
      <c r="B305" s="208"/>
      <c r="C305" s="209"/>
      <c r="E305" s="169"/>
      <c r="F305" s="117"/>
    </row>
    <row r="306" spans="1:6" ht="14.65" customHeight="1">
      <c r="A306" s="179" t="s">
        <v>2494</v>
      </c>
      <c r="B306" s="208" t="s">
        <v>2107</v>
      </c>
      <c r="C306" s="209">
        <v>1</v>
      </c>
      <c r="D306" s="368"/>
      <c r="E306" s="169">
        <f>C306*D306</f>
        <v>0</v>
      </c>
      <c r="F306" s="117"/>
    </row>
    <row r="307" spans="1:6" ht="14.65" customHeight="1">
      <c r="A307" s="197"/>
      <c r="B307" s="208"/>
      <c r="C307" s="209"/>
      <c r="E307" s="169"/>
      <c r="F307" s="117"/>
    </row>
    <row r="308" spans="1:6" ht="96.75" customHeight="1">
      <c r="A308" s="197" t="s">
        <v>2495</v>
      </c>
      <c r="B308" s="208" t="s">
        <v>2107</v>
      </c>
      <c r="C308" s="209">
        <v>1</v>
      </c>
      <c r="D308" s="368"/>
      <c r="E308" s="169">
        <f>C308*D308</f>
        <v>0</v>
      </c>
      <c r="F308" s="117"/>
    </row>
    <row r="309" spans="1:6" ht="14.65" customHeight="1">
      <c r="A309" s="197"/>
      <c r="B309" s="208"/>
      <c r="C309" s="209"/>
      <c r="E309" s="169"/>
      <c r="F309" s="117"/>
    </row>
    <row r="310" spans="1:6" ht="14.65" customHeight="1">
      <c r="A310" s="207" t="s">
        <v>2496</v>
      </c>
      <c r="B310" s="208"/>
      <c r="C310" s="209"/>
      <c r="E310" s="169"/>
      <c r="F310" s="117"/>
    </row>
    <row r="311" spans="1:6" ht="14.65" customHeight="1">
      <c r="A311" s="197" t="s">
        <v>2497</v>
      </c>
      <c r="B311" s="208" t="s">
        <v>395</v>
      </c>
      <c r="C311" s="209">
        <v>30</v>
      </c>
      <c r="D311" s="368"/>
      <c r="E311" s="169">
        <f aca="true" t="shared" si="18" ref="E311:E314">C311*D311</f>
        <v>0</v>
      </c>
      <c r="F311" s="117"/>
    </row>
    <row r="312" spans="1:6" ht="14.65" customHeight="1">
      <c r="A312" s="197" t="s">
        <v>2498</v>
      </c>
      <c r="B312" s="208" t="s">
        <v>2107</v>
      </c>
      <c r="C312" s="209">
        <v>60</v>
      </c>
      <c r="D312" s="368"/>
      <c r="E312" s="169">
        <f t="shared" si="18"/>
        <v>0</v>
      </c>
      <c r="F312" s="117"/>
    </row>
    <row r="313" spans="1:6" ht="14.65" customHeight="1">
      <c r="A313" s="197" t="s">
        <v>2499</v>
      </c>
      <c r="B313" s="208" t="s">
        <v>2107</v>
      </c>
      <c r="C313" s="209">
        <v>20</v>
      </c>
      <c r="D313" s="368"/>
      <c r="E313" s="169">
        <f t="shared" si="18"/>
        <v>0</v>
      </c>
      <c r="F313" s="117"/>
    </row>
    <row r="314" spans="1:6" ht="14.65" customHeight="1">
      <c r="A314" s="197" t="s">
        <v>2500</v>
      </c>
      <c r="B314" s="208" t="s">
        <v>395</v>
      </c>
      <c r="C314" s="209">
        <v>5</v>
      </c>
      <c r="D314" s="368"/>
      <c r="E314" s="169">
        <f t="shared" si="18"/>
        <v>0</v>
      </c>
      <c r="F314" s="117"/>
    </row>
    <row r="315" spans="1:6" ht="14.65" customHeight="1">
      <c r="A315" s="197"/>
      <c r="B315" s="208"/>
      <c r="C315" s="209"/>
      <c r="E315" s="169"/>
      <c r="F315" s="117"/>
    </row>
    <row r="316" spans="1:6" ht="14.65" customHeight="1">
      <c r="A316" s="207" t="s">
        <v>2501</v>
      </c>
      <c r="B316" s="208"/>
      <c r="C316" s="209"/>
      <c r="E316" s="169"/>
      <c r="F316" s="117"/>
    </row>
    <row r="317" spans="1:6" ht="14.65" customHeight="1">
      <c r="A317" s="197" t="s">
        <v>2502</v>
      </c>
      <c r="B317" s="208" t="s">
        <v>395</v>
      </c>
      <c r="C317" s="209">
        <v>20</v>
      </c>
      <c r="D317" s="368"/>
      <c r="E317" s="169">
        <f aca="true" t="shared" si="19" ref="E317:E321">C317*D317</f>
        <v>0</v>
      </c>
      <c r="F317" s="117"/>
    </row>
    <row r="318" spans="1:6" ht="14.65" customHeight="1">
      <c r="A318" s="197" t="s">
        <v>2503</v>
      </c>
      <c r="B318" s="208" t="s">
        <v>395</v>
      </c>
      <c r="C318" s="209">
        <v>20</v>
      </c>
      <c r="D318" s="368"/>
      <c r="E318" s="169">
        <f t="shared" si="19"/>
        <v>0</v>
      </c>
      <c r="F318" s="117"/>
    </row>
    <row r="319" spans="1:6" ht="14.65" customHeight="1">
      <c r="A319" s="197" t="s">
        <v>2504</v>
      </c>
      <c r="B319" s="208" t="s">
        <v>395</v>
      </c>
      <c r="C319" s="209">
        <v>40</v>
      </c>
      <c r="D319" s="368"/>
      <c r="E319" s="169">
        <f t="shared" si="19"/>
        <v>0</v>
      </c>
      <c r="F319" s="117"/>
    </row>
    <row r="320" spans="1:6" ht="14.65" customHeight="1">
      <c r="A320" s="197" t="s">
        <v>2505</v>
      </c>
      <c r="B320" s="208" t="s">
        <v>395</v>
      </c>
      <c r="C320" s="209">
        <v>30</v>
      </c>
      <c r="D320" s="368"/>
      <c r="E320" s="169">
        <f t="shared" si="19"/>
        <v>0</v>
      </c>
      <c r="F320" s="117"/>
    </row>
    <row r="321" spans="1:6" ht="14.65" customHeight="1">
      <c r="A321" s="197" t="s">
        <v>2506</v>
      </c>
      <c r="B321" s="208" t="s">
        <v>395</v>
      </c>
      <c r="C321" s="209">
        <v>40</v>
      </c>
      <c r="D321" s="368"/>
      <c r="E321" s="169">
        <f t="shared" si="19"/>
        <v>0</v>
      </c>
      <c r="F321" s="117"/>
    </row>
    <row r="322" spans="1:6" ht="14.65" customHeight="1">
      <c r="A322" s="197"/>
      <c r="B322" s="208"/>
      <c r="C322" s="209"/>
      <c r="E322" s="169"/>
      <c r="F322" s="117"/>
    </row>
    <row r="323" spans="1:6" ht="14.65" customHeight="1">
      <c r="A323" s="210" t="s">
        <v>2507</v>
      </c>
      <c r="B323" s="208"/>
      <c r="C323" s="209"/>
      <c r="E323" s="169"/>
      <c r="F323" s="117"/>
    </row>
    <row r="324" spans="1:6" ht="14.65" customHeight="1">
      <c r="A324" s="210"/>
      <c r="B324" s="208"/>
      <c r="C324" s="209"/>
      <c r="E324" s="169"/>
      <c r="F324" s="117"/>
    </row>
    <row r="325" spans="1:6" ht="14.65" customHeight="1">
      <c r="A325" s="211" t="s">
        <v>2508</v>
      </c>
      <c r="B325" s="212" t="s">
        <v>2107</v>
      </c>
      <c r="C325" s="213">
        <v>1</v>
      </c>
      <c r="D325" s="368"/>
      <c r="E325" s="169">
        <f aca="true" t="shared" si="20" ref="E325:E330">C325*D325</f>
        <v>0</v>
      </c>
      <c r="F325" s="117"/>
    </row>
    <row r="326" spans="1:6" ht="14.65" customHeight="1">
      <c r="A326" s="211" t="s">
        <v>2509</v>
      </c>
      <c r="B326" s="212" t="s">
        <v>2107</v>
      </c>
      <c r="C326" s="213">
        <v>1</v>
      </c>
      <c r="D326" s="368"/>
      <c r="E326" s="169">
        <f t="shared" si="20"/>
        <v>0</v>
      </c>
      <c r="F326" s="117"/>
    </row>
    <row r="327" spans="1:6" ht="14.65" customHeight="1">
      <c r="A327" s="211" t="s">
        <v>2510</v>
      </c>
      <c r="B327" s="212" t="s">
        <v>2107</v>
      </c>
      <c r="C327" s="213">
        <v>1</v>
      </c>
      <c r="D327" s="368"/>
      <c r="E327" s="169">
        <f t="shared" si="20"/>
        <v>0</v>
      </c>
      <c r="F327" s="117"/>
    </row>
    <row r="328" spans="1:6" ht="14.65" customHeight="1">
      <c r="A328" s="211" t="s">
        <v>2511</v>
      </c>
      <c r="B328" s="212" t="s">
        <v>2107</v>
      </c>
      <c r="C328" s="213">
        <v>1</v>
      </c>
      <c r="D328" s="368"/>
      <c r="E328" s="169">
        <f t="shared" si="20"/>
        <v>0</v>
      </c>
      <c r="F328" s="117"/>
    </row>
    <row r="329" spans="1:6" ht="14.65" customHeight="1">
      <c r="A329" s="211" t="s">
        <v>2512</v>
      </c>
      <c r="B329" s="212" t="s">
        <v>2107</v>
      </c>
      <c r="C329" s="213">
        <v>1</v>
      </c>
      <c r="D329" s="368"/>
      <c r="E329" s="169">
        <f t="shared" si="20"/>
        <v>0</v>
      </c>
      <c r="F329" s="117"/>
    </row>
    <row r="330" spans="1:6" ht="14.65" customHeight="1">
      <c r="A330" s="211" t="s">
        <v>2513</v>
      </c>
      <c r="B330" s="212" t="s">
        <v>2107</v>
      </c>
      <c r="C330" s="213">
        <v>1</v>
      </c>
      <c r="D330" s="368"/>
      <c r="E330" s="169">
        <f t="shared" si="20"/>
        <v>0</v>
      </c>
      <c r="F330" s="117"/>
    </row>
    <row r="331" spans="1:6" ht="14.65" customHeight="1">
      <c r="A331" s="211"/>
      <c r="B331" s="212"/>
      <c r="C331" s="213"/>
      <c r="E331" s="169"/>
      <c r="F331" s="117"/>
    </row>
    <row r="332" spans="1:6" ht="14.65" customHeight="1">
      <c r="A332" s="353" t="s">
        <v>2524</v>
      </c>
      <c r="B332" s="353"/>
      <c r="C332" s="353"/>
      <c r="D332" s="353"/>
      <c r="E332" s="353"/>
      <c r="F332" s="353"/>
    </row>
    <row r="333" spans="1:6" ht="14.85" customHeight="1">
      <c r="A333" s="214" t="s">
        <v>2524</v>
      </c>
      <c r="B333" s="215"/>
      <c r="C333" s="215"/>
      <c r="D333" s="216"/>
      <c r="E333" s="215"/>
      <c r="F333" s="215"/>
    </row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mergeCells count="8">
    <mergeCell ref="A1:F1"/>
    <mergeCell ref="A4:F4"/>
    <mergeCell ref="A5:F5"/>
    <mergeCell ref="A280:F280"/>
    <mergeCell ref="A6:F6"/>
    <mergeCell ref="A7:F7"/>
    <mergeCell ref="A9:F9"/>
    <mergeCell ref="A32:F3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256"/>
  <sheetViews>
    <sheetView workbookViewId="0" topLeftCell="A19">
      <selection activeCell="C7" sqref="C7:S7"/>
    </sheetView>
  </sheetViews>
  <sheetFormatPr defaultColWidth="9.140625" defaultRowHeight="12.75"/>
  <cols>
    <col min="1" max="1" width="3.57421875" style="0" customWidth="1"/>
    <col min="2" max="2" width="2.7109375" style="0" customWidth="1"/>
    <col min="5" max="8" width="9.140625" style="0" hidden="1" customWidth="1"/>
    <col min="9" max="9" width="16.140625" style="0" hidden="1" customWidth="1"/>
    <col min="10" max="13" width="9.140625" style="0" hidden="1" customWidth="1"/>
    <col min="15" max="15" width="17.140625" style="0" customWidth="1"/>
    <col min="16" max="16" width="20.140625" style="0" customWidth="1"/>
    <col min="17" max="17" width="15.00390625" style="0" customWidth="1"/>
    <col min="18" max="18" width="6.28125" style="0" hidden="1" customWidth="1"/>
    <col min="19" max="19" width="9.140625" style="0" hidden="1" customWidth="1"/>
    <col min="20" max="20" width="7.421875" style="0" hidden="1" customWidth="1"/>
    <col min="21" max="21" width="12.28125" style="0" hidden="1" customWidth="1"/>
    <col min="22" max="23" width="9.140625" style="0" hidden="1" customWidth="1"/>
    <col min="24" max="24" width="13.28125" style="0" hidden="1" customWidth="1"/>
    <col min="27" max="27" width="1.8515625" style="0" customWidth="1"/>
    <col min="29" max="29" width="2.421875" style="0" customWidth="1"/>
    <col min="31" max="31" width="3.7109375" style="0" customWidth="1"/>
    <col min="32" max="32" width="0.13671875" style="0" hidden="1" customWidth="1"/>
    <col min="34" max="34" width="12.7109375" style="0" customWidth="1"/>
  </cols>
  <sheetData>
    <row r="1" spans="6:33" ht="15.75">
      <c r="F1" s="507" t="s">
        <v>2524</v>
      </c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</row>
    <row r="2" spans="3:17" ht="15.75">
      <c r="C2" s="483" t="s">
        <v>2887</v>
      </c>
      <c r="D2" s="483"/>
      <c r="E2" s="483"/>
      <c r="F2" s="483"/>
      <c r="G2" s="484" t="s">
        <v>52</v>
      </c>
      <c r="H2" s="484"/>
      <c r="I2" s="484"/>
      <c r="J2" s="484"/>
      <c r="K2" s="484"/>
      <c r="L2" s="484"/>
      <c r="M2" s="484"/>
      <c r="N2" s="484"/>
      <c r="O2" s="484"/>
      <c r="P2" s="484"/>
      <c r="Q2" s="484"/>
    </row>
    <row r="3" spans="3:17" ht="15.75">
      <c r="C3" s="483"/>
      <c r="D3" s="483"/>
      <c r="E3" s="483"/>
      <c r="F3" s="483"/>
      <c r="G3" s="484" t="s">
        <v>2888</v>
      </c>
      <c r="H3" s="484"/>
      <c r="I3" s="484"/>
      <c r="J3" s="484"/>
      <c r="K3" s="484"/>
      <c r="L3" s="484"/>
      <c r="M3" s="484"/>
      <c r="N3" s="484"/>
      <c r="O3" s="484"/>
      <c r="P3" s="484"/>
      <c r="Q3" s="484"/>
    </row>
    <row r="5" spans="1:24" ht="12.75">
      <c r="A5" s="508" t="s">
        <v>2514</v>
      </c>
      <c r="B5" s="508"/>
      <c r="C5" s="509" t="s">
        <v>2515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8" t="s">
        <v>2516</v>
      </c>
      <c r="U5" s="508"/>
      <c r="V5" s="508"/>
      <c r="W5" s="508"/>
      <c r="X5" s="508"/>
    </row>
    <row r="6" spans="1:24" s="400" customFormat="1" ht="16.15" customHeight="1">
      <c r="A6" s="503" t="s">
        <v>2517</v>
      </c>
      <c r="B6" s="503"/>
      <c r="C6" s="504" t="s">
        <v>2885</v>
      </c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6"/>
      <c r="U6" s="506"/>
      <c r="V6" s="506"/>
      <c r="W6" s="506"/>
      <c r="X6" s="506"/>
    </row>
    <row r="7" spans="1:34" s="400" customFormat="1" ht="11.25" customHeight="1">
      <c r="A7" s="501" t="s">
        <v>2518</v>
      </c>
      <c r="B7" s="501"/>
      <c r="C7" s="502" t="s">
        <v>2519</v>
      </c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499">
        <f>SUM(A80)</f>
        <v>0</v>
      </c>
      <c r="U7" s="500"/>
      <c r="V7" s="501"/>
      <c r="W7" s="501"/>
      <c r="X7" s="501"/>
      <c r="AH7" s="401">
        <f>SUM(A80)</f>
        <v>0</v>
      </c>
    </row>
    <row r="8" spans="1:34" s="400" customFormat="1" ht="11.45" customHeight="1">
      <c r="A8" s="501">
        <v>2</v>
      </c>
      <c r="B8" s="501"/>
      <c r="C8" s="502" t="s">
        <v>2520</v>
      </c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499">
        <f>SUM(A107)</f>
        <v>0</v>
      </c>
      <c r="U8" s="500"/>
      <c r="V8" s="501"/>
      <c r="W8" s="501"/>
      <c r="X8" s="501"/>
      <c r="AH8" s="401">
        <f>SUM(A107)</f>
        <v>0</v>
      </c>
    </row>
    <row r="9" spans="1:34" s="400" customFormat="1" ht="11.25" customHeight="1">
      <c r="A9" s="501">
        <v>3</v>
      </c>
      <c r="B9" s="501"/>
      <c r="C9" s="502" t="s">
        <v>2521</v>
      </c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499">
        <f>SUM(A123)</f>
        <v>0</v>
      </c>
      <c r="U9" s="500"/>
      <c r="V9" s="501"/>
      <c r="W9" s="501"/>
      <c r="X9" s="501"/>
      <c r="AH9" s="401">
        <f>SUM(A123)</f>
        <v>0</v>
      </c>
    </row>
    <row r="10" spans="1:34" s="400" customFormat="1" ht="11.45" customHeight="1">
      <c r="A10" s="501">
        <v>4</v>
      </c>
      <c r="B10" s="501"/>
      <c r="C10" s="502" t="s">
        <v>2522</v>
      </c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499">
        <f>SUM(A133)</f>
        <v>0</v>
      </c>
      <c r="U10" s="500"/>
      <c r="V10" s="501"/>
      <c r="W10" s="501"/>
      <c r="X10" s="501"/>
      <c r="AH10" s="401">
        <f>SUM(A133)</f>
        <v>0</v>
      </c>
    </row>
    <row r="11" spans="1:34" s="400" customFormat="1" ht="11.45" customHeight="1">
      <c r="A11" s="501">
        <v>5</v>
      </c>
      <c r="B11" s="501"/>
      <c r="C11" s="502" t="s">
        <v>2523</v>
      </c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499">
        <f>SUM(AH241)</f>
        <v>0</v>
      </c>
      <c r="U11" s="500"/>
      <c r="V11" s="501"/>
      <c r="W11" s="501"/>
      <c r="X11" s="501"/>
      <c r="AA11" s="400" t="s">
        <v>2524</v>
      </c>
      <c r="AH11" s="401">
        <f>SUM(AH241)</f>
        <v>0</v>
      </c>
    </row>
    <row r="12" spans="1:34" s="400" customFormat="1" ht="11.45" customHeight="1">
      <c r="A12" s="503"/>
      <c r="B12" s="503"/>
      <c r="C12" s="504" t="s">
        <v>2525</v>
      </c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5">
        <f>SUM(T7:U11)</f>
        <v>0</v>
      </c>
      <c r="U12" s="506"/>
      <c r="V12" s="506"/>
      <c r="W12" s="506"/>
      <c r="X12" s="506"/>
      <c r="AH12" s="224">
        <f>SUM(AH7:AH11)</f>
        <v>0</v>
      </c>
    </row>
    <row r="13" spans="1:34" s="400" customFormat="1" ht="11.45" customHeight="1">
      <c r="A13" s="501"/>
      <c r="B13" s="501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1"/>
      <c r="U13" s="501"/>
      <c r="V13" s="501"/>
      <c r="W13" s="501"/>
      <c r="X13" s="501"/>
      <c r="AH13" s="401"/>
    </row>
    <row r="14" spans="1:34" s="400" customFormat="1" ht="11.45" customHeight="1">
      <c r="A14" s="503" t="s">
        <v>2526</v>
      </c>
      <c r="B14" s="503"/>
      <c r="C14" s="504" t="s">
        <v>2527</v>
      </c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6"/>
      <c r="U14" s="506"/>
      <c r="V14" s="506"/>
      <c r="W14" s="506"/>
      <c r="X14" s="506"/>
      <c r="AH14" s="401"/>
    </row>
    <row r="15" spans="1:34" s="400" customFormat="1" ht="11.25" customHeight="1">
      <c r="A15" s="501" t="s">
        <v>2528</v>
      </c>
      <c r="B15" s="501"/>
      <c r="C15" s="502" t="s">
        <v>2529</v>
      </c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499">
        <f>SUM(AH256)</f>
        <v>0</v>
      </c>
      <c r="U15" s="500"/>
      <c r="V15" s="501"/>
      <c r="W15" s="501"/>
      <c r="X15" s="501"/>
      <c r="AH15" s="401">
        <f>SUM(AH256)</f>
        <v>0</v>
      </c>
    </row>
    <row r="16" spans="1:34" s="400" customFormat="1" ht="11.45" customHeight="1">
      <c r="A16" s="503"/>
      <c r="B16" s="503"/>
      <c r="C16" s="504" t="s">
        <v>2530</v>
      </c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5">
        <f>SUM(T15)</f>
        <v>0</v>
      </c>
      <c r="U16" s="506"/>
      <c r="V16" s="506"/>
      <c r="W16" s="506"/>
      <c r="X16" s="506"/>
      <c r="AH16" s="224">
        <f>SUM(AH15)</f>
        <v>0</v>
      </c>
    </row>
    <row r="17" spans="1:34" s="400" customFormat="1" ht="11.45" customHeight="1">
      <c r="A17" s="501"/>
      <c r="B17" s="501"/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1"/>
      <c r="U17" s="501"/>
      <c r="V17" s="501"/>
      <c r="W17" s="501"/>
      <c r="X17" s="501"/>
      <c r="AH17" s="401"/>
    </row>
    <row r="18" spans="1:34" s="400" customFormat="1" ht="11.45" customHeight="1">
      <c r="A18" s="501"/>
      <c r="B18" s="501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1"/>
      <c r="U18" s="501"/>
      <c r="V18" s="501"/>
      <c r="W18" s="501"/>
      <c r="X18" s="501"/>
      <c r="AH18" s="401"/>
    </row>
    <row r="19" spans="1:34" s="400" customFormat="1" ht="11.25" customHeight="1">
      <c r="A19" s="496" t="s">
        <v>2531</v>
      </c>
      <c r="B19" s="496"/>
      <c r="C19" s="497" t="s">
        <v>2886</v>
      </c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02"/>
      <c r="U19" s="402">
        <f>SUM(T12+T15)</f>
        <v>0</v>
      </c>
      <c r="V19" s="402"/>
      <c r="W19" s="403"/>
      <c r="X19" s="402"/>
      <c r="AH19" s="224">
        <f>SUM(AH16+AH12)</f>
        <v>0</v>
      </c>
    </row>
    <row r="20" ht="12.75" hidden="1"/>
    <row r="21" ht="2.85" customHeight="1"/>
    <row r="22" ht="27.6" customHeight="1"/>
    <row r="23" spans="1:34" ht="17.1" customHeight="1">
      <c r="A23" s="491" t="s">
        <v>2532</v>
      </c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</row>
    <row r="24" spans="1:34" ht="17.1" customHeight="1">
      <c r="A24" s="220"/>
      <c r="B24" s="220"/>
      <c r="C24" s="221" t="s">
        <v>2533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0"/>
      <c r="AD24" s="220"/>
      <c r="AE24" s="220"/>
      <c r="AF24" s="220"/>
      <c r="AG24" s="220"/>
      <c r="AH24" s="220"/>
    </row>
    <row r="25" spans="1:34" ht="61.15" customHeight="1">
      <c r="A25" s="220"/>
      <c r="B25" s="220"/>
      <c r="C25" s="498" t="s">
        <v>2534</v>
      </c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220"/>
      <c r="AD25" s="220"/>
      <c r="AE25" s="220"/>
      <c r="AF25" s="220"/>
      <c r="AG25" s="220"/>
      <c r="AH25" s="220"/>
    </row>
    <row r="26" spans="1:34" ht="17.1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</row>
    <row r="27" ht="2.85" customHeight="1"/>
    <row r="28" spans="1:34" ht="11.45" customHeight="1">
      <c r="A28" s="494" t="s">
        <v>2535</v>
      </c>
      <c r="B28" s="494"/>
      <c r="C28" s="495" t="s">
        <v>2536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 t="s">
        <v>2515</v>
      </c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4" t="s">
        <v>2537</v>
      </c>
      <c r="AB28" s="494"/>
      <c r="AC28" s="494" t="s">
        <v>66</v>
      </c>
      <c r="AD28" s="494"/>
      <c r="AE28" s="495" t="s">
        <v>2538</v>
      </c>
      <c r="AF28" s="495"/>
      <c r="AG28" s="494" t="s">
        <v>2539</v>
      </c>
      <c r="AH28" s="494"/>
    </row>
    <row r="29" spans="1:34" ht="15" customHeight="1">
      <c r="A29" s="481">
        <v>1</v>
      </c>
      <c r="B29" s="481"/>
      <c r="C29" s="485" t="s">
        <v>2540</v>
      </c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 t="s">
        <v>2541</v>
      </c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7"/>
      <c r="AB29" s="487"/>
      <c r="AC29" s="481" t="s">
        <v>2542</v>
      </c>
      <c r="AD29" s="481"/>
      <c r="AE29" s="485" t="s">
        <v>2107</v>
      </c>
      <c r="AF29" s="485"/>
      <c r="AG29" s="493">
        <f>SUM(AA29*AC29)</f>
        <v>0</v>
      </c>
      <c r="AH29" s="493"/>
    </row>
    <row r="30" spans="1:34" ht="20.85" customHeight="1">
      <c r="A30" s="481">
        <v>2</v>
      </c>
      <c r="B30" s="481"/>
      <c r="C30" s="485" t="s">
        <v>2543</v>
      </c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 t="s">
        <v>2544</v>
      </c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7"/>
      <c r="AB30" s="487"/>
      <c r="AC30" s="481" t="s">
        <v>2545</v>
      </c>
      <c r="AD30" s="481"/>
      <c r="AE30" s="485" t="s">
        <v>2107</v>
      </c>
      <c r="AF30" s="485"/>
      <c r="AG30" s="488">
        <f aca="true" t="shared" si="0" ref="AG30:AG79">SUM(AA30*AC30)</f>
        <v>0</v>
      </c>
      <c r="AH30" s="488"/>
    </row>
    <row r="31" spans="1:34" ht="15" customHeight="1">
      <c r="A31" s="481">
        <v>3</v>
      </c>
      <c r="B31" s="481"/>
      <c r="C31" s="485" t="s">
        <v>2546</v>
      </c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 t="s">
        <v>2547</v>
      </c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7"/>
      <c r="AB31" s="487"/>
      <c r="AC31" s="481" t="s">
        <v>2548</v>
      </c>
      <c r="AD31" s="481"/>
      <c r="AE31" s="485" t="s">
        <v>2107</v>
      </c>
      <c r="AF31" s="485"/>
      <c r="AG31" s="488">
        <f t="shared" si="0"/>
        <v>0</v>
      </c>
      <c r="AH31" s="488"/>
    </row>
    <row r="32" spans="1:34" ht="15" customHeight="1">
      <c r="A32" s="481">
        <v>4</v>
      </c>
      <c r="B32" s="481"/>
      <c r="C32" s="485" t="s">
        <v>2549</v>
      </c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 t="s">
        <v>2550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7"/>
      <c r="AB32" s="487"/>
      <c r="AC32" s="481" t="s">
        <v>2551</v>
      </c>
      <c r="AD32" s="481"/>
      <c r="AE32" s="485" t="s">
        <v>2107</v>
      </c>
      <c r="AF32" s="485"/>
      <c r="AG32" s="488">
        <f t="shared" si="0"/>
        <v>0</v>
      </c>
      <c r="AH32" s="488"/>
    </row>
    <row r="33" spans="1:34" ht="15" customHeight="1">
      <c r="A33" s="481">
        <v>5</v>
      </c>
      <c r="B33" s="481"/>
      <c r="C33" s="485" t="s">
        <v>2552</v>
      </c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 t="s">
        <v>2553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7"/>
      <c r="AB33" s="487"/>
      <c r="AC33" s="481" t="s">
        <v>2554</v>
      </c>
      <c r="AD33" s="481"/>
      <c r="AE33" s="485" t="s">
        <v>2107</v>
      </c>
      <c r="AF33" s="485"/>
      <c r="AG33" s="488">
        <f t="shared" si="0"/>
        <v>0</v>
      </c>
      <c r="AH33" s="488"/>
    </row>
    <row r="34" spans="1:34" ht="15" customHeight="1">
      <c r="A34" s="481">
        <v>6</v>
      </c>
      <c r="B34" s="481"/>
      <c r="C34" s="485" t="s">
        <v>2555</v>
      </c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 t="s">
        <v>2556</v>
      </c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7"/>
      <c r="AB34" s="487"/>
      <c r="AC34" s="481" t="s">
        <v>2557</v>
      </c>
      <c r="AD34" s="481"/>
      <c r="AE34" s="485" t="s">
        <v>395</v>
      </c>
      <c r="AF34" s="485"/>
      <c r="AG34" s="488">
        <f t="shared" si="0"/>
        <v>0</v>
      </c>
      <c r="AH34" s="488"/>
    </row>
    <row r="35" spans="1:34" ht="15" customHeight="1">
      <c r="A35" s="481">
        <v>7</v>
      </c>
      <c r="B35" s="481"/>
      <c r="C35" s="485" t="s">
        <v>2558</v>
      </c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 t="s">
        <v>2559</v>
      </c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7"/>
      <c r="AB35" s="487"/>
      <c r="AC35" s="481" t="s">
        <v>2560</v>
      </c>
      <c r="AD35" s="481"/>
      <c r="AE35" s="485" t="s">
        <v>2216</v>
      </c>
      <c r="AF35" s="485"/>
      <c r="AG35" s="488">
        <f t="shared" si="0"/>
        <v>0</v>
      </c>
      <c r="AH35" s="488"/>
    </row>
    <row r="36" spans="1:34" ht="15" customHeight="1">
      <c r="A36" s="481">
        <v>8</v>
      </c>
      <c r="B36" s="481"/>
      <c r="C36" s="485" t="s">
        <v>2561</v>
      </c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 t="s">
        <v>2562</v>
      </c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7"/>
      <c r="AB36" s="487"/>
      <c r="AC36" s="481" t="s">
        <v>2563</v>
      </c>
      <c r="AD36" s="481"/>
      <c r="AE36" s="485" t="s">
        <v>2216</v>
      </c>
      <c r="AF36" s="485"/>
      <c r="AG36" s="488">
        <f t="shared" si="0"/>
        <v>0</v>
      </c>
      <c r="AH36" s="488"/>
    </row>
    <row r="37" spans="1:34" ht="15" customHeight="1">
      <c r="A37" s="481">
        <v>9</v>
      </c>
      <c r="B37" s="481"/>
      <c r="C37" s="485" t="s">
        <v>2564</v>
      </c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 t="s">
        <v>2565</v>
      </c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7"/>
      <c r="AB37" s="487"/>
      <c r="AC37" s="481" t="s">
        <v>2566</v>
      </c>
      <c r="AD37" s="481"/>
      <c r="AE37" s="485" t="s">
        <v>2107</v>
      </c>
      <c r="AF37" s="485"/>
      <c r="AG37" s="488">
        <f t="shared" si="0"/>
        <v>0</v>
      </c>
      <c r="AH37" s="488"/>
    </row>
    <row r="38" spans="1:34" ht="15" customHeight="1">
      <c r="A38" s="481">
        <v>10</v>
      </c>
      <c r="B38" s="481"/>
      <c r="C38" s="485" t="s">
        <v>2564</v>
      </c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 t="s">
        <v>2567</v>
      </c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7"/>
      <c r="AB38" s="487"/>
      <c r="AC38" s="481" t="s">
        <v>2568</v>
      </c>
      <c r="AD38" s="481"/>
      <c r="AE38" s="485" t="s">
        <v>2107</v>
      </c>
      <c r="AF38" s="485"/>
      <c r="AG38" s="488">
        <f t="shared" si="0"/>
        <v>0</v>
      </c>
      <c r="AH38" s="488"/>
    </row>
    <row r="39" spans="1:34" ht="15" customHeight="1">
      <c r="A39" s="481">
        <v>11</v>
      </c>
      <c r="B39" s="481"/>
      <c r="C39" s="485" t="s">
        <v>2569</v>
      </c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 t="s">
        <v>2570</v>
      </c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7"/>
      <c r="AB39" s="487"/>
      <c r="AC39" s="481" t="s">
        <v>2571</v>
      </c>
      <c r="AD39" s="481"/>
      <c r="AE39" s="485" t="s">
        <v>2107</v>
      </c>
      <c r="AF39" s="485"/>
      <c r="AG39" s="488">
        <f t="shared" si="0"/>
        <v>0</v>
      </c>
      <c r="AH39" s="488"/>
    </row>
    <row r="40" spans="1:34" ht="15" customHeight="1">
      <c r="A40" s="481">
        <v>12</v>
      </c>
      <c r="B40" s="481"/>
      <c r="C40" s="485" t="s">
        <v>2572</v>
      </c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 t="s">
        <v>2573</v>
      </c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7"/>
      <c r="AB40" s="487"/>
      <c r="AC40" s="481" t="s">
        <v>2574</v>
      </c>
      <c r="AD40" s="481"/>
      <c r="AE40" s="485" t="s">
        <v>2107</v>
      </c>
      <c r="AF40" s="485"/>
      <c r="AG40" s="488">
        <f t="shared" si="0"/>
        <v>0</v>
      </c>
      <c r="AH40" s="488"/>
    </row>
    <row r="41" spans="1:34" ht="15" customHeight="1">
      <c r="A41" s="481">
        <v>13</v>
      </c>
      <c r="B41" s="481"/>
      <c r="C41" s="485" t="s">
        <v>2575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 t="s">
        <v>2576</v>
      </c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7"/>
      <c r="AB41" s="487"/>
      <c r="AC41" s="481" t="s">
        <v>2577</v>
      </c>
      <c r="AD41" s="481"/>
      <c r="AE41" s="485" t="s">
        <v>2107</v>
      </c>
      <c r="AF41" s="485"/>
      <c r="AG41" s="488">
        <f t="shared" si="0"/>
        <v>0</v>
      </c>
      <c r="AH41" s="488"/>
    </row>
    <row r="42" spans="1:34" ht="15" customHeight="1">
      <c r="A42" s="481">
        <v>14</v>
      </c>
      <c r="B42" s="481"/>
      <c r="C42" s="485" t="s">
        <v>2578</v>
      </c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 t="s">
        <v>2579</v>
      </c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7"/>
      <c r="AB42" s="487"/>
      <c r="AC42" s="481" t="s">
        <v>2580</v>
      </c>
      <c r="AD42" s="481"/>
      <c r="AE42" s="485" t="s">
        <v>2107</v>
      </c>
      <c r="AF42" s="485"/>
      <c r="AG42" s="488">
        <f t="shared" si="0"/>
        <v>0</v>
      </c>
      <c r="AH42" s="488"/>
    </row>
    <row r="43" spans="1:34" ht="15" customHeight="1">
      <c r="A43" s="481">
        <v>15</v>
      </c>
      <c r="B43" s="481"/>
      <c r="C43" s="485" t="s">
        <v>2581</v>
      </c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 t="s">
        <v>2582</v>
      </c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7"/>
      <c r="AB43" s="487"/>
      <c r="AC43" s="481" t="s">
        <v>2583</v>
      </c>
      <c r="AD43" s="481"/>
      <c r="AE43" s="485" t="s">
        <v>2107</v>
      </c>
      <c r="AF43" s="485"/>
      <c r="AG43" s="488">
        <f t="shared" si="0"/>
        <v>0</v>
      </c>
      <c r="AH43" s="488"/>
    </row>
    <row r="44" spans="1:34" ht="15" customHeight="1">
      <c r="A44" s="481">
        <v>16</v>
      </c>
      <c r="B44" s="481"/>
      <c r="C44" s="485" t="s">
        <v>2584</v>
      </c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 t="s">
        <v>2585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7"/>
      <c r="AB44" s="487"/>
      <c r="AC44" s="481" t="s">
        <v>2566</v>
      </c>
      <c r="AD44" s="481"/>
      <c r="AE44" s="485" t="s">
        <v>2107</v>
      </c>
      <c r="AF44" s="485"/>
      <c r="AG44" s="488">
        <f t="shared" si="0"/>
        <v>0</v>
      </c>
      <c r="AH44" s="488"/>
    </row>
    <row r="45" spans="1:34" ht="15" customHeight="1">
      <c r="A45" s="481">
        <v>17</v>
      </c>
      <c r="B45" s="481"/>
      <c r="C45" s="485" t="s">
        <v>2586</v>
      </c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 t="s">
        <v>2587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7"/>
      <c r="AB45" s="487"/>
      <c r="AC45" s="481" t="s">
        <v>2574</v>
      </c>
      <c r="AD45" s="481"/>
      <c r="AE45" s="485" t="s">
        <v>2107</v>
      </c>
      <c r="AF45" s="485"/>
      <c r="AG45" s="488">
        <f t="shared" si="0"/>
        <v>0</v>
      </c>
      <c r="AH45" s="488"/>
    </row>
    <row r="46" spans="1:34" ht="15" customHeight="1">
      <c r="A46" s="481">
        <v>18</v>
      </c>
      <c r="B46" s="481"/>
      <c r="C46" s="485" t="s">
        <v>2588</v>
      </c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 t="s">
        <v>2589</v>
      </c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7"/>
      <c r="AB46" s="487"/>
      <c r="AC46" s="481" t="s">
        <v>2548</v>
      </c>
      <c r="AD46" s="481"/>
      <c r="AE46" s="485" t="s">
        <v>2107</v>
      </c>
      <c r="AF46" s="485"/>
      <c r="AG46" s="488">
        <f t="shared" si="0"/>
        <v>0</v>
      </c>
      <c r="AH46" s="488"/>
    </row>
    <row r="47" spans="1:34" ht="15" customHeight="1">
      <c r="A47" s="481">
        <v>19</v>
      </c>
      <c r="B47" s="481"/>
      <c r="C47" s="485" t="s">
        <v>2590</v>
      </c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 t="s">
        <v>2591</v>
      </c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7"/>
      <c r="AB47" s="487"/>
      <c r="AC47" s="481" t="s">
        <v>2592</v>
      </c>
      <c r="AD47" s="481"/>
      <c r="AE47" s="485" t="s">
        <v>2107</v>
      </c>
      <c r="AF47" s="485"/>
      <c r="AG47" s="488">
        <f t="shared" si="0"/>
        <v>0</v>
      </c>
      <c r="AH47" s="488"/>
    </row>
    <row r="48" spans="1:34" ht="15" customHeight="1">
      <c r="A48" s="481">
        <v>20</v>
      </c>
      <c r="B48" s="481"/>
      <c r="C48" s="485" t="s">
        <v>2593</v>
      </c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 t="s">
        <v>2594</v>
      </c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7"/>
      <c r="AB48" s="487"/>
      <c r="AC48" s="481" t="s">
        <v>2548</v>
      </c>
      <c r="AD48" s="481"/>
      <c r="AE48" s="485" t="s">
        <v>2107</v>
      </c>
      <c r="AF48" s="485"/>
      <c r="AG48" s="488">
        <f t="shared" si="0"/>
        <v>0</v>
      </c>
      <c r="AH48" s="488"/>
    </row>
    <row r="49" spans="1:34" ht="15" customHeight="1">
      <c r="A49" s="481">
        <v>21</v>
      </c>
      <c r="B49" s="481"/>
      <c r="C49" s="485" t="s">
        <v>2595</v>
      </c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 t="s">
        <v>2596</v>
      </c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7"/>
      <c r="AB49" s="487"/>
      <c r="AC49" s="481" t="s">
        <v>2548</v>
      </c>
      <c r="AD49" s="481"/>
      <c r="AE49" s="485" t="s">
        <v>2107</v>
      </c>
      <c r="AF49" s="485"/>
      <c r="AG49" s="488">
        <f t="shared" si="0"/>
        <v>0</v>
      </c>
      <c r="AH49" s="488"/>
    </row>
    <row r="50" spans="1:34" ht="15" customHeight="1">
      <c r="A50" s="481">
        <v>22</v>
      </c>
      <c r="B50" s="481"/>
      <c r="C50" s="485" t="s">
        <v>2597</v>
      </c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 t="s">
        <v>2598</v>
      </c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7"/>
      <c r="AB50" s="487"/>
      <c r="AC50" s="481" t="s">
        <v>2599</v>
      </c>
      <c r="AD50" s="481"/>
      <c r="AE50" s="485" t="s">
        <v>2107</v>
      </c>
      <c r="AF50" s="485"/>
      <c r="AG50" s="488">
        <f t="shared" si="0"/>
        <v>0</v>
      </c>
      <c r="AH50" s="488"/>
    </row>
    <row r="51" spans="1:34" ht="15" customHeight="1">
      <c r="A51" s="481">
        <v>23</v>
      </c>
      <c r="B51" s="481"/>
      <c r="C51" s="485" t="s">
        <v>2600</v>
      </c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 t="s">
        <v>2601</v>
      </c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7"/>
      <c r="AB51" s="487"/>
      <c r="AC51" s="481" t="s">
        <v>2599</v>
      </c>
      <c r="AD51" s="481"/>
      <c r="AE51" s="485" t="s">
        <v>2107</v>
      </c>
      <c r="AF51" s="485"/>
      <c r="AG51" s="488">
        <f t="shared" si="0"/>
        <v>0</v>
      </c>
      <c r="AH51" s="488"/>
    </row>
    <row r="52" spans="1:34" ht="24.95" customHeight="1">
      <c r="A52" s="481">
        <v>24</v>
      </c>
      <c r="B52" s="481"/>
      <c r="C52" s="485" t="s">
        <v>2602</v>
      </c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 t="s">
        <v>2603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7"/>
      <c r="AB52" s="487"/>
      <c r="AC52" s="481" t="s">
        <v>2604</v>
      </c>
      <c r="AD52" s="481"/>
      <c r="AE52" s="485" t="s">
        <v>2107</v>
      </c>
      <c r="AF52" s="485"/>
      <c r="AG52" s="488">
        <f t="shared" si="0"/>
        <v>0</v>
      </c>
      <c r="AH52" s="488"/>
    </row>
    <row r="53" spans="1:34" ht="24.95" customHeight="1">
      <c r="A53" s="481">
        <v>25</v>
      </c>
      <c r="B53" s="481"/>
      <c r="C53" s="485" t="s">
        <v>2605</v>
      </c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 t="s">
        <v>2606</v>
      </c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7"/>
      <c r="AB53" s="487"/>
      <c r="AC53" s="481" t="s">
        <v>2604</v>
      </c>
      <c r="AD53" s="481"/>
      <c r="AE53" s="485" t="s">
        <v>2107</v>
      </c>
      <c r="AF53" s="485"/>
      <c r="AG53" s="488">
        <f t="shared" si="0"/>
        <v>0</v>
      </c>
      <c r="AH53" s="488"/>
    </row>
    <row r="54" spans="1:34" ht="24.95" customHeight="1">
      <c r="A54" s="481">
        <v>26</v>
      </c>
      <c r="B54" s="481"/>
      <c r="C54" s="485" t="s">
        <v>2607</v>
      </c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 t="s">
        <v>2608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1" t="s">
        <v>2609</v>
      </c>
      <c r="AD54" s="481"/>
      <c r="AE54" s="485" t="s">
        <v>2107</v>
      </c>
      <c r="AF54" s="485"/>
      <c r="AG54" s="488">
        <f t="shared" si="0"/>
        <v>0</v>
      </c>
      <c r="AH54" s="488"/>
    </row>
    <row r="55" spans="1:34" ht="24.95" customHeight="1">
      <c r="A55" s="481">
        <v>27</v>
      </c>
      <c r="B55" s="481"/>
      <c r="C55" s="485" t="s">
        <v>2610</v>
      </c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 t="s">
        <v>2611</v>
      </c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1" t="s">
        <v>2548</v>
      </c>
      <c r="AD55" s="481"/>
      <c r="AE55" s="485" t="s">
        <v>2107</v>
      </c>
      <c r="AF55" s="485"/>
      <c r="AG55" s="488">
        <f t="shared" si="0"/>
        <v>0</v>
      </c>
      <c r="AH55" s="488"/>
    </row>
    <row r="56" spans="1:34" ht="24.95" customHeight="1">
      <c r="A56" s="481">
        <v>28</v>
      </c>
      <c r="B56" s="481"/>
      <c r="C56" s="485" t="s">
        <v>2612</v>
      </c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 t="s">
        <v>2613</v>
      </c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7"/>
      <c r="AB56" s="487"/>
      <c r="AC56" s="481" t="s">
        <v>2614</v>
      </c>
      <c r="AD56" s="481"/>
      <c r="AE56" s="485" t="s">
        <v>2107</v>
      </c>
      <c r="AF56" s="485"/>
      <c r="AG56" s="488">
        <f t="shared" si="0"/>
        <v>0</v>
      </c>
      <c r="AH56" s="488"/>
    </row>
    <row r="57" spans="1:34" ht="24.95" customHeight="1">
      <c r="A57" s="481">
        <v>29</v>
      </c>
      <c r="B57" s="481"/>
      <c r="C57" s="485" t="s">
        <v>2615</v>
      </c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 t="s">
        <v>2616</v>
      </c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7"/>
      <c r="AB57" s="487"/>
      <c r="AC57" s="481" t="s">
        <v>2614</v>
      </c>
      <c r="AD57" s="481"/>
      <c r="AE57" s="485" t="s">
        <v>2107</v>
      </c>
      <c r="AF57" s="485"/>
      <c r="AG57" s="488">
        <f t="shared" si="0"/>
        <v>0</v>
      </c>
      <c r="AH57" s="488"/>
    </row>
    <row r="58" spans="1:34" ht="37.5" customHeight="1">
      <c r="A58" s="481">
        <v>30</v>
      </c>
      <c r="B58" s="481"/>
      <c r="C58" s="485" t="s">
        <v>2617</v>
      </c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6" t="s">
        <v>2618</v>
      </c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7"/>
      <c r="AB58" s="487"/>
      <c r="AC58" s="481" t="s">
        <v>2619</v>
      </c>
      <c r="AD58" s="481"/>
      <c r="AE58" s="485" t="s">
        <v>2107</v>
      </c>
      <c r="AF58" s="485"/>
      <c r="AG58" s="488">
        <f t="shared" si="0"/>
        <v>0</v>
      </c>
      <c r="AH58" s="488"/>
    </row>
    <row r="59" spans="1:34" ht="24.95" customHeight="1">
      <c r="A59" s="481">
        <v>31</v>
      </c>
      <c r="B59" s="481"/>
      <c r="C59" s="485" t="s">
        <v>2620</v>
      </c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 t="s">
        <v>2621</v>
      </c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7"/>
      <c r="AB59" s="487"/>
      <c r="AC59" s="481" t="s">
        <v>2614</v>
      </c>
      <c r="AD59" s="481"/>
      <c r="AE59" s="485" t="s">
        <v>2107</v>
      </c>
      <c r="AF59" s="485"/>
      <c r="AG59" s="488">
        <f t="shared" si="0"/>
        <v>0</v>
      </c>
      <c r="AH59" s="488"/>
    </row>
    <row r="60" spans="1:34" ht="24.95" customHeight="1">
      <c r="A60" s="481">
        <v>32</v>
      </c>
      <c r="B60" s="481"/>
      <c r="C60" s="485" t="s">
        <v>2622</v>
      </c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 t="s">
        <v>2623</v>
      </c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7"/>
      <c r="AB60" s="487"/>
      <c r="AC60" s="481" t="s">
        <v>2580</v>
      </c>
      <c r="AD60" s="481"/>
      <c r="AE60" s="485" t="s">
        <v>2107</v>
      </c>
      <c r="AF60" s="485"/>
      <c r="AG60" s="488">
        <f t="shared" si="0"/>
        <v>0</v>
      </c>
      <c r="AH60" s="488"/>
    </row>
    <row r="61" spans="1:34" ht="24.95" customHeight="1">
      <c r="A61" s="481">
        <v>33</v>
      </c>
      <c r="B61" s="481"/>
      <c r="C61" s="485" t="s">
        <v>2624</v>
      </c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 t="s">
        <v>2625</v>
      </c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7"/>
      <c r="AB61" s="487"/>
      <c r="AC61" s="481" t="s">
        <v>2577</v>
      </c>
      <c r="AD61" s="481"/>
      <c r="AE61" s="485" t="s">
        <v>2107</v>
      </c>
      <c r="AF61" s="485"/>
      <c r="AG61" s="488">
        <f t="shared" si="0"/>
        <v>0</v>
      </c>
      <c r="AH61" s="488"/>
    </row>
    <row r="62" spans="1:34" ht="24.95" customHeight="1">
      <c r="A62" s="481">
        <v>34</v>
      </c>
      <c r="B62" s="481"/>
      <c r="C62" s="485" t="s">
        <v>2626</v>
      </c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 t="s">
        <v>2627</v>
      </c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7"/>
      <c r="AB62" s="487"/>
      <c r="AC62" s="481" t="s">
        <v>2628</v>
      </c>
      <c r="AD62" s="481"/>
      <c r="AE62" s="485" t="s">
        <v>2107</v>
      </c>
      <c r="AF62" s="485"/>
      <c r="AG62" s="488">
        <f t="shared" si="0"/>
        <v>0</v>
      </c>
      <c r="AH62" s="488"/>
    </row>
    <row r="63" spans="1:34" ht="24.95" customHeight="1">
      <c r="A63" s="481">
        <v>35</v>
      </c>
      <c r="B63" s="481"/>
      <c r="C63" s="485" t="s">
        <v>2629</v>
      </c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 t="s">
        <v>2630</v>
      </c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7"/>
      <c r="AB63" s="487"/>
      <c r="AC63" s="481" t="s">
        <v>2604</v>
      </c>
      <c r="AD63" s="481"/>
      <c r="AE63" s="485" t="s">
        <v>2107</v>
      </c>
      <c r="AF63" s="485"/>
      <c r="AG63" s="488">
        <f t="shared" si="0"/>
        <v>0</v>
      </c>
      <c r="AH63" s="488"/>
    </row>
    <row r="64" spans="1:34" ht="24.95" customHeight="1">
      <c r="A64" s="481">
        <v>36</v>
      </c>
      <c r="B64" s="481"/>
      <c r="C64" s="485" t="s">
        <v>2631</v>
      </c>
      <c r="D64" s="485"/>
      <c r="E64" s="485"/>
      <c r="F64" s="485"/>
      <c r="G64" s="485"/>
      <c r="H64" s="485"/>
      <c r="I64" s="485"/>
      <c r="J64" s="485"/>
      <c r="K64" s="485"/>
      <c r="L64" s="485"/>
      <c r="M64" s="485"/>
      <c r="N64" s="485"/>
      <c r="O64" s="485" t="s">
        <v>2632</v>
      </c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7"/>
      <c r="AB64" s="487"/>
      <c r="AC64" s="481" t="s">
        <v>2574</v>
      </c>
      <c r="AD64" s="481"/>
      <c r="AE64" s="485" t="s">
        <v>2107</v>
      </c>
      <c r="AF64" s="485"/>
      <c r="AG64" s="488">
        <f t="shared" si="0"/>
        <v>0</v>
      </c>
      <c r="AH64" s="488"/>
    </row>
    <row r="65" spans="1:34" ht="24.95" customHeight="1">
      <c r="A65" s="481">
        <v>37</v>
      </c>
      <c r="B65" s="481"/>
      <c r="C65" s="485" t="s">
        <v>2633</v>
      </c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6" t="s">
        <v>2634</v>
      </c>
      <c r="P65" s="486"/>
      <c r="Q65" s="486"/>
      <c r="R65" s="486"/>
      <c r="S65" s="486"/>
      <c r="T65" s="486"/>
      <c r="U65" s="486"/>
      <c r="V65" s="486"/>
      <c r="W65" s="486"/>
      <c r="X65" s="486"/>
      <c r="Y65" s="486"/>
      <c r="Z65" s="486"/>
      <c r="AA65" s="487"/>
      <c r="AB65" s="487"/>
      <c r="AC65" s="481" t="s">
        <v>2635</v>
      </c>
      <c r="AD65" s="481"/>
      <c r="AE65" s="485" t="s">
        <v>2107</v>
      </c>
      <c r="AF65" s="485"/>
      <c r="AG65" s="488">
        <f t="shared" si="0"/>
        <v>0</v>
      </c>
      <c r="AH65" s="488"/>
    </row>
    <row r="66" spans="1:34" ht="15" customHeight="1">
      <c r="A66" s="481">
        <v>38</v>
      </c>
      <c r="B66" s="481"/>
      <c r="C66" s="485" t="s">
        <v>2636</v>
      </c>
      <c r="D66" s="485"/>
      <c r="E66" s="485"/>
      <c r="F66" s="485"/>
      <c r="G66" s="485"/>
      <c r="H66" s="485"/>
      <c r="I66" s="485"/>
      <c r="J66" s="485"/>
      <c r="K66" s="485"/>
      <c r="L66" s="485"/>
      <c r="M66" s="485"/>
      <c r="N66" s="485"/>
      <c r="O66" s="485" t="s">
        <v>2637</v>
      </c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7"/>
      <c r="AB66" s="487"/>
      <c r="AC66" s="481" t="s">
        <v>2638</v>
      </c>
      <c r="AD66" s="481"/>
      <c r="AE66" s="485" t="s">
        <v>395</v>
      </c>
      <c r="AF66" s="485"/>
      <c r="AG66" s="488">
        <f t="shared" si="0"/>
        <v>0</v>
      </c>
      <c r="AH66" s="488"/>
    </row>
    <row r="67" spans="1:34" ht="15" customHeight="1">
      <c r="A67" s="481">
        <v>39</v>
      </c>
      <c r="B67" s="481"/>
      <c r="C67" s="485" t="s">
        <v>2636</v>
      </c>
      <c r="D67" s="485"/>
      <c r="E67" s="485"/>
      <c r="F67" s="485"/>
      <c r="G67" s="485"/>
      <c r="H67" s="485"/>
      <c r="I67" s="485"/>
      <c r="J67" s="485"/>
      <c r="K67" s="485"/>
      <c r="L67" s="485"/>
      <c r="M67" s="485"/>
      <c r="N67" s="485"/>
      <c r="O67" s="485" t="s">
        <v>2639</v>
      </c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7"/>
      <c r="AB67" s="487"/>
      <c r="AC67" s="481" t="s">
        <v>2640</v>
      </c>
      <c r="AD67" s="481"/>
      <c r="AE67" s="485" t="s">
        <v>395</v>
      </c>
      <c r="AF67" s="485"/>
      <c r="AG67" s="488">
        <f t="shared" si="0"/>
        <v>0</v>
      </c>
      <c r="AH67" s="488"/>
    </row>
    <row r="68" spans="1:34" ht="15" customHeight="1">
      <c r="A68" s="481">
        <v>40</v>
      </c>
      <c r="B68" s="481"/>
      <c r="C68" s="485" t="s">
        <v>2641</v>
      </c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 t="s">
        <v>2642</v>
      </c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7"/>
      <c r="AB68" s="487"/>
      <c r="AC68" s="481" t="s">
        <v>2643</v>
      </c>
      <c r="AD68" s="481"/>
      <c r="AE68" s="485" t="s">
        <v>395</v>
      </c>
      <c r="AF68" s="485"/>
      <c r="AG68" s="488">
        <f t="shared" si="0"/>
        <v>0</v>
      </c>
      <c r="AH68" s="488"/>
    </row>
    <row r="69" spans="1:34" ht="15" customHeight="1">
      <c r="A69" s="481">
        <v>41</v>
      </c>
      <c r="B69" s="481"/>
      <c r="C69" s="485" t="s">
        <v>2641</v>
      </c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 t="s">
        <v>2644</v>
      </c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7"/>
      <c r="AB69" s="487"/>
      <c r="AC69" s="481">
        <v>1500</v>
      </c>
      <c r="AD69" s="481"/>
      <c r="AE69" s="485" t="s">
        <v>395</v>
      </c>
      <c r="AF69" s="485"/>
      <c r="AG69" s="488">
        <f t="shared" si="0"/>
        <v>0</v>
      </c>
      <c r="AH69" s="488"/>
    </row>
    <row r="70" spans="1:34" ht="15" customHeight="1">
      <c r="A70" s="481">
        <v>42</v>
      </c>
      <c r="B70" s="481"/>
      <c r="C70" s="485" t="s">
        <v>2645</v>
      </c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 t="s">
        <v>2646</v>
      </c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7"/>
      <c r="AB70" s="487"/>
      <c r="AC70" s="481">
        <v>2000</v>
      </c>
      <c r="AD70" s="481"/>
      <c r="AE70" s="485" t="s">
        <v>395</v>
      </c>
      <c r="AF70" s="485"/>
      <c r="AG70" s="488">
        <f t="shared" si="0"/>
        <v>0</v>
      </c>
      <c r="AH70" s="488"/>
    </row>
    <row r="71" spans="1:34" ht="15" customHeight="1">
      <c r="A71" s="481">
        <v>43</v>
      </c>
      <c r="B71" s="481"/>
      <c r="C71" s="485" t="s">
        <v>2647</v>
      </c>
      <c r="D71" s="485"/>
      <c r="E71" s="485"/>
      <c r="F71" s="485"/>
      <c r="G71" s="485"/>
      <c r="H71" s="485"/>
      <c r="I71" s="485"/>
      <c r="J71" s="485"/>
      <c r="K71" s="485"/>
      <c r="L71" s="485"/>
      <c r="M71" s="485"/>
      <c r="N71" s="485"/>
      <c r="O71" s="485" t="s">
        <v>2648</v>
      </c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7"/>
      <c r="AB71" s="487"/>
      <c r="AC71" s="481" t="s">
        <v>2649</v>
      </c>
      <c r="AD71" s="481"/>
      <c r="AE71" s="485" t="s">
        <v>395</v>
      </c>
      <c r="AF71" s="485"/>
      <c r="AG71" s="488">
        <f t="shared" si="0"/>
        <v>0</v>
      </c>
      <c r="AH71" s="488"/>
    </row>
    <row r="72" spans="1:34" ht="15" customHeight="1">
      <c r="A72" s="481">
        <v>44</v>
      </c>
      <c r="B72" s="481"/>
      <c r="C72" s="485" t="s">
        <v>2650</v>
      </c>
      <c r="D72" s="485"/>
      <c r="E72" s="485"/>
      <c r="F72" s="485"/>
      <c r="G72" s="485"/>
      <c r="H72" s="485"/>
      <c r="I72" s="485"/>
      <c r="J72" s="485"/>
      <c r="K72" s="485"/>
      <c r="L72" s="485"/>
      <c r="M72" s="485"/>
      <c r="N72" s="485"/>
      <c r="O72" s="485" t="s">
        <v>2651</v>
      </c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7"/>
      <c r="AB72" s="487"/>
      <c r="AC72" s="481" t="s">
        <v>2566</v>
      </c>
      <c r="AD72" s="481"/>
      <c r="AE72" s="485" t="s">
        <v>395</v>
      </c>
      <c r="AF72" s="485"/>
      <c r="AG72" s="488">
        <f t="shared" si="0"/>
        <v>0</v>
      </c>
      <c r="AH72" s="488"/>
    </row>
    <row r="73" spans="1:34" ht="15" customHeight="1">
      <c r="A73" s="481">
        <v>45</v>
      </c>
      <c r="B73" s="481"/>
      <c r="C73" s="485" t="s">
        <v>2652</v>
      </c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485"/>
      <c r="O73" s="485" t="s">
        <v>2653</v>
      </c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7"/>
      <c r="AB73" s="487"/>
      <c r="AC73" s="481" t="s">
        <v>2654</v>
      </c>
      <c r="AD73" s="481"/>
      <c r="AE73" s="485" t="s">
        <v>395</v>
      </c>
      <c r="AF73" s="485"/>
      <c r="AG73" s="488">
        <f t="shared" si="0"/>
        <v>0</v>
      </c>
      <c r="AH73" s="488"/>
    </row>
    <row r="74" spans="1:34" ht="15" customHeight="1">
      <c r="A74" s="481">
        <v>46</v>
      </c>
      <c r="B74" s="481"/>
      <c r="C74" s="485" t="s">
        <v>2655</v>
      </c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485"/>
      <c r="O74" s="485" t="s">
        <v>2656</v>
      </c>
      <c r="P74" s="485"/>
      <c r="Q74" s="485"/>
      <c r="R74" s="485"/>
      <c r="S74" s="485"/>
      <c r="T74" s="485"/>
      <c r="U74" s="485"/>
      <c r="V74" s="485"/>
      <c r="W74" s="485"/>
      <c r="X74" s="485"/>
      <c r="Y74" s="485"/>
      <c r="Z74" s="485"/>
      <c r="AA74" s="487"/>
      <c r="AB74" s="487"/>
      <c r="AC74" s="481" t="s">
        <v>2560</v>
      </c>
      <c r="AD74" s="481"/>
      <c r="AE74" s="485" t="s">
        <v>395</v>
      </c>
      <c r="AF74" s="485"/>
      <c r="AG74" s="488">
        <f t="shared" si="0"/>
        <v>0</v>
      </c>
      <c r="AH74" s="488"/>
    </row>
    <row r="75" spans="1:34" ht="15" customHeight="1">
      <c r="A75" s="481">
        <v>47</v>
      </c>
      <c r="B75" s="481"/>
      <c r="C75" s="485" t="s">
        <v>2657</v>
      </c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485"/>
      <c r="O75" s="485" t="s">
        <v>2658</v>
      </c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7"/>
      <c r="AB75" s="487"/>
      <c r="AC75" s="481" t="s">
        <v>2560</v>
      </c>
      <c r="AD75" s="481"/>
      <c r="AE75" s="485" t="s">
        <v>395</v>
      </c>
      <c r="AF75" s="485"/>
      <c r="AG75" s="488">
        <f t="shared" si="0"/>
        <v>0</v>
      </c>
      <c r="AH75" s="488"/>
    </row>
    <row r="76" spans="1:34" ht="15" customHeight="1">
      <c r="A76" s="481">
        <v>48</v>
      </c>
      <c r="B76" s="481"/>
      <c r="C76" s="485" t="s">
        <v>2659</v>
      </c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485"/>
      <c r="O76" s="485" t="s">
        <v>2660</v>
      </c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85"/>
      <c r="AA76" s="487"/>
      <c r="AB76" s="487"/>
      <c r="AC76" s="481" t="s">
        <v>2661</v>
      </c>
      <c r="AD76" s="481"/>
      <c r="AE76" s="485" t="s">
        <v>2107</v>
      </c>
      <c r="AF76" s="485"/>
      <c r="AG76" s="488">
        <f t="shared" si="0"/>
        <v>0</v>
      </c>
      <c r="AH76" s="488"/>
    </row>
    <row r="77" spans="1:34" ht="15" customHeight="1">
      <c r="A77" s="481">
        <v>49</v>
      </c>
      <c r="B77" s="481"/>
      <c r="C77" s="485" t="s">
        <v>2662</v>
      </c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485"/>
      <c r="O77" s="485" t="s">
        <v>2663</v>
      </c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7"/>
      <c r="AB77" s="487"/>
      <c r="AC77" s="481" t="s">
        <v>2577</v>
      </c>
      <c r="AD77" s="481"/>
      <c r="AE77" s="485" t="s">
        <v>2107</v>
      </c>
      <c r="AF77" s="485"/>
      <c r="AG77" s="488">
        <f t="shared" si="0"/>
        <v>0</v>
      </c>
      <c r="AH77" s="488"/>
    </row>
    <row r="78" spans="1:34" ht="15" customHeight="1">
      <c r="A78" s="481">
        <v>50</v>
      </c>
      <c r="B78" s="481"/>
      <c r="C78" s="485" t="s">
        <v>2664</v>
      </c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485"/>
      <c r="O78" s="485" t="s">
        <v>2665</v>
      </c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85"/>
      <c r="AA78" s="487"/>
      <c r="AB78" s="487"/>
      <c r="AC78" s="481" t="s">
        <v>2666</v>
      </c>
      <c r="AD78" s="481"/>
      <c r="AE78" s="485" t="s">
        <v>2107</v>
      </c>
      <c r="AF78" s="485"/>
      <c r="AG78" s="488">
        <f t="shared" si="0"/>
        <v>0</v>
      </c>
      <c r="AH78" s="488"/>
    </row>
    <row r="79" spans="1:34" ht="20.85" customHeight="1">
      <c r="A79" s="481">
        <v>51</v>
      </c>
      <c r="B79" s="481"/>
      <c r="C79" s="485" t="s">
        <v>2667</v>
      </c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485"/>
      <c r="O79" s="485" t="s">
        <v>2668</v>
      </c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7"/>
      <c r="AB79" s="487"/>
      <c r="AC79" s="481" t="s">
        <v>2548</v>
      </c>
      <c r="AD79" s="481"/>
      <c r="AE79" s="485" t="s">
        <v>2107</v>
      </c>
      <c r="AF79" s="485"/>
      <c r="AG79" s="492">
        <f t="shared" si="0"/>
        <v>0</v>
      </c>
      <c r="AH79" s="492"/>
    </row>
    <row r="80" spans="1:34" ht="11.25" customHeight="1">
      <c r="A80" s="478">
        <f>SUM(AG29:AH79)</f>
        <v>0</v>
      </c>
      <c r="B80" s="479"/>
      <c r="C80" s="479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79"/>
      <c r="X80" s="479"/>
      <c r="Y80" s="479"/>
      <c r="Z80" s="479"/>
      <c r="AA80" s="479"/>
      <c r="AB80" s="479"/>
      <c r="AC80" s="479"/>
      <c r="AD80" s="479"/>
      <c r="AE80" s="479"/>
      <c r="AF80" s="479"/>
      <c r="AG80" s="479"/>
      <c r="AH80" s="479"/>
    </row>
    <row r="81" ht="12.75" hidden="1"/>
    <row r="82" ht="2.85" customHeight="1"/>
    <row r="83" ht="5.65" customHeight="1"/>
    <row r="84" ht="2.85" customHeight="1"/>
    <row r="85" ht="12.75" hidden="1"/>
    <row r="86" spans="1:34" ht="17.1" customHeight="1">
      <c r="A86" s="491" t="s">
        <v>2669</v>
      </c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</row>
    <row r="87" ht="2.85" customHeight="1"/>
    <row r="88" spans="1:34" ht="11.45" customHeight="1">
      <c r="A88" s="494" t="s">
        <v>2535</v>
      </c>
      <c r="B88" s="494"/>
      <c r="C88" s="495" t="s">
        <v>2536</v>
      </c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 t="s">
        <v>2515</v>
      </c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4" t="s">
        <v>2537</v>
      </c>
      <c r="AB88" s="494"/>
      <c r="AC88" s="494" t="s">
        <v>66</v>
      </c>
      <c r="AD88" s="494"/>
      <c r="AE88" s="495" t="s">
        <v>2538</v>
      </c>
      <c r="AF88" s="495"/>
      <c r="AG88" s="494" t="s">
        <v>2539</v>
      </c>
      <c r="AH88" s="494"/>
    </row>
    <row r="89" spans="1:34" ht="15" customHeight="1">
      <c r="A89" s="481">
        <v>1</v>
      </c>
      <c r="B89" s="481"/>
      <c r="C89" s="485" t="s">
        <v>2670</v>
      </c>
      <c r="D89" s="485"/>
      <c r="E89" s="485"/>
      <c r="F89" s="485"/>
      <c r="G89" s="485"/>
      <c r="H89" s="485"/>
      <c r="I89" s="485"/>
      <c r="J89" s="485"/>
      <c r="K89" s="485"/>
      <c r="L89" s="485"/>
      <c r="M89" s="485"/>
      <c r="N89" s="485"/>
      <c r="O89" s="485" t="s">
        <v>2671</v>
      </c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7"/>
      <c r="AB89" s="487"/>
      <c r="AC89" s="481" t="s">
        <v>2672</v>
      </c>
      <c r="AD89" s="481"/>
      <c r="AE89" s="485" t="s">
        <v>395</v>
      </c>
      <c r="AF89" s="485"/>
      <c r="AG89" s="493">
        <f aca="true" t="shared" si="1" ref="AG89:AG106">SUM(AA89*AC89)</f>
        <v>0</v>
      </c>
      <c r="AH89" s="493"/>
    </row>
    <row r="90" spans="1:34" ht="15" customHeight="1">
      <c r="A90" s="481">
        <v>2</v>
      </c>
      <c r="B90" s="481"/>
      <c r="C90" s="485" t="s">
        <v>2670</v>
      </c>
      <c r="D90" s="485"/>
      <c r="E90" s="485"/>
      <c r="F90" s="485"/>
      <c r="G90" s="485"/>
      <c r="H90" s="485"/>
      <c r="I90" s="485"/>
      <c r="J90" s="485"/>
      <c r="K90" s="485"/>
      <c r="L90" s="485"/>
      <c r="M90" s="485"/>
      <c r="N90" s="485"/>
      <c r="O90" s="485" t="s">
        <v>2673</v>
      </c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7"/>
      <c r="AB90" s="487"/>
      <c r="AC90" s="481" t="s">
        <v>2674</v>
      </c>
      <c r="AD90" s="481"/>
      <c r="AE90" s="485" t="s">
        <v>395</v>
      </c>
      <c r="AF90" s="485"/>
      <c r="AG90" s="488">
        <f t="shared" si="1"/>
        <v>0</v>
      </c>
      <c r="AH90" s="488"/>
    </row>
    <row r="91" spans="1:34" ht="15" customHeight="1">
      <c r="A91" s="481">
        <v>3</v>
      </c>
      <c r="B91" s="481"/>
      <c r="C91" s="485" t="s">
        <v>2675</v>
      </c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 t="s">
        <v>2676</v>
      </c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7"/>
      <c r="AB91" s="487"/>
      <c r="AC91" s="481" t="s">
        <v>2542</v>
      </c>
      <c r="AD91" s="481"/>
      <c r="AE91" s="485" t="s">
        <v>395</v>
      </c>
      <c r="AF91" s="485"/>
      <c r="AG91" s="488">
        <f t="shared" si="1"/>
        <v>0</v>
      </c>
      <c r="AH91" s="488"/>
    </row>
    <row r="92" spans="1:34" ht="15" customHeight="1">
      <c r="A92" s="481">
        <v>4</v>
      </c>
      <c r="B92" s="481"/>
      <c r="C92" s="485" t="s">
        <v>2677</v>
      </c>
      <c r="D92" s="485"/>
      <c r="E92" s="485"/>
      <c r="F92" s="485"/>
      <c r="G92" s="485"/>
      <c r="H92" s="485"/>
      <c r="I92" s="485"/>
      <c r="J92" s="485"/>
      <c r="K92" s="485"/>
      <c r="L92" s="485"/>
      <c r="M92" s="485"/>
      <c r="N92" s="485"/>
      <c r="O92" s="485" t="s">
        <v>2678</v>
      </c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7"/>
      <c r="AB92" s="487"/>
      <c r="AC92" s="481" t="s">
        <v>2679</v>
      </c>
      <c r="AD92" s="481"/>
      <c r="AE92" s="485" t="s">
        <v>2107</v>
      </c>
      <c r="AF92" s="485"/>
      <c r="AG92" s="488">
        <f t="shared" si="1"/>
        <v>0</v>
      </c>
      <c r="AH92" s="488"/>
    </row>
    <row r="93" spans="1:34" ht="15" customHeight="1">
      <c r="A93" s="481">
        <v>5</v>
      </c>
      <c r="B93" s="481"/>
      <c r="C93" s="485" t="s">
        <v>2680</v>
      </c>
      <c r="D93" s="485"/>
      <c r="E93" s="485"/>
      <c r="F93" s="485"/>
      <c r="G93" s="485"/>
      <c r="H93" s="485"/>
      <c r="I93" s="485"/>
      <c r="J93" s="485"/>
      <c r="K93" s="485"/>
      <c r="L93" s="485"/>
      <c r="M93" s="485"/>
      <c r="N93" s="485"/>
      <c r="O93" s="485" t="s">
        <v>2681</v>
      </c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7"/>
      <c r="AB93" s="487"/>
      <c r="AC93" s="481" t="s">
        <v>2682</v>
      </c>
      <c r="AD93" s="481"/>
      <c r="AE93" s="485" t="s">
        <v>2107</v>
      </c>
      <c r="AF93" s="485"/>
      <c r="AG93" s="488">
        <f t="shared" si="1"/>
        <v>0</v>
      </c>
      <c r="AH93" s="488"/>
    </row>
    <row r="94" spans="1:34" ht="15" customHeight="1">
      <c r="A94" s="481">
        <v>6</v>
      </c>
      <c r="B94" s="481"/>
      <c r="C94" s="485" t="s">
        <v>2683</v>
      </c>
      <c r="D94" s="485"/>
      <c r="E94" s="485"/>
      <c r="F94" s="485"/>
      <c r="G94" s="485"/>
      <c r="H94" s="485"/>
      <c r="I94" s="485"/>
      <c r="J94" s="485"/>
      <c r="K94" s="485"/>
      <c r="L94" s="485"/>
      <c r="M94" s="485"/>
      <c r="N94" s="485"/>
      <c r="O94" s="485" t="s">
        <v>2684</v>
      </c>
      <c r="P94" s="485"/>
      <c r="Q94" s="485"/>
      <c r="R94" s="485"/>
      <c r="S94" s="485"/>
      <c r="T94" s="485"/>
      <c r="U94" s="485"/>
      <c r="V94" s="485"/>
      <c r="W94" s="485"/>
      <c r="X94" s="485"/>
      <c r="Y94" s="485"/>
      <c r="Z94" s="485"/>
      <c r="AA94" s="487"/>
      <c r="AB94" s="487"/>
      <c r="AC94" s="481" t="s">
        <v>2568</v>
      </c>
      <c r="AD94" s="481"/>
      <c r="AE94" s="485" t="s">
        <v>2107</v>
      </c>
      <c r="AF94" s="485"/>
      <c r="AG94" s="488">
        <f t="shared" si="1"/>
        <v>0</v>
      </c>
      <c r="AH94" s="488"/>
    </row>
    <row r="95" spans="1:34" ht="15" customHeight="1">
      <c r="A95" s="481">
        <v>7</v>
      </c>
      <c r="B95" s="481"/>
      <c r="C95" s="485" t="s">
        <v>2685</v>
      </c>
      <c r="D95" s="485"/>
      <c r="E95" s="485"/>
      <c r="F95" s="485"/>
      <c r="G95" s="485"/>
      <c r="H95" s="485"/>
      <c r="I95" s="485"/>
      <c r="J95" s="485"/>
      <c r="K95" s="485"/>
      <c r="L95" s="485"/>
      <c r="M95" s="485"/>
      <c r="N95" s="485"/>
      <c r="O95" s="485" t="s">
        <v>2686</v>
      </c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7"/>
      <c r="AB95" s="487"/>
      <c r="AC95" s="481" t="s">
        <v>2604</v>
      </c>
      <c r="AD95" s="481"/>
      <c r="AE95" s="485" t="s">
        <v>395</v>
      </c>
      <c r="AF95" s="485"/>
      <c r="AG95" s="488">
        <f t="shared" si="1"/>
        <v>0</v>
      </c>
      <c r="AH95" s="488"/>
    </row>
    <row r="96" spans="1:34" ht="15" customHeight="1">
      <c r="A96" s="481">
        <v>8</v>
      </c>
      <c r="B96" s="481"/>
      <c r="C96" s="485" t="s">
        <v>2687</v>
      </c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 t="s">
        <v>2688</v>
      </c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7"/>
      <c r="AB96" s="487"/>
      <c r="AC96" s="481" t="s">
        <v>2679</v>
      </c>
      <c r="AD96" s="481"/>
      <c r="AE96" s="485" t="s">
        <v>395</v>
      </c>
      <c r="AF96" s="485"/>
      <c r="AG96" s="488">
        <f t="shared" si="1"/>
        <v>0</v>
      </c>
      <c r="AH96" s="488"/>
    </row>
    <row r="97" spans="1:34" ht="15" customHeight="1">
      <c r="A97" s="481">
        <v>9</v>
      </c>
      <c r="B97" s="481"/>
      <c r="C97" s="485" t="s">
        <v>2689</v>
      </c>
      <c r="D97" s="485"/>
      <c r="E97" s="485"/>
      <c r="F97" s="485"/>
      <c r="G97" s="485"/>
      <c r="H97" s="485"/>
      <c r="I97" s="485"/>
      <c r="J97" s="485"/>
      <c r="K97" s="485"/>
      <c r="L97" s="485"/>
      <c r="M97" s="485"/>
      <c r="N97" s="485"/>
      <c r="O97" s="485" t="s">
        <v>2690</v>
      </c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7"/>
      <c r="AB97" s="487"/>
      <c r="AC97" s="481" t="s">
        <v>2682</v>
      </c>
      <c r="AD97" s="481"/>
      <c r="AE97" s="485" t="s">
        <v>395</v>
      </c>
      <c r="AF97" s="485"/>
      <c r="AG97" s="488">
        <f t="shared" si="1"/>
        <v>0</v>
      </c>
      <c r="AH97" s="488"/>
    </row>
    <row r="98" spans="1:34" ht="15" customHeight="1">
      <c r="A98" s="481">
        <v>10</v>
      </c>
      <c r="B98" s="481"/>
      <c r="C98" s="485" t="s">
        <v>2691</v>
      </c>
      <c r="D98" s="485"/>
      <c r="E98" s="485"/>
      <c r="F98" s="485"/>
      <c r="G98" s="485"/>
      <c r="H98" s="485"/>
      <c r="I98" s="485"/>
      <c r="J98" s="485"/>
      <c r="K98" s="485"/>
      <c r="L98" s="485"/>
      <c r="M98" s="485"/>
      <c r="N98" s="485"/>
      <c r="O98" s="485" t="s">
        <v>2692</v>
      </c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7"/>
      <c r="AB98" s="487"/>
      <c r="AC98" s="481" t="s">
        <v>2560</v>
      </c>
      <c r="AD98" s="481"/>
      <c r="AE98" s="485" t="s">
        <v>395</v>
      </c>
      <c r="AF98" s="485"/>
      <c r="AG98" s="488">
        <f t="shared" si="1"/>
        <v>0</v>
      </c>
      <c r="AH98" s="488"/>
    </row>
    <row r="99" spans="1:34" ht="15" customHeight="1">
      <c r="A99" s="481">
        <v>11</v>
      </c>
      <c r="B99" s="481"/>
      <c r="C99" s="485" t="s">
        <v>2693</v>
      </c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 t="s">
        <v>2694</v>
      </c>
      <c r="P99" s="485"/>
      <c r="Q99" s="485"/>
      <c r="R99" s="485"/>
      <c r="S99" s="485"/>
      <c r="T99" s="485"/>
      <c r="U99" s="485"/>
      <c r="V99" s="485"/>
      <c r="W99" s="485"/>
      <c r="X99" s="485"/>
      <c r="Y99" s="485"/>
      <c r="Z99" s="485"/>
      <c r="AA99" s="487"/>
      <c r="AB99" s="487"/>
      <c r="AC99" s="481" t="s">
        <v>2566</v>
      </c>
      <c r="AD99" s="481"/>
      <c r="AE99" s="485" t="s">
        <v>395</v>
      </c>
      <c r="AF99" s="485"/>
      <c r="AG99" s="488">
        <f t="shared" si="1"/>
        <v>0</v>
      </c>
      <c r="AH99" s="488"/>
    </row>
    <row r="100" spans="1:34" ht="15" customHeight="1">
      <c r="A100" s="481">
        <v>12</v>
      </c>
      <c r="B100" s="481"/>
      <c r="C100" s="485" t="s">
        <v>2695</v>
      </c>
      <c r="D100" s="485"/>
      <c r="E100" s="485"/>
      <c r="F100" s="485"/>
      <c r="G100" s="485"/>
      <c r="H100" s="485"/>
      <c r="I100" s="485"/>
      <c r="J100" s="485"/>
      <c r="K100" s="485"/>
      <c r="L100" s="485"/>
      <c r="M100" s="485"/>
      <c r="N100" s="485"/>
      <c r="O100" s="485" t="s">
        <v>2696</v>
      </c>
      <c r="P100" s="485"/>
      <c r="Q100" s="485"/>
      <c r="R100" s="485"/>
      <c r="S100" s="485"/>
      <c r="T100" s="485"/>
      <c r="U100" s="485"/>
      <c r="V100" s="485"/>
      <c r="W100" s="485"/>
      <c r="X100" s="485"/>
      <c r="Y100" s="485"/>
      <c r="Z100" s="485"/>
      <c r="AA100" s="487"/>
      <c r="AB100" s="487"/>
      <c r="AC100" s="481" t="s">
        <v>2679</v>
      </c>
      <c r="AD100" s="481"/>
      <c r="AE100" s="485" t="s">
        <v>395</v>
      </c>
      <c r="AF100" s="485"/>
      <c r="AG100" s="488">
        <f t="shared" si="1"/>
        <v>0</v>
      </c>
      <c r="AH100" s="488"/>
    </row>
    <row r="101" spans="1:34" ht="15" customHeight="1">
      <c r="A101" s="481">
        <v>13</v>
      </c>
      <c r="B101" s="481"/>
      <c r="C101" s="485" t="s">
        <v>2697</v>
      </c>
      <c r="D101" s="485"/>
      <c r="E101" s="485"/>
      <c r="F101" s="485"/>
      <c r="G101" s="485"/>
      <c r="H101" s="485"/>
      <c r="I101" s="485"/>
      <c r="J101" s="485"/>
      <c r="K101" s="485"/>
      <c r="L101" s="485"/>
      <c r="M101" s="485"/>
      <c r="N101" s="485"/>
      <c r="O101" s="485" t="s">
        <v>2698</v>
      </c>
      <c r="P101" s="485"/>
      <c r="Q101" s="485"/>
      <c r="R101" s="485"/>
      <c r="S101" s="485"/>
      <c r="T101" s="485"/>
      <c r="U101" s="485"/>
      <c r="V101" s="485"/>
      <c r="W101" s="485"/>
      <c r="X101" s="485"/>
      <c r="Y101" s="485"/>
      <c r="Z101" s="485"/>
      <c r="AA101" s="487"/>
      <c r="AB101" s="487"/>
      <c r="AC101" s="481" t="s">
        <v>2574</v>
      </c>
      <c r="AD101" s="481"/>
      <c r="AE101" s="485" t="s">
        <v>395</v>
      </c>
      <c r="AF101" s="485"/>
      <c r="AG101" s="488">
        <f t="shared" si="1"/>
        <v>0</v>
      </c>
      <c r="AH101" s="488"/>
    </row>
    <row r="102" spans="1:34" ht="15" customHeight="1">
      <c r="A102" s="481">
        <v>14</v>
      </c>
      <c r="B102" s="481"/>
      <c r="C102" s="485" t="s">
        <v>2699</v>
      </c>
      <c r="D102" s="485"/>
      <c r="E102" s="485"/>
      <c r="F102" s="485"/>
      <c r="G102" s="485"/>
      <c r="H102" s="485"/>
      <c r="I102" s="485"/>
      <c r="J102" s="485"/>
      <c r="K102" s="485"/>
      <c r="L102" s="485"/>
      <c r="M102" s="485"/>
      <c r="N102" s="485"/>
      <c r="O102" s="485" t="s">
        <v>2700</v>
      </c>
      <c r="P102" s="485"/>
      <c r="Q102" s="485"/>
      <c r="R102" s="485"/>
      <c r="S102" s="485"/>
      <c r="T102" s="485"/>
      <c r="U102" s="485"/>
      <c r="V102" s="485"/>
      <c r="W102" s="485"/>
      <c r="X102" s="485"/>
      <c r="Y102" s="485"/>
      <c r="Z102" s="485"/>
      <c r="AA102" s="487"/>
      <c r="AB102" s="487"/>
      <c r="AC102" s="481" t="s">
        <v>2568</v>
      </c>
      <c r="AD102" s="481"/>
      <c r="AE102" s="485" t="s">
        <v>395</v>
      </c>
      <c r="AF102" s="485"/>
      <c r="AG102" s="488">
        <f t="shared" si="1"/>
        <v>0</v>
      </c>
      <c r="AH102" s="488"/>
    </row>
    <row r="103" spans="1:34" ht="15" customHeight="1">
      <c r="A103" s="481">
        <v>15</v>
      </c>
      <c r="B103" s="481"/>
      <c r="C103" s="485" t="s">
        <v>2701</v>
      </c>
      <c r="D103" s="485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 t="s">
        <v>2702</v>
      </c>
      <c r="P103" s="485"/>
      <c r="Q103" s="485"/>
      <c r="R103" s="485"/>
      <c r="S103" s="485"/>
      <c r="T103" s="485"/>
      <c r="U103" s="485"/>
      <c r="V103" s="485"/>
      <c r="W103" s="485"/>
      <c r="X103" s="485"/>
      <c r="Y103" s="485"/>
      <c r="Z103" s="485"/>
      <c r="AA103" s="487"/>
      <c r="AB103" s="487"/>
      <c r="AC103" s="481" t="s">
        <v>2682</v>
      </c>
      <c r="AD103" s="481"/>
      <c r="AE103" s="485" t="s">
        <v>395</v>
      </c>
      <c r="AF103" s="485"/>
      <c r="AG103" s="488">
        <f t="shared" si="1"/>
        <v>0</v>
      </c>
      <c r="AH103" s="488"/>
    </row>
    <row r="104" spans="1:34" ht="15" customHeight="1">
      <c r="A104" s="481">
        <v>16</v>
      </c>
      <c r="B104" s="481"/>
      <c r="C104" s="485" t="s">
        <v>2703</v>
      </c>
      <c r="D104" s="485"/>
      <c r="E104" s="485"/>
      <c r="F104" s="485"/>
      <c r="G104" s="485"/>
      <c r="H104" s="485"/>
      <c r="I104" s="485"/>
      <c r="J104" s="485"/>
      <c r="K104" s="485"/>
      <c r="L104" s="485"/>
      <c r="M104" s="485"/>
      <c r="N104" s="485"/>
      <c r="O104" s="485" t="s">
        <v>2704</v>
      </c>
      <c r="P104" s="485"/>
      <c r="Q104" s="485"/>
      <c r="R104" s="485"/>
      <c r="S104" s="485"/>
      <c r="T104" s="485"/>
      <c r="U104" s="485"/>
      <c r="V104" s="485"/>
      <c r="W104" s="485"/>
      <c r="X104" s="485"/>
      <c r="Y104" s="485"/>
      <c r="Z104" s="485"/>
      <c r="AA104" s="487"/>
      <c r="AB104" s="487"/>
      <c r="AC104" s="481" t="s">
        <v>2568</v>
      </c>
      <c r="AD104" s="481"/>
      <c r="AE104" s="485" t="s">
        <v>395</v>
      </c>
      <c r="AF104" s="485"/>
      <c r="AG104" s="488">
        <f t="shared" si="1"/>
        <v>0</v>
      </c>
      <c r="AH104" s="488"/>
    </row>
    <row r="105" spans="1:34" ht="15" customHeight="1">
      <c r="A105" s="481">
        <v>17</v>
      </c>
      <c r="B105" s="481"/>
      <c r="C105" s="485" t="s">
        <v>2705</v>
      </c>
      <c r="D105" s="485"/>
      <c r="E105" s="485"/>
      <c r="F105" s="485"/>
      <c r="G105" s="485"/>
      <c r="H105" s="485"/>
      <c r="I105" s="485"/>
      <c r="J105" s="485"/>
      <c r="K105" s="485"/>
      <c r="L105" s="485"/>
      <c r="M105" s="485"/>
      <c r="N105" s="485"/>
      <c r="O105" s="485" t="s">
        <v>2706</v>
      </c>
      <c r="P105" s="485"/>
      <c r="Q105" s="485"/>
      <c r="R105" s="485"/>
      <c r="S105" s="485"/>
      <c r="T105" s="485"/>
      <c r="U105" s="485"/>
      <c r="V105" s="485"/>
      <c r="W105" s="485"/>
      <c r="X105" s="485"/>
      <c r="Y105" s="485"/>
      <c r="Z105" s="485"/>
      <c r="AA105" s="487"/>
      <c r="AB105" s="487"/>
      <c r="AC105" s="481" t="s">
        <v>2640</v>
      </c>
      <c r="AD105" s="481"/>
      <c r="AE105" s="485" t="s">
        <v>395</v>
      </c>
      <c r="AF105" s="485"/>
      <c r="AG105" s="488">
        <f t="shared" si="1"/>
        <v>0</v>
      </c>
      <c r="AH105" s="488"/>
    </row>
    <row r="106" spans="1:34" ht="15" customHeight="1">
      <c r="A106" s="481">
        <v>18</v>
      </c>
      <c r="B106" s="481"/>
      <c r="C106" s="485" t="s">
        <v>2707</v>
      </c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5"/>
      <c r="O106" s="485" t="s">
        <v>2708</v>
      </c>
      <c r="P106" s="485"/>
      <c r="Q106" s="485"/>
      <c r="R106" s="485"/>
      <c r="S106" s="485"/>
      <c r="T106" s="485"/>
      <c r="U106" s="485"/>
      <c r="V106" s="485"/>
      <c r="W106" s="485"/>
      <c r="X106" s="485"/>
      <c r="Y106" s="485"/>
      <c r="Z106" s="485"/>
      <c r="AA106" s="487"/>
      <c r="AB106" s="487"/>
      <c r="AC106" s="481" t="s">
        <v>2568</v>
      </c>
      <c r="AD106" s="481"/>
      <c r="AE106" s="485" t="s">
        <v>395</v>
      </c>
      <c r="AF106" s="485"/>
      <c r="AG106" s="492">
        <f t="shared" si="1"/>
        <v>0</v>
      </c>
      <c r="AH106" s="492"/>
    </row>
    <row r="107" spans="1:34" ht="11.25" customHeight="1">
      <c r="A107" s="478">
        <f>SUM(AG89:AH106)</f>
        <v>0</v>
      </c>
      <c r="B107" s="479"/>
      <c r="C107" s="479"/>
      <c r="D107" s="479"/>
      <c r="E107" s="479"/>
      <c r="F107" s="479"/>
      <c r="G107" s="479"/>
      <c r="H107" s="479"/>
      <c r="I107" s="479"/>
      <c r="J107" s="479"/>
      <c r="K107" s="479"/>
      <c r="L107" s="479"/>
      <c r="M107" s="479"/>
      <c r="N107" s="479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79"/>
      <c r="Z107" s="479"/>
      <c r="AA107" s="479"/>
      <c r="AB107" s="479"/>
      <c r="AC107" s="479"/>
      <c r="AD107" s="479"/>
      <c r="AE107" s="479"/>
      <c r="AF107" s="479"/>
      <c r="AG107" s="479"/>
      <c r="AH107" s="479"/>
    </row>
    <row r="108" ht="2.85" customHeight="1"/>
    <row r="109" ht="2.85" customHeight="1"/>
    <row r="110" ht="12.75" hidden="1"/>
    <row r="111" spans="1:34" ht="17.1" customHeight="1">
      <c r="A111" s="491" t="s">
        <v>2709</v>
      </c>
      <c r="B111" s="491"/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  <c r="Y111" s="491"/>
      <c r="Z111" s="491"/>
      <c r="AA111" s="491"/>
      <c r="AB111" s="491"/>
      <c r="AC111" s="491"/>
      <c r="AD111" s="491"/>
      <c r="AE111" s="491"/>
      <c r="AF111" s="491"/>
      <c r="AG111" s="491"/>
      <c r="AH111" s="491"/>
    </row>
    <row r="112" ht="2.85" customHeight="1"/>
    <row r="113" spans="1:34" ht="11.45" customHeight="1">
      <c r="A113" s="494" t="s">
        <v>2535</v>
      </c>
      <c r="B113" s="494"/>
      <c r="C113" s="495" t="s">
        <v>2536</v>
      </c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 t="s">
        <v>2515</v>
      </c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4" t="s">
        <v>2537</v>
      </c>
      <c r="AB113" s="494"/>
      <c r="AC113" s="494" t="s">
        <v>66</v>
      </c>
      <c r="AD113" s="494"/>
      <c r="AE113" s="495" t="s">
        <v>2538</v>
      </c>
      <c r="AF113" s="495"/>
      <c r="AG113" s="494" t="s">
        <v>2539</v>
      </c>
      <c r="AH113" s="494"/>
    </row>
    <row r="114" spans="1:34" ht="15" customHeight="1">
      <c r="A114" s="481">
        <v>1</v>
      </c>
      <c r="B114" s="481"/>
      <c r="C114" s="485" t="s">
        <v>2540</v>
      </c>
      <c r="D114" s="485"/>
      <c r="E114" s="485"/>
      <c r="F114" s="485"/>
      <c r="G114" s="485"/>
      <c r="H114" s="485"/>
      <c r="I114" s="485"/>
      <c r="J114" s="485"/>
      <c r="K114" s="485"/>
      <c r="L114" s="485"/>
      <c r="M114" s="485"/>
      <c r="N114" s="485"/>
      <c r="O114" s="485" t="s">
        <v>2541</v>
      </c>
      <c r="P114" s="485"/>
      <c r="Q114" s="485"/>
      <c r="R114" s="485"/>
      <c r="S114" s="485"/>
      <c r="T114" s="485"/>
      <c r="U114" s="485"/>
      <c r="V114" s="485"/>
      <c r="W114" s="485"/>
      <c r="X114" s="485"/>
      <c r="Y114" s="485"/>
      <c r="Z114" s="485"/>
      <c r="AA114" s="487"/>
      <c r="AB114" s="487"/>
      <c r="AC114" s="481" t="s">
        <v>2679</v>
      </c>
      <c r="AD114" s="481"/>
      <c r="AE114" s="485" t="s">
        <v>2107</v>
      </c>
      <c r="AF114" s="485"/>
      <c r="AG114" s="493">
        <f aca="true" t="shared" si="2" ref="AG114:AG122">SUM(AA114*AC114)</f>
        <v>0</v>
      </c>
      <c r="AH114" s="493"/>
    </row>
    <row r="115" spans="1:34" ht="20.85" customHeight="1">
      <c r="A115" s="481">
        <v>2</v>
      </c>
      <c r="B115" s="481"/>
      <c r="C115" s="485" t="s">
        <v>2543</v>
      </c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 t="s">
        <v>2544</v>
      </c>
      <c r="P115" s="485"/>
      <c r="Q115" s="485"/>
      <c r="R115" s="485"/>
      <c r="S115" s="485"/>
      <c r="T115" s="485"/>
      <c r="U115" s="485"/>
      <c r="V115" s="485"/>
      <c r="W115" s="485"/>
      <c r="X115" s="485"/>
      <c r="Y115" s="485"/>
      <c r="Z115" s="485"/>
      <c r="AA115" s="487"/>
      <c r="AB115" s="487"/>
      <c r="AC115" s="481" t="s">
        <v>2679</v>
      </c>
      <c r="AD115" s="481"/>
      <c r="AE115" s="485" t="s">
        <v>2107</v>
      </c>
      <c r="AF115" s="485"/>
      <c r="AG115" s="488">
        <f t="shared" si="2"/>
        <v>0</v>
      </c>
      <c r="AH115" s="488"/>
    </row>
    <row r="116" spans="1:34" ht="15" customHeight="1">
      <c r="A116" s="481">
        <v>3</v>
      </c>
      <c r="B116" s="481"/>
      <c r="C116" s="485" t="s">
        <v>2549</v>
      </c>
      <c r="D116" s="485"/>
      <c r="E116" s="485"/>
      <c r="F116" s="485"/>
      <c r="G116" s="485"/>
      <c r="H116" s="485"/>
      <c r="I116" s="485"/>
      <c r="J116" s="485"/>
      <c r="K116" s="485"/>
      <c r="L116" s="485"/>
      <c r="M116" s="485"/>
      <c r="N116" s="485"/>
      <c r="O116" s="485" t="s">
        <v>2550</v>
      </c>
      <c r="P116" s="485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7"/>
      <c r="AB116" s="487"/>
      <c r="AC116" s="481" t="s">
        <v>2551</v>
      </c>
      <c r="AD116" s="481"/>
      <c r="AE116" s="485" t="s">
        <v>2107</v>
      </c>
      <c r="AF116" s="485"/>
      <c r="AG116" s="488">
        <f t="shared" si="2"/>
        <v>0</v>
      </c>
      <c r="AH116" s="488"/>
    </row>
    <row r="117" spans="1:34" ht="15" customHeight="1">
      <c r="A117" s="481">
        <v>4</v>
      </c>
      <c r="B117" s="481"/>
      <c r="C117" s="485" t="s">
        <v>2552</v>
      </c>
      <c r="D117" s="485"/>
      <c r="E117" s="485"/>
      <c r="F117" s="485"/>
      <c r="G117" s="485"/>
      <c r="H117" s="485"/>
      <c r="I117" s="485"/>
      <c r="J117" s="485"/>
      <c r="K117" s="485"/>
      <c r="L117" s="485"/>
      <c r="M117" s="485"/>
      <c r="N117" s="485"/>
      <c r="O117" s="485" t="s">
        <v>2553</v>
      </c>
      <c r="P117" s="485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7"/>
      <c r="AB117" s="487"/>
      <c r="AC117" s="481" t="s">
        <v>2710</v>
      </c>
      <c r="AD117" s="481"/>
      <c r="AE117" s="485" t="s">
        <v>2107</v>
      </c>
      <c r="AF117" s="485"/>
      <c r="AG117" s="488">
        <f t="shared" si="2"/>
        <v>0</v>
      </c>
      <c r="AH117" s="488"/>
    </row>
    <row r="118" spans="1:34" ht="15" customHeight="1">
      <c r="A118" s="481">
        <v>5</v>
      </c>
      <c r="B118" s="481"/>
      <c r="C118" s="485" t="s">
        <v>2558</v>
      </c>
      <c r="D118" s="485"/>
      <c r="E118" s="485"/>
      <c r="F118" s="485"/>
      <c r="G118" s="485"/>
      <c r="H118" s="485"/>
      <c r="I118" s="485"/>
      <c r="J118" s="485"/>
      <c r="K118" s="485"/>
      <c r="L118" s="485"/>
      <c r="M118" s="485"/>
      <c r="N118" s="485"/>
      <c r="O118" s="485" t="s">
        <v>2559</v>
      </c>
      <c r="P118" s="485"/>
      <c r="Q118" s="485"/>
      <c r="R118" s="485"/>
      <c r="S118" s="485"/>
      <c r="T118" s="485"/>
      <c r="U118" s="485"/>
      <c r="V118" s="485"/>
      <c r="W118" s="485"/>
      <c r="X118" s="485"/>
      <c r="Y118" s="485"/>
      <c r="Z118" s="485"/>
      <c r="AA118" s="487"/>
      <c r="AB118" s="487"/>
      <c r="AC118" s="481" t="s">
        <v>2560</v>
      </c>
      <c r="AD118" s="481"/>
      <c r="AE118" s="485" t="s">
        <v>2216</v>
      </c>
      <c r="AF118" s="485"/>
      <c r="AG118" s="488">
        <f t="shared" si="2"/>
        <v>0</v>
      </c>
      <c r="AH118" s="488"/>
    </row>
    <row r="119" spans="1:34" ht="15" customHeight="1">
      <c r="A119" s="481">
        <v>6</v>
      </c>
      <c r="B119" s="481"/>
      <c r="C119" s="485" t="s">
        <v>2641</v>
      </c>
      <c r="D119" s="485"/>
      <c r="E119" s="485"/>
      <c r="F119" s="485"/>
      <c r="G119" s="485"/>
      <c r="H119" s="485"/>
      <c r="I119" s="485"/>
      <c r="J119" s="485"/>
      <c r="K119" s="485"/>
      <c r="L119" s="485"/>
      <c r="M119" s="485"/>
      <c r="N119" s="485"/>
      <c r="O119" s="485" t="s">
        <v>2644</v>
      </c>
      <c r="P119" s="485"/>
      <c r="Q119" s="485"/>
      <c r="R119" s="485"/>
      <c r="S119" s="485"/>
      <c r="T119" s="485"/>
      <c r="U119" s="485"/>
      <c r="V119" s="485"/>
      <c r="W119" s="485"/>
      <c r="X119" s="485"/>
      <c r="Y119" s="485"/>
      <c r="Z119" s="485"/>
      <c r="AA119" s="487"/>
      <c r="AB119" s="487"/>
      <c r="AC119" s="481">
        <v>1500</v>
      </c>
      <c r="AD119" s="481"/>
      <c r="AE119" s="485" t="s">
        <v>395</v>
      </c>
      <c r="AF119" s="485"/>
      <c r="AG119" s="488">
        <f t="shared" si="2"/>
        <v>0</v>
      </c>
      <c r="AH119" s="488"/>
    </row>
    <row r="120" spans="1:34" ht="15" customHeight="1">
      <c r="A120" s="481">
        <v>7</v>
      </c>
      <c r="B120" s="481"/>
      <c r="C120" s="485" t="s">
        <v>2711</v>
      </c>
      <c r="D120" s="485"/>
      <c r="E120" s="485"/>
      <c r="F120" s="485"/>
      <c r="G120" s="485"/>
      <c r="H120" s="485"/>
      <c r="I120" s="485"/>
      <c r="J120" s="485"/>
      <c r="K120" s="485"/>
      <c r="L120" s="485"/>
      <c r="M120" s="485"/>
      <c r="N120" s="485"/>
      <c r="O120" s="485" t="s">
        <v>2712</v>
      </c>
      <c r="P120" s="485"/>
      <c r="Q120" s="485"/>
      <c r="R120" s="485"/>
      <c r="S120" s="485"/>
      <c r="T120" s="485"/>
      <c r="U120" s="485"/>
      <c r="V120" s="485"/>
      <c r="W120" s="485"/>
      <c r="X120" s="485"/>
      <c r="Y120" s="485"/>
      <c r="Z120" s="485"/>
      <c r="AA120" s="487"/>
      <c r="AB120" s="487"/>
      <c r="AC120" s="481" t="s">
        <v>2713</v>
      </c>
      <c r="AD120" s="481"/>
      <c r="AE120" s="485" t="s">
        <v>395</v>
      </c>
      <c r="AF120" s="485"/>
      <c r="AG120" s="488">
        <f t="shared" si="2"/>
        <v>0</v>
      </c>
      <c r="AH120" s="488"/>
    </row>
    <row r="121" spans="1:34" ht="15" customHeight="1">
      <c r="A121" s="481">
        <v>8</v>
      </c>
      <c r="B121" s="481"/>
      <c r="C121" s="485" t="s">
        <v>2714</v>
      </c>
      <c r="D121" s="485"/>
      <c r="E121" s="485"/>
      <c r="F121" s="485"/>
      <c r="G121" s="485"/>
      <c r="H121" s="485"/>
      <c r="I121" s="485"/>
      <c r="J121" s="485"/>
      <c r="K121" s="485"/>
      <c r="L121" s="485"/>
      <c r="M121" s="485"/>
      <c r="N121" s="485"/>
      <c r="O121" s="485" t="s">
        <v>2715</v>
      </c>
      <c r="P121" s="485"/>
      <c r="Q121" s="485"/>
      <c r="R121" s="485"/>
      <c r="S121" s="485"/>
      <c r="T121" s="485"/>
      <c r="U121" s="485"/>
      <c r="V121" s="485"/>
      <c r="W121" s="485"/>
      <c r="X121" s="485"/>
      <c r="Y121" s="485"/>
      <c r="Z121" s="485"/>
      <c r="AA121" s="487"/>
      <c r="AB121" s="487"/>
      <c r="AC121" s="481">
        <v>2500</v>
      </c>
      <c r="AD121" s="481"/>
      <c r="AE121" s="485" t="s">
        <v>395</v>
      </c>
      <c r="AF121" s="485"/>
      <c r="AG121" s="488">
        <f t="shared" si="2"/>
        <v>0</v>
      </c>
      <c r="AH121" s="488"/>
    </row>
    <row r="122" spans="1:34" ht="15" customHeight="1">
      <c r="A122" s="481">
        <v>9</v>
      </c>
      <c r="B122" s="481"/>
      <c r="C122" s="485" t="s">
        <v>2716</v>
      </c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 t="s">
        <v>2717</v>
      </c>
      <c r="P122" s="485"/>
      <c r="Q122" s="485"/>
      <c r="R122" s="485"/>
      <c r="S122" s="485"/>
      <c r="T122" s="485"/>
      <c r="U122" s="485"/>
      <c r="V122" s="485"/>
      <c r="W122" s="485"/>
      <c r="X122" s="485"/>
      <c r="Y122" s="485"/>
      <c r="Z122" s="485"/>
      <c r="AA122" s="487"/>
      <c r="AB122" s="487"/>
      <c r="AC122" s="481" t="s">
        <v>2679</v>
      </c>
      <c r="AD122" s="481"/>
      <c r="AE122" s="485" t="s">
        <v>2107</v>
      </c>
      <c r="AF122" s="485"/>
      <c r="AG122" s="492">
        <f t="shared" si="2"/>
        <v>0</v>
      </c>
      <c r="AH122" s="492"/>
    </row>
    <row r="123" spans="1:34" ht="11.25" customHeight="1">
      <c r="A123" s="478">
        <f>SUM(AG114:AH122)</f>
        <v>0</v>
      </c>
      <c r="B123" s="479"/>
      <c r="C123" s="479"/>
      <c r="D123" s="479"/>
      <c r="E123" s="479"/>
      <c r="F123" s="479"/>
      <c r="G123" s="479"/>
      <c r="H123" s="479"/>
      <c r="I123" s="479"/>
      <c r="J123" s="479"/>
      <c r="K123" s="479"/>
      <c r="L123" s="479"/>
      <c r="M123" s="479"/>
      <c r="N123" s="479"/>
      <c r="O123" s="479"/>
      <c r="P123" s="479"/>
      <c r="Q123" s="479"/>
      <c r="R123" s="479"/>
      <c r="S123" s="479"/>
      <c r="T123" s="479"/>
      <c r="U123" s="479"/>
      <c r="V123" s="479"/>
      <c r="W123" s="479"/>
      <c r="X123" s="479"/>
      <c r="Y123" s="479"/>
      <c r="Z123" s="479"/>
      <c r="AA123" s="479"/>
      <c r="AB123" s="479"/>
      <c r="AC123" s="479"/>
      <c r="AD123" s="479"/>
      <c r="AE123" s="479"/>
      <c r="AF123" s="479"/>
      <c r="AG123" s="479"/>
      <c r="AH123" s="479"/>
    </row>
    <row r="124" ht="2.85" customHeight="1"/>
    <row r="125" ht="5.65" customHeight="1"/>
    <row r="126" ht="2.85" customHeight="1"/>
    <row r="127" ht="12.75" hidden="1"/>
    <row r="128" spans="1:34" ht="17.1" customHeight="1">
      <c r="A128" s="491" t="s">
        <v>2718</v>
      </c>
      <c r="B128" s="491"/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1"/>
      <c r="Z128" s="491"/>
      <c r="AA128" s="491"/>
      <c r="AB128" s="491"/>
      <c r="AC128" s="491"/>
      <c r="AD128" s="491"/>
      <c r="AE128" s="491"/>
      <c r="AF128" s="491"/>
      <c r="AG128" s="491"/>
      <c r="AH128" s="491"/>
    </row>
    <row r="129" ht="2.85" customHeight="1"/>
    <row r="130" spans="1:34" ht="11.45" customHeight="1">
      <c r="A130" s="494" t="s">
        <v>2535</v>
      </c>
      <c r="B130" s="494"/>
      <c r="C130" s="495" t="s">
        <v>2536</v>
      </c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 t="s">
        <v>2515</v>
      </c>
      <c r="P130" s="495"/>
      <c r="Q130" s="495"/>
      <c r="R130" s="495"/>
      <c r="S130" s="495"/>
      <c r="T130" s="495"/>
      <c r="U130" s="495"/>
      <c r="V130" s="495"/>
      <c r="W130" s="495"/>
      <c r="X130" s="495"/>
      <c r="Y130" s="495"/>
      <c r="Z130" s="495"/>
      <c r="AA130" s="494" t="s">
        <v>2537</v>
      </c>
      <c r="AB130" s="494"/>
      <c r="AC130" s="494" t="s">
        <v>66</v>
      </c>
      <c r="AD130" s="494"/>
      <c r="AE130" s="495" t="s">
        <v>2538</v>
      </c>
      <c r="AF130" s="495"/>
      <c r="AG130" s="494" t="s">
        <v>2539</v>
      </c>
      <c r="AH130" s="494"/>
    </row>
    <row r="131" spans="1:34" ht="15" customHeight="1">
      <c r="A131" s="481">
        <v>1</v>
      </c>
      <c r="B131" s="481"/>
      <c r="C131" s="485" t="s">
        <v>2719</v>
      </c>
      <c r="D131" s="485"/>
      <c r="E131" s="485"/>
      <c r="F131" s="485"/>
      <c r="G131" s="485"/>
      <c r="H131" s="485"/>
      <c r="I131" s="485"/>
      <c r="J131" s="485"/>
      <c r="K131" s="485"/>
      <c r="L131" s="485"/>
      <c r="M131" s="485"/>
      <c r="N131" s="485"/>
      <c r="O131" s="485" t="s">
        <v>2720</v>
      </c>
      <c r="P131" s="485"/>
      <c r="Q131" s="485"/>
      <c r="R131" s="485"/>
      <c r="S131" s="485"/>
      <c r="T131" s="485"/>
      <c r="U131" s="485"/>
      <c r="V131" s="485"/>
      <c r="W131" s="485"/>
      <c r="X131" s="485"/>
      <c r="Y131" s="485"/>
      <c r="Z131" s="485"/>
      <c r="AA131" s="487"/>
      <c r="AB131" s="487"/>
      <c r="AC131" s="481" t="s">
        <v>2599</v>
      </c>
      <c r="AD131" s="481"/>
      <c r="AE131" s="485" t="s">
        <v>2721</v>
      </c>
      <c r="AF131" s="485"/>
      <c r="AG131" s="493">
        <f aca="true" t="shared" si="3" ref="AG131:AG132">SUM(AA131*AC131)</f>
        <v>0</v>
      </c>
      <c r="AH131" s="493"/>
    </row>
    <row r="132" spans="1:34" ht="15" customHeight="1">
      <c r="A132" s="481">
        <v>2</v>
      </c>
      <c r="B132" s="481"/>
      <c r="C132" s="485" t="s">
        <v>2722</v>
      </c>
      <c r="D132" s="485"/>
      <c r="E132" s="485"/>
      <c r="F132" s="485"/>
      <c r="G132" s="485"/>
      <c r="H132" s="485"/>
      <c r="I132" s="485"/>
      <c r="J132" s="485"/>
      <c r="K132" s="485"/>
      <c r="L132" s="485"/>
      <c r="M132" s="485"/>
      <c r="N132" s="485"/>
      <c r="O132" s="485" t="s">
        <v>2723</v>
      </c>
      <c r="P132" s="485"/>
      <c r="Q132" s="485"/>
      <c r="R132" s="485"/>
      <c r="S132" s="485"/>
      <c r="T132" s="485"/>
      <c r="U132" s="485"/>
      <c r="V132" s="485"/>
      <c r="W132" s="485"/>
      <c r="X132" s="485"/>
      <c r="Y132" s="485"/>
      <c r="Z132" s="485"/>
      <c r="AA132" s="487"/>
      <c r="AB132" s="487"/>
      <c r="AC132" s="481" t="s">
        <v>2679</v>
      </c>
      <c r="AD132" s="481"/>
      <c r="AE132" s="485" t="s">
        <v>2721</v>
      </c>
      <c r="AF132" s="485"/>
      <c r="AG132" s="492">
        <f t="shared" si="3"/>
        <v>0</v>
      </c>
      <c r="AH132" s="492"/>
    </row>
    <row r="133" spans="1:34" ht="11.45" customHeight="1">
      <c r="A133" s="478">
        <f>SUM(AG131:AH132)</f>
        <v>0</v>
      </c>
      <c r="B133" s="479"/>
      <c r="C133" s="479"/>
      <c r="D133" s="479"/>
      <c r="E133" s="479"/>
      <c r="F133" s="479"/>
      <c r="G133" s="479"/>
      <c r="H133" s="479"/>
      <c r="I133" s="479"/>
      <c r="J133" s="479"/>
      <c r="K133" s="479"/>
      <c r="L133" s="479"/>
      <c r="M133" s="479"/>
      <c r="N133" s="479"/>
      <c r="O133" s="479"/>
      <c r="P133" s="479"/>
      <c r="Q133" s="479"/>
      <c r="R133" s="479"/>
      <c r="S133" s="479"/>
      <c r="T133" s="479"/>
      <c r="U133" s="479"/>
      <c r="V133" s="479"/>
      <c r="W133" s="479"/>
      <c r="X133" s="479"/>
      <c r="Y133" s="479"/>
      <c r="Z133" s="479"/>
      <c r="AA133" s="479"/>
      <c r="AB133" s="479"/>
      <c r="AC133" s="479"/>
      <c r="AD133" s="479"/>
      <c r="AE133" s="479"/>
      <c r="AF133" s="479"/>
      <c r="AG133" s="479"/>
      <c r="AH133" s="479"/>
    </row>
    <row r="134" ht="2.85" customHeight="1"/>
    <row r="135" ht="2.85" customHeight="1"/>
    <row r="136" ht="12.75" hidden="1"/>
    <row r="137" spans="1:34" ht="17.1" customHeight="1">
      <c r="A137" s="491" t="s">
        <v>2724</v>
      </c>
      <c r="B137" s="491"/>
      <c r="C137" s="491"/>
      <c r="D137" s="491"/>
      <c r="E137" s="491"/>
      <c r="F137" s="491"/>
      <c r="G137" s="491"/>
      <c r="H137" s="491"/>
      <c r="I137" s="491"/>
      <c r="J137" s="491"/>
      <c r="K137" s="491"/>
      <c r="L137" s="491"/>
      <c r="M137" s="491"/>
      <c r="N137" s="491"/>
      <c r="O137" s="491"/>
      <c r="P137" s="491"/>
      <c r="Q137" s="491"/>
      <c r="R137" s="491"/>
      <c r="S137" s="491"/>
      <c r="T137" s="491"/>
      <c r="U137" s="491"/>
      <c r="V137" s="491"/>
      <c r="W137" s="491"/>
      <c r="X137" s="491"/>
      <c r="Y137" s="491"/>
      <c r="Z137" s="491"/>
      <c r="AA137" s="491"/>
      <c r="AB137" s="491"/>
      <c r="AC137" s="491"/>
      <c r="AD137" s="491"/>
      <c r="AE137" s="491"/>
      <c r="AF137" s="491"/>
      <c r="AG137" s="491"/>
      <c r="AH137" s="491"/>
    </row>
    <row r="138" ht="2.85" customHeight="1"/>
    <row r="139" spans="1:34" ht="11.45" customHeight="1">
      <c r="A139" s="479" t="s">
        <v>2535</v>
      </c>
      <c r="B139" s="479"/>
      <c r="C139" s="490" t="s">
        <v>2536</v>
      </c>
      <c r="D139" s="490"/>
      <c r="E139" s="490"/>
      <c r="F139" s="490"/>
      <c r="G139" s="490"/>
      <c r="H139" s="490"/>
      <c r="I139" s="490"/>
      <c r="J139" s="490"/>
      <c r="K139" s="490"/>
      <c r="L139" s="490"/>
      <c r="M139" s="490"/>
      <c r="N139" s="490"/>
      <c r="O139" s="490" t="s">
        <v>2515</v>
      </c>
      <c r="P139" s="490"/>
      <c r="Q139" s="490"/>
      <c r="R139" s="490"/>
      <c r="S139" s="490"/>
      <c r="T139" s="490"/>
      <c r="U139" s="490"/>
      <c r="V139" s="490"/>
      <c r="W139" s="490"/>
      <c r="X139" s="490"/>
      <c r="Y139" s="490"/>
      <c r="Z139" s="490"/>
      <c r="AA139" s="479" t="s">
        <v>2537</v>
      </c>
      <c r="AB139" s="479"/>
      <c r="AC139" s="479" t="s">
        <v>66</v>
      </c>
      <c r="AD139" s="479"/>
      <c r="AE139" s="490" t="s">
        <v>2538</v>
      </c>
      <c r="AF139" s="490"/>
      <c r="AG139" s="479" t="s">
        <v>2539</v>
      </c>
      <c r="AH139" s="479"/>
    </row>
    <row r="140" spans="1:34" ht="15" customHeight="1">
      <c r="A140" s="481">
        <v>1</v>
      </c>
      <c r="B140" s="481"/>
      <c r="C140" s="485" t="s">
        <v>2725</v>
      </c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 t="s">
        <v>2726</v>
      </c>
      <c r="P140" s="485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7"/>
      <c r="AB140" s="487"/>
      <c r="AC140" s="488">
        <v>9</v>
      </c>
      <c r="AD140" s="488"/>
      <c r="AE140" s="485" t="s">
        <v>2727</v>
      </c>
      <c r="AF140" s="485"/>
      <c r="AG140" s="493">
        <f aca="true" t="shared" si="4" ref="AG140:AG203">SUM(AA140*AC140)</f>
        <v>0</v>
      </c>
      <c r="AH140" s="493"/>
    </row>
    <row r="141" spans="1:34" ht="15" customHeight="1">
      <c r="A141" s="481">
        <v>2</v>
      </c>
      <c r="B141" s="481"/>
      <c r="C141" s="485" t="s">
        <v>2728</v>
      </c>
      <c r="D141" s="485"/>
      <c r="E141" s="485"/>
      <c r="F141" s="485"/>
      <c r="G141" s="485"/>
      <c r="H141" s="485"/>
      <c r="I141" s="485"/>
      <c r="J141" s="485"/>
      <c r="K141" s="485"/>
      <c r="L141" s="485"/>
      <c r="M141" s="485"/>
      <c r="N141" s="485"/>
      <c r="O141" s="485" t="s">
        <v>2729</v>
      </c>
      <c r="P141" s="485"/>
      <c r="Q141" s="485"/>
      <c r="R141" s="485"/>
      <c r="S141" s="485"/>
      <c r="T141" s="485"/>
      <c r="U141" s="485"/>
      <c r="V141" s="485"/>
      <c r="W141" s="485"/>
      <c r="X141" s="485"/>
      <c r="Y141" s="485"/>
      <c r="Z141" s="485"/>
      <c r="AA141" s="487"/>
      <c r="AB141" s="487"/>
      <c r="AC141" s="488">
        <v>2</v>
      </c>
      <c r="AD141" s="488"/>
      <c r="AE141" s="485" t="s">
        <v>2727</v>
      </c>
      <c r="AF141" s="485"/>
      <c r="AG141" s="488">
        <f t="shared" si="4"/>
        <v>0</v>
      </c>
      <c r="AH141" s="488"/>
    </row>
    <row r="142" spans="1:34" ht="15" customHeight="1">
      <c r="A142" s="481">
        <v>3</v>
      </c>
      <c r="B142" s="481"/>
      <c r="C142" s="485" t="s">
        <v>2730</v>
      </c>
      <c r="D142" s="485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 t="s">
        <v>2731</v>
      </c>
      <c r="P142" s="485"/>
      <c r="Q142" s="485"/>
      <c r="R142" s="485"/>
      <c r="S142" s="485"/>
      <c r="T142" s="485"/>
      <c r="U142" s="485"/>
      <c r="V142" s="485"/>
      <c r="W142" s="485"/>
      <c r="X142" s="485"/>
      <c r="Y142" s="485"/>
      <c r="Z142" s="485"/>
      <c r="AA142" s="487"/>
      <c r="AB142" s="487"/>
      <c r="AC142" s="488">
        <v>2</v>
      </c>
      <c r="AD142" s="488"/>
      <c r="AE142" s="485" t="s">
        <v>2727</v>
      </c>
      <c r="AF142" s="485"/>
      <c r="AG142" s="488">
        <f t="shared" si="4"/>
        <v>0</v>
      </c>
      <c r="AH142" s="488"/>
    </row>
    <row r="143" spans="1:34" ht="15" customHeight="1">
      <c r="A143" s="481">
        <v>4</v>
      </c>
      <c r="B143" s="481"/>
      <c r="C143" s="485" t="s">
        <v>2732</v>
      </c>
      <c r="D143" s="485"/>
      <c r="E143" s="485"/>
      <c r="F143" s="485"/>
      <c r="G143" s="485"/>
      <c r="H143" s="485"/>
      <c r="I143" s="485"/>
      <c r="J143" s="485"/>
      <c r="K143" s="485"/>
      <c r="L143" s="485"/>
      <c r="M143" s="485"/>
      <c r="N143" s="485"/>
      <c r="O143" s="485" t="s">
        <v>2733</v>
      </c>
      <c r="P143" s="485"/>
      <c r="Q143" s="485"/>
      <c r="R143" s="485"/>
      <c r="S143" s="485"/>
      <c r="T143" s="485"/>
      <c r="U143" s="485"/>
      <c r="V143" s="485"/>
      <c r="W143" s="485"/>
      <c r="X143" s="485"/>
      <c r="Y143" s="485"/>
      <c r="Z143" s="485"/>
      <c r="AA143" s="487"/>
      <c r="AB143" s="487"/>
      <c r="AC143" s="488">
        <v>500</v>
      </c>
      <c r="AD143" s="488"/>
      <c r="AE143" s="485" t="s">
        <v>2190</v>
      </c>
      <c r="AF143" s="485"/>
      <c r="AG143" s="488">
        <f t="shared" si="4"/>
        <v>0</v>
      </c>
      <c r="AH143" s="488"/>
    </row>
    <row r="144" spans="1:34" ht="15" customHeight="1">
      <c r="A144" s="481">
        <v>5</v>
      </c>
      <c r="B144" s="481"/>
      <c r="C144" s="485" t="s">
        <v>2734</v>
      </c>
      <c r="D144" s="485"/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 t="s">
        <v>2735</v>
      </c>
      <c r="P144" s="485"/>
      <c r="Q144" s="485"/>
      <c r="R144" s="485"/>
      <c r="S144" s="485"/>
      <c r="T144" s="485"/>
      <c r="U144" s="485"/>
      <c r="V144" s="485"/>
      <c r="W144" s="485"/>
      <c r="X144" s="485"/>
      <c r="Y144" s="485"/>
      <c r="Z144" s="485"/>
      <c r="AA144" s="487"/>
      <c r="AB144" s="487"/>
      <c r="AC144" s="488">
        <v>20</v>
      </c>
      <c r="AD144" s="488"/>
      <c r="AE144" s="485" t="s">
        <v>2190</v>
      </c>
      <c r="AF144" s="485"/>
      <c r="AG144" s="488">
        <f t="shared" si="4"/>
        <v>0</v>
      </c>
      <c r="AH144" s="488"/>
    </row>
    <row r="145" spans="1:34" ht="15" customHeight="1">
      <c r="A145" s="481">
        <v>6</v>
      </c>
      <c r="B145" s="481"/>
      <c r="C145" s="485" t="s">
        <v>2736</v>
      </c>
      <c r="D145" s="485"/>
      <c r="E145" s="485"/>
      <c r="F145" s="485"/>
      <c r="G145" s="485"/>
      <c r="H145" s="485"/>
      <c r="I145" s="485"/>
      <c r="J145" s="485"/>
      <c r="K145" s="485"/>
      <c r="L145" s="485"/>
      <c r="M145" s="485"/>
      <c r="N145" s="485"/>
      <c r="O145" s="485" t="s">
        <v>2737</v>
      </c>
      <c r="P145" s="485"/>
      <c r="Q145" s="485"/>
      <c r="R145" s="485"/>
      <c r="S145" s="485"/>
      <c r="T145" s="485"/>
      <c r="U145" s="485"/>
      <c r="V145" s="485"/>
      <c r="W145" s="485"/>
      <c r="X145" s="485"/>
      <c r="Y145" s="485"/>
      <c r="Z145" s="485"/>
      <c r="AA145" s="487"/>
      <c r="AB145" s="487"/>
      <c r="AC145" s="488">
        <v>600</v>
      </c>
      <c r="AD145" s="488"/>
      <c r="AE145" s="485" t="s">
        <v>2190</v>
      </c>
      <c r="AF145" s="485"/>
      <c r="AG145" s="488">
        <f t="shared" si="4"/>
        <v>0</v>
      </c>
      <c r="AH145" s="488"/>
    </row>
    <row r="146" spans="1:34" ht="15" customHeight="1">
      <c r="A146" s="481">
        <v>7</v>
      </c>
      <c r="B146" s="481"/>
      <c r="C146" s="485" t="s">
        <v>2738</v>
      </c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 t="s">
        <v>2739</v>
      </c>
      <c r="P146" s="485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7"/>
      <c r="AB146" s="487"/>
      <c r="AC146" s="488">
        <v>300</v>
      </c>
      <c r="AD146" s="488"/>
      <c r="AE146" s="485" t="s">
        <v>2190</v>
      </c>
      <c r="AF146" s="485"/>
      <c r="AG146" s="488">
        <f t="shared" si="4"/>
        <v>0</v>
      </c>
      <c r="AH146" s="488"/>
    </row>
    <row r="147" spans="1:34" ht="15" customHeight="1">
      <c r="A147" s="481">
        <v>8</v>
      </c>
      <c r="B147" s="481"/>
      <c r="C147" s="485" t="s">
        <v>2740</v>
      </c>
      <c r="D147" s="485"/>
      <c r="E147" s="485"/>
      <c r="F147" s="485"/>
      <c r="G147" s="485"/>
      <c r="H147" s="485"/>
      <c r="I147" s="485"/>
      <c r="J147" s="485"/>
      <c r="K147" s="485"/>
      <c r="L147" s="485"/>
      <c r="M147" s="485"/>
      <c r="N147" s="485"/>
      <c r="O147" s="485" t="s">
        <v>2741</v>
      </c>
      <c r="P147" s="485"/>
      <c r="Q147" s="485"/>
      <c r="R147" s="485"/>
      <c r="S147" s="485"/>
      <c r="T147" s="485"/>
      <c r="U147" s="485"/>
      <c r="V147" s="485"/>
      <c r="W147" s="485"/>
      <c r="X147" s="485"/>
      <c r="Y147" s="485"/>
      <c r="Z147" s="485"/>
      <c r="AA147" s="487"/>
      <c r="AB147" s="487"/>
      <c r="AC147" s="488">
        <v>50</v>
      </c>
      <c r="AD147" s="488"/>
      <c r="AE147" s="485" t="s">
        <v>2190</v>
      </c>
      <c r="AF147" s="485"/>
      <c r="AG147" s="488">
        <f t="shared" si="4"/>
        <v>0</v>
      </c>
      <c r="AH147" s="488"/>
    </row>
    <row r="148" spans="1:34" ht="15" customHeight="1">
      <c r="A148" s="481">
        <v>9</v>
      </c>
      <c r="B148" s="481"/>
      <c r="C148" s="485" t="s">
        <v>2742</v>
      </c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485" t="s">
        <v>2743</v>
      </c>
      <c r="P148" s="485"/>
      <c r="Q148" s="485"/>
      <c r="R148" s="485"/>
      <c r="S148" s="485"/>
      <c r="T148" s="485"/>
      <c r="U148" s="485"/>
      <c r="V148" s="485"/>
      <c r="W148" s="485"/>
      <c r="X148" s="485"/>
      <c r="Y148" s="485"/>
      <c r="Z148" s="485"/>
      <c r="AA148" s="487"/>
      <c r="AB148" s="487"/>
      <c r="AC148" s="488">
        <v>2000</v>
      </c>
      <c r="AD148" s="488"/>
      <c r="AE148" s="485" t="s">
        <v>2190</v>
      </c>
      <c r="AF148" s="485"/>
      <c r="AG148" s="488">
        <f t="shared" si="4"/>
        <v>0</v>
      </c>
      <c r="AH148" s="488"/>
    </row>
    <row r="149" spans="1:34" ht="15" customHeight="1">
      <c r="A149" s="481">
        <v>10</v>
      </c>
      <c r="B149" s="481"/>
      <c r="C149" s="485" t="s">
        <v>2744</v>
      </c>
      <c r="D149" s="485"/>
      <c r="E149" s="485"/>
      <c r="F149" s="485"/>
      <c r="G149" s="485"/>
      <c r="H149" s="485"/>
      <c r="I149" s="485"/>
      <c r="J149" s="485"/>
      <c r="K149" s="485"/>
      <c r="L149" s="485"/>
      <c r="M149" s="485"/>
      <c r="N149" s="485"/>
      <c r="O149" s="485" t="s">
        <v>2745</v>
      </c>
      <c r="P149" s="485"/>
      <c r="Q149" s="485"/>
      <c r="R149" s="485"/>
      <c r="S149" s="485"/>
      <c r="T149" s="485"/>
      <c r="U149" s="485"/>
      <c r="V149" s="485"/>
      <c r="W149" s="485"/>
      <c r="X149" s="485"/>
      <c r="Y149" s="485"/>
      <c r="Z149" s="485"/>
      <c r="AA149" s="487"/>
      <c r="AB149" s="487"/>
      <c r="AC149" s="488">
        <v>150</v>
      </c>
      <c r="AD149" s="488"/>
      <c r="AE149" s="485" t="s">
        <v>2190</v>
      </c>
      <c r="AF149" s="485"/>
      <c r="AG149" s="488">
        <f t="shared" si="4"/>
        <v>0</v>
      </c>
      <c r="AH149" s="488"/>
    </row>
    <row r="150" spans="1:34" ht="15" customHeight="1">
      <c r="A150" s="481">
        <v>11</v>
      </c>
      <c r="B150" s="481"/>
      <c r="C150" s="485" t="s">
        <v>2746</v>
      </c>
      <c r="D150" s="485"/>
      <c r="E150" s="485"/>
      <c r="F150" s="485"/>
      <c r="G150" s="485"/>
      <c r="H150" s="485"/>
      <c r="I150" s="485"/>
      <c r="J150" s="485"/>
      <c r="K150" s="485"/>
      <c r="L150" s="485"/>
      <c r="M150" s="485"/>
      <c r="N150" s="485"/>
      <c r="O150" s="485" t="s">
        <v>2747</v>
      </c>
      <c r="P150" s="485"/>
      <c r="Q150" s="485"/>
      <c r="R150" s="485"/>
      <c r="S150" s="485"/>
      <c r="T150" s="485"/>
      <c r="U150" s="485"/>
      <c r="V150" s="485"/>
      <c r="W150" s="485"/>
      <c r="X150" s="485"/>
      <c r="Y150" s="485"/>
      <c r="Z150" s="485"/>
      <c r="AA150" s="487"/>
      <c r="AB150" s="487"/>
      <c r="AC150" s="488">
        <v>300</v>
      </c>
      <c r="AD150" s="488"/>
      <c r="AE150" s="485" t="s">
        <v>2190</v>
      </c>
      <c r="AF150" s="485"/>
      <c r="AG150" s="488">
        <f t="shared" si="4"/>
        <v>0</v>
      </c>
      <c r="AH150" s="488"/>
    </row>
    <row r="151" spans="1:34" ht="15" customHeight="1">
      <c r="A151" s="481">
        <v>12</v>
      </c>
      <c r="B151" s="481"/>
      <c r="C151" s="485" t="s">
        <v>2748</v>
      </c>
      <c r="D151" s="485"/>
      <c r="E151" s="485"/>
      <c r="F151" s="485"/>
      <c r="G151" s="485"/>
      <c r="H151" s="485"/>
      <c r="I151" s="485"/>
      <c r="J151" s="485"/>
      <c r="K151" s="485"/>
      <c r="L151" s="485"/>
      <c r="M151" s="485"/>
      <c r="N151" s="485"/>
      <c r="O151" s="485" t="s">
        <v>2749</v>
      </c>
      <c r="P151" s="485"/>
      <c r="Q151" s="485"/>
      <c r="R151" s="485"/>
      <c r="S151" s="485"/>
      <c r="T151" s="485"/>
      <c r="U151" s="485"/>
      <c r="V151" s="485"/>
      <c r="W151" s="485"/>
      <c r="X151" s="485"/>
      <c r="Y151" s="485"/>
      <c r="Z151" s="485"/>
      <c r="AA151" s="487"/>
      <c r="AB151" s="487"/>
      <c r="AC151" s="488">
        <v>200</v>
      </c>
      <c r="AD151" s="488"/>
      <c r="AE151" s="485" t="s">
        <v>2190</v>
      </c>
      <c r="AF151" s="485"/>
      <c r="AG151" s="488">
        <f t="shared" si="4"/>
        <v>0</v>
      </c>
      <c r="AH151" s="488"/>
    </row>
    <row r="152" spans="1:34" ht="15" customHeight="1">
      <c r="A152" s="481">
        <v>13</v>
      </c>
      <c r="B152" s="481"/>
      <c r="C152" s="485" t="s">
        <v>2750</v>
      </c>
      <c r="D152" s="485"/>
      <c r="E152" s="485"/>
      <c r="F152" s="485"/>
      <c r="G152" s="485"/>
      <c r="H152" s="485"/>
      <c r="I152" s="485"/>
      <c r="J152" s="485"/>
      <c r="K152" s="485"/>
      <c r="L152" s="485"/>
      <c r="M152" s="485"/>
      <c r="N152" s="485"/>
      <c r="O152" s="485" t="s">
        <v>2751</v>
      </c>
      <c r="P152" s="485"/>
      <c r="Q152" s="485"/>
      <c r="R152" s="485"/>
      <c r="S152" s="485"/>
      <c r="T152" s="485"/>
      <c r="U152" s="485"/>
      <c r="V152" s="485"/>
      <c r="W152" s="485"/>
      <c r="X152" s="485"/>
      <c r="Y152" s="485"/>
      <c r="Z152" s="485"/>
      <c r="AA152" s="487"/>
      <c r="AB152" s="487"/>
      <c r="AC152" s="488">
        <v>1500</v>
      </c>
      <c r="AD152" s="488"/>
      <c r="AE152" s="485" t="s">
        <v>2190</v>
      </c>
      <c r="AF152" s="485"/>
      <c r="AG152" s="488">
        <f t="shared" si="4"/>
        <v>0</v>
      </c>
      <c r="AH152" s="488"/>
    </row>
    <row r="153" spans="1:34" ht="15" customHeight="1">
      <c r="A153" s="481">
        <v>14</v>
      </c>
      <c r="B153" s="481"/>
      <c r="C153" s="485" t="s">
        <v>2752</v>
      </c>
      <c r="D153" s="485"/>
      <c r="E153" s="485"/>
      <c r="F153" s="485"/>
      <c r="G153" s="485"/>
      <c r="H153" s="485"/>
      <c r="I153" s="485"/>
      <c r="J153" s="485"/>
      <c r="K153" s="485"/>
      <c r="L153" s="485"/>
      <c r="M153" s="485"/>
      <c r="N153" s="485"/>
      <c r="O153" s="485" t="s">
        <v>2753</v>
      </c>
      <c r="P153" s="485"/>
      <c r="Q153" s="485"/>
      <c r="R153" s="485"/>
      <c r="S153" s="485"/>
      <c r="T153" s="485"/>
      <c r="U153" s="485"/>
      <c r="V153" s="485"/>
      <c r="W153" s="485"/>
      <c r="X153" s="485"/>
      <c r="Y153" s="485"/>
      <c r="Z153" s="485"/>
      <c r="AA153" s="487"/>
      <c r="AB153" s="487"/>
      <c r="AC153" s="488">
        <v>27</v>
      </c>
      <c r="AD153" s="488"/>
      <c r="AE153" s="485" t="s">
        <v>2727</v>
      </c>
      <c r="AF153" s="485"/>
      <c r="AG153" s="488">
        <f t="shared" si="4"/>
        <v>0</v>
      </c>
      <c r="AH153" s="488"/>
    </row>
    <row r="154" spans="1:34" ht="15" customHeight="1">
      <c r="A154" s="481">
        <v>15</v>
      </c>
      <c r="B154" s="481"/>
      <c r="C154" s="485" t="s">
        <v>2752</v>
      </c>
      <c r="D154" s="485"/>
      <c r="E154" s="485"/>
      <c r="F154" s="485"/>
      <c r="G154" s="485"/>
      <c r="H154" s="485"/>
      <c r="I154" s="485"/>
      <c r="J154" s="485"/>
      <c r="K154" s="485"/>
      <c r="L154" s="485"/>
      <c r="M154" s="485"/>
      <c r="N154" s="485"/>
      <c r="O154" s="485" t="s">
        <v>2753</v>
      </c>
      <c r="P154" s="485"/>
      <c r="Q154" s="485"/>
      <c r="R154" s="485"/>
      <c r="S154" s="485"/>
      <c r="T154" s="485"/>
      <c r="U154" s="485"/>
      <c r="V154" s="485"/>
      <c r="W154" s="485"/>
      <c r="X154" s="485"/>
      <c r="Y154" s="485"/>
      <c r="Z154" s="485"/>
      <c r="AA154" s="487"/>
      <c r="AB154" s="487"/>
      <c r="AC154" s="488">
        <v>22</v>
      </c>
      <c r="AD154" s="488"/>
      <c r="AE154" s="485" t="s">
        <v>2727</v>
      </c>
      <c r="AF154" s="485"/>
      <c r="AG154" s="488">
        <f t="shared" si="4"/>
        <v>0</v>
      </c>
      <c r="AH154" s="488"/>
    </row>
    <row r="155" spans="1:34" ht="15" customHeight="1">
      <c r="A155" s="481">
        <v>16</v>
      </c>
      <c r="B155" s="481"/>
      <c r="C155" s="485" t="s">
        <v>2752</v>
      </c>
      <c r="D155" s="485"/>
      <c r="E155" s="485"/>
      <c r="F155" s="485"/>
      <c r="G155" s="485"/>
      <c r="H155" s="485"/>
      <c r="I155" s="485"/>
      <c r="J155" s="485"/>
      <c r="K155" s="485"/>
      <c r="L155" s="485"/>
      <c r="M155" s="485"/>
      <c r="N155" s="485"/>
      <c r="O155" s="485" t="s">
        <v>2753</v>
      </c>
      <c r="P155" s="485"/>
      <c r="Q155" s="485"/>
      <c r="R155" s="485"/>
      <c r="S155" s="485"/>
      <c r="T155" s="485"/>
      <c r="U155" s="485"/>
      <c r="V155" s="485"/>
      <c r="W155" s="485"/>
      <c r="X155" s="485"/>
      <c r="Y155" s="485"/>
      <c r="Z155" s="485"/>
      <c r="AA155" s="487"/>
      <c r="AB155" s="487"/>
      <c r="AC155" s="488">
        <v>6</v>
      </c>
      <c r="AD155" s="488"/>
      <c r="AE155" s="485" t="s">
        <v>2727</v>
      </c>
      <c r="AF155" s="485"/>
      <c r="AG155" s="488">
        <f t="shared" si="4"/>
        <v>0</v>
      </c>
      <c r="AH155" s="488"/>
    </row>
    <row r="156" spans="1:34" ht="15" customHeight="1">
      <c r="A156" s="481">
        <v>17</v>
      </c>
      <c r="B156" s="481"/>
      <c r="C156" s="485" t="s">
        <v>2752</v>
      </c>
      <c r="D156" s="485"/>
      <c r="E156" s="485"/>
      <c r="F156" s="485"/>
      <c r="G156" s="485"/>
      <c r="H156" s="485"/>
      <c r="I156" s="485"/>
      <c r="J156" s="485"/>
      <c r="K156" s="485"/>
      <c r="L156" s="485"/>
      <c r="M156" s="485"/>
      <c r="N156" s="485"/>
      <c r="O156" s="485" t="s">
        <v>2753</v>
      </c>
      <c r="P156" s="485"/>
      <c r="Q156" s="485"/>
      <c r="R156" s="485"/>
      <c r="S156" s="485"/>
      <c r="T156" s="485"/>
      <c r="U156" s="485"/>
      <c r="V156" s="485"/>
      <c r="W156" s="485"/>
      <c r="X156" s="485"/>
      <c r="Y156" s="485"/>
      <c r="Z156" s="485"/>
      <c r="AA156" s="487"/>
      <c r="AB156" s="487"/>
      <c r="AC156" s="488">
        <v>5</v>
      </c>
      <c r="AD156" s="488"/>
      <c r="AE156" s="485" t="s">
        <v>2727</v>
      </c>
      <c r="AF156" s="485"/>
      <c r="AG156" s="488">
        <f t="shared" si="4"/>
        <v>0</v>
      </c>
      <c r="AH156" s="488"/>
    </row>
    <row r="157" spans="1:34" ht="15" customHeight="1">
      <c r="A157" s="481">
        <v>18</v>
      </c>
      <c r="B157" s="481"/>
      <c r="C157" s="485" t="s">
        <v>2752</v>
      </c>
      <c r="D157" s="485"/>
      <c r="E157" s="485"/>
      <c r="F157" s="485"/>
      <c r="G157" s="485"/>
      <c r="H157" s="485"/>
      <c r="I157" s="485"/>
      <c r="J157" s="485"/>
      <c r="K157" s="485"/>
      <c r="L157" s="485"/>
      <c r="M157" s="485"/>
      <c r="N157" s="485"/>
      <c r="O157" s="485" t="s">
        <v>2753</v>
      </c>
      <c r="P157" s="485"/>
      <c r="Q157" s="485"/>
      <c r="R157" s="485"/>
      <c r="S157" s="485"/>
      <c r="T157" s="485"/>
      <c r="U157" s="485"/>
      <c r="V157" s="485"/>
      <c r="W157" s="485"/>
      <c r="X157" s="485"/>
      <c r="Y157" s="485"/>
      <c r="Z157" s="485"/>
      <c r="AA157" s="487"/>
      <c r="AB157" s="487"/>
      <c r="AC157" s="488">
        <v>9</v>
      </c>
      <c r="AD157" s="488"/>
      <c r="AE157" s="485" t="s">
        <v>2727</v>
      </c>
      <c r="AF157" s="485"/>
      <c r="AG157" s="488">
        <f t="shared" si="4"/>
        <v>0</v>
      </c>
      <c r="AH157" s="488"/>
    </row>
    <row r="158" spans="1:34" ht="15" customHeight="1">
      <c r="A158" s="481">
        <v>19</v>
      </c>
      <c r="B158" s="481"/>
      <c r="C158" s="485" t="s">
        <v>2754</v>
      </c>
      <c r="D158" s="485"/>
      <c r="E158" s="485"/>
      <c r="F158" s="485"/>
      <c r="G158" s="485"/>
      <c r="H158" s="485"/>
      <c r="I158" s="485"/>
      <c r="J158" s="485"/>
      <c r="K158" s="485"/>
      <c r="L158" s="485"/>
      <c r="M158" s="485"/>
      <c r="N158" s="485"/>
      <c r="O158" s="485" t="s">
        <v>2755</v>
      </c>
      <c r="P158" s="485"/>
      <c r="Q158" s="485"/>
      <c r="R158" s="485"/>
      <c r="S158" s="485"/>
      <c r="T158" s="485"/>
      <c r="U158" s="485"/>
      <c r="V158" s="485"/>
      <c r="W158" s="485"/>
      <c r="X158" s="485"/>
      <c r="Y158" s="485"/>
      <c r="Z158" s="485"/>
      <c r="AA158" s="487"/>
      <c r="AB158" s="487"/>
      <c r="AC158" s="488">
        <v>12</v>
      </c>
      <c r="AD158" s="488"/>
      <c r="AE158" s="485" t="s">
        <v>2727</v>
      </c>
      <c r="AF158" s="485"/>
      <c r="AG158" s="488">
        <f t="shared" si="4"/>
        <v>0</v>
      </c>
      <c r="AH158" s="488"/>
    </row>
    <row r="159" spans="1:34" ht="15" customHeight="1">
      <c r="A159" s="481">
        <v>20</v>
      </c>
      <c r="B159" s="481"/>
      <c r="C159" s="485" t="s">
        <v>2754</v>
      </c>
      <c r="D159" s="485"/>
      <c r="E159" s="485"/>
      <c r="F159" s="485"/>
      <c r="G159" s="485"/>
      <c r="H159" s="485"/>
      <c r="I159" s="485"/>
      <c r="J159" s="485"/>
      <c r="K159" s="485"/>
      <c r="L159" s="485"/>
      <c r="M159" s="485"/>
      <c r="N159" s="485"/>
      <c r="O159" s="485" t="s">
        <v>2755</v>
      </c>
      <c r="P159" s="485"/>
      <c r="Q159" s="485"/>
      <c r="R159" s="485"/>
      <c r="S159" s="485"/>
      <c r="T159" s="485"/>
      <c r="U159" s="485"/>
      <c r="V159" s="485"/>
      <c r="W159" s="485"/>
      <c r="X159" s="485"/>
      <c r="Y159" s="485"/>
      <c r="Z159" s="485"/>
      <c r="AA159" s="487"/>
      <c r="AB159" s="487"/>
      <c r="AC159" s="488">
        <v>7</v>
      </c>
      <c r="AD159" s="488"/>
      <c r="AE159" s="485" t="s">
        <v>2727</v>
      </c>
      <c r="AF159" s="485"/>
      <c r="AG159" s="488">
        <f t="shared" si="4"/>
        <v>0</v>
      </c>
      <c r="AH159" s="488"/>
    </row>
    <row r="160" spans="1:34" ht="15" customHeight="1">
      <c r="A160" s="481">
        <v>21</v>
      </c>
      <c r="B160" s="481"/>
      <c r="C160" s="485" t="s">
        <v>2756</v>
      </c>
      <c r="D160" s="485"/>
      <c r="E160" s="485"/>
      <c r="F160" s="485"/>
      <c r="G160" s="485"/>
      <c r="H160" s="485"/>
      <c r="I160" s="485"/>
      <c r="J160" s="485"/>
      <c r="K160" s="485"/>
      <c r="L160" s="485"/>
      <c r="M160" s="485"/>
      <c r="N160" s="485"/>
      <c r="O160" s="485" t="s">
        <v>2757</v>
      </c>
      <c r="P160" s="485"/>
      <c r="Q160" s="485"/>
      <c r="R160" s="485"/>
      <c r="S160" s="485"/>
      <c r="T160" s="485"/>
      <c r="U160" s="485"/>
      <c r="V160" s="485"/>
      <c r="W160" s="485"/>
      <c r="X160" s="485"/>
      <c r="Y160" s="485"/>
      <c r="Z160" s="485"/>
      <c r="AA160" s="487"/>
      <c r="AB160" s="487"/>
      <c r="AC160" s="488">
        <v>7</v>
      </c>
      <c r="AD160" s="488"/>
      <c r="AE160" s="485" t="s">
        <v>2727</v>
      </c>
      <c r="AF160" s="485"/>
      <c r="AG160" s="488">
        <f t="shared" si="4"/>
        <v>0</v>
      </c>
      <c r="AH160" s="488"/>
    </row>
    <row r="161" spans="1:34" ht="15" customHeight="1">
      <c r="A161" s="481">
        <v>22</v>
      </c>
      <c r="B161" s="481"/>
      <c r="C161" s="485" t="s">
        <v>2758</v>
      </c>
      <c r="D161" s="485"/>
      <c r="E161" s="485"/>
      <c r="F161" s="485"/>
      <c r="G161" s="485"/>
      <c r="H161" s="485"/>
      <c r="I161" s="485"/>
      <c r="J161" s="485"/>
      <c r="K161" s="485"/>
      <c r="L161" s="485"/>
      <c r="M161" s="485"/>
      <c r="N161" s="485"/>
      <c r="O161" s="485" t="s">
        <v>2759</v>
      </c>
      <c r="P161" s="485"/>
      <c r="Q161" s="485"/>
      <c r="R161" s="485"/>
      <c r="S161" s="485"/>
      <c r="T161" s="485"/>
      <c r="U161" s="485"/>
      <c r="V161" s="485"/>
      <c r="W161" s="485"/>
      <c r="X161" s="485"/>
      <c r="Y161" s="485"/>
      <c r="Z161" s="485"/>
      <c r="AA161" s="487"/>
      <c r="AB161" s="487"/>
      <c r="AC161" s="488">
        <v>8</v>
      </c>
      <c r="AD161" s="488"/>
      <c r="AE161" s="485" t="s">
        <v>2727</v>
      </c>
      <c r="AF161" s="485"/>
      <c r="AG161" s="488">
        <f t="shared" si="4"/>
        <v>0</v>
      </c>
      <c r="AH161" s="488"/>
    </row>
    <row r="162" spans="1:34" ht="15" customHeight="1">
      <c r="A162" s="481">
        <v>23</v>
      </c>
      <c r="B162" s="481"/>
      <c r="C162" s="485" t="s">
        <v>2758</v>
      </c>
      <c r="D162" s="485"/>
      <c r="E162" s="485"/>
      <c r="F162" s="485"/>
      <c r="G162" s="485"/>
      <c r="H162" s="485"/>
      <c r="I162" s="485"/>
      <c r="J162" s="485"/>
      <c r="K162" s="485"/>
      <c r="L162" s="485"/>
      <c r="M162" s="485"/>
      <c r="N162" s="485"/>
      <c r="O162" s="485" t="s">
        <v>2759</v>
      </c>
      <c r="P162" s="485"/>
      <c r="Q162" s="485"/>
      <c r="R162" s="485"/>
      <c r="S162" s="485"/>
      <c r="T162" s="485"/>
      <c r="U162" s="485"/>
      <c r="V162" s="485"/>
      <c r="W162" s="485"/>
      <c r="X162" s="485"/>
      <c r="Y162" s="485"/>
      <c r="Z162" s="485"/>
      <c r="AA162" s="487"/>
      <c r="AB162" s="487"/>
      <c r="AC162" s="488">
        <v>15</v>
      </c>
      <c r="AD162" s="488"/>
      <c r="AE162" s="485" t="s">
        <v>2727</v>
      </c>
      <c r="AF162" s="485"/>
      <c r="AG162" s="488">
        <f t="shared" si="4"/>
        <v>0</v>
      </c>
      <c r="AH162" s="488"/>
    </row>
    <row r="163" spans="1:34" ht="15" customHeight="1">
      <c r="A163" s="481">
        <v>24</v>
      </c>
      <c r="B163" s="481"/>
      <c r="C163" s="485" t="s">
        <v>2758</v>
      </c>
      <c r="D163" s="485"/>
      <c r="E163" s="485"/>
      <c r="F163" s="485"/>
      <c r="G163" s="485"/>
      <c r="H163" s="485"/>
      <c r="I163" s="485"/>
      <c r="J163" s="485"/>
      <c r="K163" s="485"/>
      <c r="L163" s="485"/>
      <c r="M163" s="485"/>
      <c r="N163" s="485"/>
      <c r="O163" s="485" t="s">
        <v>2759</v>
      </c>
      <c r="P163" s="485"/>
      <c r="Q163" s="485"/>
      <c r="R163" s="485"/>
      <c r="S163" s="485"/>
      <c r="T163" s="485"/>
      <c r="U163" s="485"/>
      <c r="V163" s="485"/>
      <c r="W163" s="485"/>
      <c r="X163" s="485"/>
      <c r="Y163" s="485"/>
      <c r="Z163" s="485"/>
      <c r="AA163" s="487"/>
      <c r="AB163" s="487"/>
      <c r="AC163" s="488">
        <v>40</v>
      </c>
      <c r="AD163" s="488"/>
      <c r="AE163" s="485" t="s">
        <v>2727</v>
      </c>
      <c r="AF163" s="485"/>
      <c r="AG163" s="488">
        <f t="shared" si="4"/>
        <v>0</v>
      </c>
      <c r="AH163" s="488"/>
    </row>
    <row r="164" spans="1:34" ht="15" customHeight="1">
      <c r="A164" s="481">
        <v>25</v>
      </c>
      <c r="B164" s="481"/>
      <c r="C164" s="485" t="s">
        <v>2758</v>
      </c>
      <c r="D164" s="485"/>
      <c r="E164" s="485"/>
      <c r="F164" s="485"/>
      <c r="G164" s="485"/>
      <c r="H164" s="485"/>
      <c r="I164" s="485"/>
      <c r="J164" s="485"/>
      <c r="K164" s="485"/>
      <c r="L164" s="485"/>
      <c r="M164" s="485"/>
      <c r="N164" s="485"/>
      <c r="O164" s="485" t="s">
        <v>2759</v>
      </c>
      <c r="P164" s="485"/>
      <c r="Q164" s="485"/>
      <c r="R164" s="485"/>
      <c r="S164" s="485"/>
      <c r="T164" s="485"/>
      <c r="U164" s="485"/>
      <c r="V164" s="485"/>
      <c r="W164" s="485"/>
      <c r="X164" s="485"/>
      <c r="Y164" s="485"/>
      <c r="Z164" s="485"/>
      <c r="AA164" s="487"/>
      <c r="AB164" s="487"/>
      <c r="AC164" s="488">
        <v>27</v>
      </c>
      <c r="AD164" s="488"/>
      <c r="AE164" s="485" t="s">
        <v>2727</v>
      </c>
      <c r="AF164" s="485"/>
      <c r="AG164" s="488">
        <f t="shared" si="4"/>
        <v>0</v>
      </c>
      <c r="AH164" s="488"/>
    </row>
    <row r="165" spans="1:34" ht="15" customHeight="1">
      <c r="A165" s="481">
        <v>26</v>
      </c>
      <c r="B165" s="481"/>
      <c r="C165" s="485" t="s">
        <v>2760</v>
      </c>
      <c r="D165" s="485"/>
      <c r="E165" s="485"/>
      <c r="F165" s="485"/>
      <c r="G165" s="485"/>
      <c r="H165" s="485"/>
      <c r="I165" s="485"/>
      <c r="J165" s="485"/>
      <c r="K165" s="485"/>
      <c r="L165" s="485"/>
      <c r="M165" s="485"/>
      <c r="N165" s="485"/>
      <c r="O165" s="485" t="s">
        <v>2761</v>
      </c>
      <c r="P165" s="485"/>
      <c r="Q165" s="485"/>
      <c r="R165" s="485"/>
      <c r="S165" s="485"/>
      <c r="T165" s="485"/>
      <c r="U165" s="485"/>
      <c r="V165" s="485"/>
      <c r="W165" s="485"/>
      <c r="X165" s="485"/>
      <c r="Y165" s="485"/>
      <c r="Z165" s="485"/>
      <c r="AA165" s="487"/>
      <c r="AB165" s="487"/>
      <c r="AC165" s="488">
        <v>6</v>
      </c>
      <c r="AD165" s="488"/>
      <c r="AE165" s="485" t="s">
        <v>2727</v>
      </c>
      <c r="AF165" s="485"/>
      <c r="AG165" s="488">
        <f t="shared" si="4"/>
        <v>0</v>
      </c>
      <c r="AH165" s="488"/>
    </row>
    <row r="166" spans="1:34" ht="15" customHeight="1">
      <c r="A166" s="481">
        <v>27</v>
      </c>
      <c r="B166" s="481"/>
      <c r="C166" s="485" t="s">
        <v>2762</v>
      </c>
      <c r="D166" s="485"/>
      <c r="E166" s="485"/>
      <c r="F166" s="485"/>
      <c r="G166" s="485"/>
      <c r="H166" s="485"/>
      <c r="I166" s="485"/>
      <c r="J166" s="485"/>
      <c r="K166" s="485"/>
      <c r="L166" s="485"/>
      <c r="M166" s="485"/>
      <c r="N166" s="485"/>
      <c r="O166" s="485" t="s">
        <v>2763</v>
      </c>
      <c r="P166" s="485"/>
      <c r="Q166" s="485"/>
      <c r="R166" s="485"/>
      <c r="S166" s="485"/>
      <c r="T166" s="485"/>
      <c r="U166" s="485"/>
      <c r="V166" s="485"/>
      <c r="W166" s="485"/>
      <c r="X166" s="485"/>
      <c r="Y166" s="485"/>
      <c r="Z166" s="485"/>
      <c r="AA166" s="487"/>
      <c r="AB166" s="487"/>
      <c r="AC166" s="488">
        <v>22</v>
      </c>
      <c r="AD166" s="488"/>
      <c r="AE166" s="485" t="s">
        <v>2727</v>
      </c>
      <c r="AF166" s="485"/>
      <c r="AG166" s="488">
        <f t="shared" si="4"/>
        <v>0</v>
      </c>
      <c r="AH166" s="488"/>
    </row>
    <row r="167" spans="1:34" ht="15" customHeight="1">
      <c r="A167" s="481">
        <v>28</v>
      </c>
      <c r="B167" s="481"/>
      <c r="C167" s="485" t="s">
        <v>2762</v>
      </c>
      <c r="D167" s="485"/>
      <c r="E167" s="485"/>
      <c r="F167" s="485"/>
      <c r="G167" s="485"/>
      <c r="H167" s="485"/>
      <c r="I167" s="485"/>
      <c r="J167" s="485"/>
      <c r="K167" s="485"/>
      <c r="L167" s="485"/>
      <c r="M167" s="485"/>
      <c r="N167" s="485"/>
      <c r="O167" s="485" t="s">
        <v>2763</v>
      </c>
      <c r="P167" s="485"/>
      <c r="Q167" s="485"/>
      <c r="R167" s="485"/>
      <c r="S167" s="485"/>
      <c r="T167" s="485"/>
      <c r="U167" s="485"/>
      <c r="V167" s="485"/>
      <c r="W167" s="485"/>
      <c r="X167" s="485"/>
      <c r="Y167" s="485"/>
      <c r="Z167" s="485"/>
      <c r="AA167" s="487"/>
      <c r="AB167" s="487"/>
      <c r="AC167" s="488">
        <v>20</v>
      </c>
      <c r="AD167" s="488"/>
      <c r="AE167" s="485" t="s">
        <v>2727</v>
      </c>
      <c r="AF167" s="485"/>
      <c r="AG167" s="488">
        <f t="shared" si="4"/>
        <v>0</v>
      </c>
      <c r="AH167" s="488"/>
    </row>
    <row r="168" spans="1:34" ht="15" customHeight="1">
      <c r="A168" s="481">
        <v>29</v>
      </c>
      <c r="B168" s="481"/>
      <c r="C168" s="485" t="s">
        <v>2762</v>
      </c>
      <c r="D168" s="485"/>
      <c r="E168" s="485"/>
      <c r="F168" s="485"/>
      <c r="G168" s="485"/>
      <c r="H168" s="485"/>
      <c r="I168" s="485"/>
      <c r="J168" s="485"/>
      <c r="K168" s="485"/>
      <c r="L168" s="485"/>
      <c r="M168" s="485"/>
      <c r="N168" s="485"/>
      <c r="O168" s="485" t="s">
        <v>2763</v>
      </c>
      <c r="P168" s="485"/>
      <c r="Q168" s="485"/>
      <c r="R168" s="485"/>
      <c r="S168" s="485"/>
      <c r="T168" s="485"/>
      <c r="U168" s="485"/>
      <c r="V168" s="485"/>
      <c r="W168" s="485"/>
      <c r="X168" s="485"/>
      <c r="Y168" s="485"/>
      <c r="Z168" s="485"/>
      <c r="AA168" s="487"/>
      <c r="AB168" s="487"/>
      <c r="AC168" s="488">
        <v>5</v>
      </c>
      <c r="AD168" s="488"/>
      <c r="AE168" s="485" t="s">
        <v>2727</v>
      </c>
      <c r="AF168" s="485"/>
      <c r="AG168" s="488">
        <f t="shared" si="4"/>
        <v>0</v>
      </c>
      <c r="AH168" s="488"/>
    </row>
    <row r="169" spans="1:34" ht="15" customHeight="1">
      <c r="A169" s="481">
        <v>30</v>
      </c>
      <c r="B169" s="481"/>
      <c r="C169" s="485" t="s">
        <v>2764</v>
      </c>
      <c r="D169" s="485"/>
      <c r="E169" s="485"/>
      <c r="F169" s="485"/>
      <c r="G169" s="485"/>
      <c r="H169" s="485"/>
      <c r="I169" s="485"/>
      <c r="J169" s="485"/>
      <c r="K169" s="485"/>
      <c r="L169" s="485"/>
      <c r="M169" s="485"/>
      <c r="N169" s="485"/>
      <c r="O169" s="485" t="s">
        <v>2765</v>
      </c>
      <c r="P169" s="485"/>
      <c r="Q169" s="485"/>
      <c r="R169" s="485"/>
      <c r="S169" s="485"/>
      <c r="T169" s="485"/>
      <c r="U169" s="485"/>
      <c r="V169" s="485"/>
      <c r="W169" s="485"/>
      <c r="X169" s="485"/>
      <c r="Y169" s="485"/>
      <c r="Z169" s="485"/>
      <c r="AA169" s="487"/>
      <c r="AB169" s="487"/>
      <c r="AC169" s="488">
        <v>20</v>
      </c>
      <c r="AD169" s="488"/>
      <c r="AE169" s="485" t="s">
        <v>2727</v>
      </c>
      <c r="AF169" s="485"/>
      <c r="AG169" s="488">
        <f t="shared" si="4"/>
        <v>0</v>
      </c>
      <c r="AH169" s="488"/>
    </row>
    <row r="170" spans="1:34" ht="15" customHeight="1">
      <c r="A170" s="481">
        <v>31</v>
      </c>
      <c r="B170" s="481"/>
      <c r="C170" s="485" t="s">
        <v>2766</v>
      </c>
      <c r="D170" s="485"/>
      <c r="E170" s="485"/>
      <c r="F170" s="485"/>
      <c r="G170" s="485"/>
      <c r="H170" s="485"/>
      <c r="I170" s="485"/>
      <c r="J170" s="485"/>
      <c r="K170" s="485"/>
      <c r="L170" s="485"/>
      <c r="M170" s="485"/>
      <c r="N170" s="485"/>
      <c r="O170" s="485" t="s">
        <v>2767</v>
      </c>
      <c r="P170" s="485"/>
      <c r="Q170" s="485"/>
      <c r="R170" s="485"/>
      <c r="S170" s="485"/>
      <c r="T170" s="485"/>
      <c r="U170" s="485"/>
      <c r="V170" s="485"/>
      <c r="W170" s="485"/>
      <c r="X170" s="485"/>
      <c r="Y170" s="485"/>
      <c r="Z170" s="485"/>
      <c r="AA170" s="487"/>
      <c r="AB170" s="487"/>
      <c r="AC170" s="488">
        <v>5</v>
      </c>
      <c r="AD170" s="488"/>
      <c r="AE170" s="485" t="s">
        <v>2727</v>
      </c>
      <c r="AF170" s="485"/>
      <c r="AG170" s="488">
        <f t="shared" si="4"/>
        <v>0</v>
      </c>
      <c r="AH170" s="488"/>
    </row>
    <row r="171" spans="1:34" ht="15" customHeight="1">
      <c r="A171" s="481">
        <v>32</v>
      </c>
      <c r="B171" s="481"/>
      <c r="C171" s="485" t="s">
        <v>2768</v>
      </c>
      <c r="D171" s="485"/>
      <c r="E171" s="485"/>
      <c r="F171" s="485"/>
      <c r="G171" s="485"/>
      <c r="H171" s="485"/>
      <c r="I171" s="485"/>
      <c r="J171" s="485"/>
      <c r="K171" s="485"/>
      <c r="L171" s="485"/>
      <c r="M171" s="485"/>
      <c r="N171" s="485"/>
      <c r="O171" s="485" t="s">
        <v>2769</v>
      </c>
      <c r="P171" s="485"/>
      <c r="Q171" s="485"/>
      <c r="R171" s="485"/>
      <c r="S171" s="485"/>
      <c r="T171" s="485"/>
      <c r="U171" s="485"/>
      <c r="V171" s="485"/>
      <c r="W171" s="485"/>
      <c r="X171" s="485"/>
      <c r="Y171" s="485"/>
      <c r="Z171" s="485"/>
      <c r="AA171" s="487"/>
      <c r="AB171" s="487"/>
      <c r="AC171" s="488">
        <v>2</v>
      </c>
      <c r="AD171" s="488"/>
      <c r="AE171" s="485" t="s">
        <v>2727</v>
      </c>
      <c r="AF171" s="485"/>
      <c r="AG171" s="488">
        <f t="shared" si="4"/>
        <v>0</v>
      </c>
      <c r="AH171" s="488"/>
    </row>
    <row r="172" spans="1:34" ht="15" customHeight="1">
      <c r="A172" s="481">
        <v>33</v>
      </c>
      <c r="B172" s="481"/>
      <c r="C172" s="485" t="s">
        <v>2770</v>
      </c>
      <c r="D172" s="485"/>
      <c r="E172" s="485"/>
      <c r="F172" s="485"/>
      <c r="G172" s="485"/>
      <c r="H172" s="485"/>
      <c r="I172" s="485"/>
      <c r="J172" s="485"/>
      <c r="K172" s="485"/>
      <c r="L172" s="485"/>
      <c r="M172" s="485"/>
      <c r="N172" s="485"/>
      <c r="O172" s="485" t="s">
        <v>2771</v>
      </c>
      <c r="P172" s="485"/>
      <c r="Q172" s="485"/>
      <c r="R172" s="485"/>
      <c r="S172" s="485"/>
      <c r="T172" s="485"/>
      <c r="U172" s="485"/>
      <c r="V172" s="485"/>
      <c r="W172" s="485"/>
      <c r="X172" s="485"/>
      <c r="Y172" s="485"/>
      <c r="Z172" s="485"/>
      <c r="AA172" s="487"/>
      <c r="AB172" s="487"/>
      <c r="AC172" s="488">
        <v>9</v>
      </c>
      <c r="AD172" s="488"/>
      <c r="AE172" s="485" t="s">
        <v>2727</v>
      </c>
      <c r="AF172" s="485"/>
      <c r="AG172" s="488">
        <f t="shared" si="4"/>
        <v>0</v>
      </c>
      <c r="AH172" s="488"/>
    </row>
    <row r="173" spans="1:34" ht="15" customHeight="1">
      <c r="A173" s="481">
        <v>34</v>
      </c>
      <c r="B173" s="481"/>
      <c r="C173" s="485" t="s">
        <v>2770</v>
      </c>
      <c r="D173" s="485"/>
      <c r="E173" s="485"/>
      <c r="F173" s="485"/>
      <c r="G173" s="485"/>
      <c r="H173" s="485"/>
      <c r="I173" s="485"/>
      <c r="J173" s="485"/>
      <c r="K173" s="485"/>
      <c r="L173" s="485"/>
      <c r="M173" s="485"/>
      <c r="N173" s="485"/>
      <c r="O173" s="485" t="s">
        <v>2771</v>
      </c>
      <c r="P173" s="485"/>
      <c r="Q173" s="485"/>
      <c r="R173" s="485"/>
      <c r="S173" s="485"/>
      <c r="T173" s="485"/>
      <c r="U173" s="485"/>
      <c r="V173" s="485"/>
      <c r="W173" s="485"/>
      <c r="X173" s="485"/>
      <c r="Y173" s="485"/>
      <c r="Z173" s="485"/>
      <c r="AA173" s="487"/>
      <c r="AB173" s="487"/>
      <c r="AC173" s="488">
        <v>6</v>
      </c>
      <c r="AD173" s="488"/>
      <c r="AE173" s="485" t="s">
        <v>2727</v>
      </c>
      <c r="AF173" s="485"/>
      <c r="AG173" s="488">
        <f t="shared" si="4"/>
        <v>0</v>
      </c>
      <c r="AH173" s="488"/>
    </row>
    <row r="174" spans="1:34" ht="15" customHeight="1">
      <c r="A174" s="481">
        <v>35</v>
      </c>
      <c r="B174" s="481"/>
      <c r="C174" s="485" t="s">
        <v>2772</v>
      </c>
      <c r="D174" s="485"/>
      <c r="E174" s="485"/>
      <c r="F174" s="485"/>
      <c r="G174" s="485"/>
      <c r="H174" s="485"/>
      <c r="I174" s="485"/>
      <c r="J174" s="485"/>
      <c r="K174" s="485"/>
      <c r="L174" s="485"/>
      <c r="M174" s="485"/>
      <c r="N174" s="485"/>
      <c r="O174" s="485" t="s">
        <v>2773</v>
      </c>
      <c r="P174" s="485"/>
      <c r="Q174" s="485"/>
      <c r="R174" s="485"/>
      <c r="S174" s="485"/>
      <c r="T174" s="485"/>
      <c r="U174" s="485"/>
      <c r="V174" s="485"/>
      <c r="W174" s="485"/>
      <c r="X174" s="485"/>
      <c r="Y174" s="485"/>
      <c r="Z174" s="485"/>
      <c r="AA174" s="487"/>
      <c r="AB174" s="487"/>
      <c r="AC174" s="488">
        <v>20</v>
      </c>
      <c r="AD174" s="488"/>
      <c r="AE174" s="485" t="s">
        <v>2727</v>
      </c>
      <c r="AF174" s="485"/>
      <c r="AG174" s="488">
        <f t="shared" si="4"/>
        <v>0</v>
      </c>
      <c r="AH174" s="488"/>
    </row>
    <row r="175" spans="1:34" ht="15" customHeight="1">
      <c r="A175" s="481">
        <v>36</v>
      </c>
      <c r="B175" s="481"/>
      <c r="C175" s="485" t="s">
        <v>2774</v>
      </c>
      <c r="D175" s="485"/>
      <c r="E175" s="485"/>
      <c r="F175" s="485"/>
      <c r="G175" s="485"/>
      <c r="H175" s="485"/>
      <c r="I175" s="485"/>
      <c r="J175" s="485"/>
      <c r="K175" s="485"/>
      <c r="L175" s="485"/>
      <c r="M175" s="485"/>
      <c r="N175" s="485"/>
      <c r="O175" s="485" t="s">
        <v>2775</v>
      </c>
      <c r="P175" s="485"/>
      <c r="Q175" s="485"/>
      <c r="R175" s="485"/>
      <c r="S175" s="485"/>
      <c r="T175" s="485"/>
      <c r="U175" s="485"/>
      <c r="V175" s="485"/>
      <c r="W175" s="485"/>
      <c r="X175" s="485"/>
      <c r="Y175" s="485"/>
      <c r="Z175" s="485"/>
      <c r="AA175" s="487"/>
      <c r="AB175" s="487"/>
      <c r="AC175" s="488">
        <v>20</v>
      </c>
      <c r="AD175" s="488"/>
      <c r="AE175" s="485" t="s">
        <v>2727</v>
      </c>
      <c r="AF175" s="485"/>
      <c r="AG175" s="488">
        <f t="shared" si="4"/>
        <v>0</v>
      </c>
      <c r="AH175" s="488"/>
    </row>
    <row r="176" spans="1:34" ht="15" customHeight="1">
      <c r="A176" s="481">
        <v>37</v>
      </c>
      <c r="B176" s="481"/>
      <c r="C176" s="485" t="s">
        <v>2774</v>
      </c>
      <c r="D176" s="485"/>
      <c r="E176" s="485"/>
      <c r="F176" s="485"/>
      <c r="G176" s="485"/>
      <c r="H176" s="485"/>
      <c r="I176" s="485"/>
      <c r="J176" s="485"/>
      <c r="K176" s="485"/>
      <c r="L176" s="485"/>
      <c r="M176" s="485"/>
      <c r="N176" s="485"/>
      <c r="O176" s="485" t="s">
        <v>2775</v>
      </c>
      <c r="P176" s="485"/>
      <c r="Q176" s="485"/>
      <c r="R176" s="485"/>
      <c r="S176" s="485"/>
      <c r="T176" s="485"/>
      <c r="U176" s="485"/>
      <c r="V176" s="485"/>
      <c r="W176" s="485"/>
      <c r="X176" s="485"/>
      <c r="Y176" s="485"/>
      <c r="Z176" s="485"/>
      <c r="AA176" s="487"/>
      <c r="AB176" s="487"/>
      <c r="AC176" s="488">
        <v>9</v>
      </c>
      <c r="AD176" s="488"/>
      <c r="AE176" s="485" t="s">
        <v>2727</v>
      </c>
      <c r="AF176" s="485"/>
      <c r="AG176" s="488">
        <f t="shared" si="4"/>
        <v>0</v>
      </c>
      <c r="AH176" s="488"/>
    </row>
    <row r="177" spans="1:34" ht="15" customHeight="1">
      <c r="A177" s="481">
        <v>38</v>
      </c>
      <c r="B177" s="481"/>
      <c r="C177" s="485" t="s">
        <v>2776</v>
      </c>
      <c r="D177" s="485"/>
      <c r="E177" s="485"/>
      <c r="F177" s="485"/>
      <c r="G177" s="485"/>
      <c r="H177" s="485"/>
      <c r="I177" s="485"/>
      <c r="J177" s="485"/>
      <c r="K177" s="485"/>
      <c r="L177" s="485"/>
      <c r="M177" s="485"/>
      <c r="N177" s="485"/>
      <c r="O177" s="485" t="s">
        <v>2777</v>
      </c>
      <c r="P177" s="485"/>
      <c r="Q177" s="485"/>
      <c r="R177" s="485"/>
      <c r="S177" s="485"/>
      <c r="T177" s="485"/>
      <c r="U177" s="485"/>
      <c r="V177" s="485"/>
      <c r="W177" s="485"/>
      <c r="X177" s="485"/>
      <c r="Y177" s="485"/>
      <c r="Z177" s="485"/>
      <c r="AA177" s="487"/>
      <c r="AB177" s="487"/>
      <c r="AC177" s="488">
        <v>22</v>
      </c>
      <c r="AD177" s="488"/>
      <c r="AE177" s="485" t="s">
        <v>2727</v>
      </c>
      <c r="AF177" s="485"/>
      <c r="AG177" s="488">
        <f t="shared" si="4"/>
        <v>0</v>
      </c>
      <c r="AH177" s="488"/>
    </row>
    <row r="178" spans="1:34" ht="15" customHeight="1">
      <c r="A178" s="481">
        <v>39</v>
      </c>
      <c r="B178" s="481"/>
      <c r="C178" s="485" t="s">
        <v>2778</v>
      </c>
      <c r="D178" s="485"/>
      <c r="E178" s="485"/>
      <c r="F178" s="485"/>
      <c r="G178" s="485"/>
      <c r="H178" s="485"/>
      <c r="I178" s="485"/>
      <c r="J178" s="485"/>
      <c r="K178" s="485"/>
      <c r="L178" s="485"/>
      <c r="M178" s="485"/>
      <c r="N178" s="485"/>
      <c r="O178" s="485" t="s">
        <v>2779</v>
      </c>
      <c r="P178" s="485"/>
      <c r="Q178" s="485"/>
      <c r="R178" s="485"/>
      <c r="S178" s="485"/>
      <c r="T178" s="485"/>
      <c r="U178" s="485"/>
      <c r="V178" s="485"/>
      <c r="W178" s="485"/>
      <c r="X178" s="485"/>
      <c r="Y178" s="485"/>
      <c r="Z178" s="485"/>
      <c r="AA178" s="487"/>
      <c r="AB178" s="487"/>
      <c r="AC178" s="488">
        <v>5</v>
      </c>
      <c r="AD178" s="488"/>
      <c r="AE178" s="485" t="s">
        <v>2727</v>
      </c>
      <c r="AF178" s="485"/>
      <c r="AG178" s="488">
        <f t="shared" si="4"/>
        <v>0</v>
      </c>
      <c r="AH178" s="488"/>
    </row>
    <row r="179" spans="1:34" ht="15" customHeight="1">
      <c r="A179" s="481">
        <v>40</v>
      </c>
      <c r="B179" s="481"/>
      <c r="C179" s="485" t="s">
        <v>2780</v>
      </c>
      <c r="D179" s="485"/>
      <c r="E179" s="485"/>
      <c r="F179" s="485"/>
      <c r="G179" s="485"/>
      <c r="H179" s="485"/>
      <c r="I179" s="485"/>
      <c r="J179" s="485"/>
      <c r="K179" s="485"/>
      <c r="L179" s="485"/>
      <c r="M179" s="485"/>
      <c r="N179" s="485"/>
      <c r="O179" s="485" t="s">
        <v>2781</v>
      </c>
      <c r="P179" s="485"/>
      <c r="Q179" s="485"/>
      <c r="R179" s="485"/>
      <c r="S179" s="485"/>
      <c r="T179" s="485"/>
      <c r="U179" s="485"/>
      <c r="V179" s="485"/>
      <c r="W179" s="485"/>
      <c r="X179" s="485"/>
      <c r="Y179" s="485"/>
      <c r="Z179" s="485"/>
      <c r="AA179" s="487"/>
      <c r="AB179" s="487"/>
      <c r="AC179" s="488">
        <v>6</v>
      </c>
      <c r="AD179" s="488"/>
      <c r="AE179" s="485" t="s">
        <v>2727</v>
      </c>
      <c r="AF179" s="485"/>
      <c r="AG179" s="488">
        <f t="shared" si="4"/>
        <v>0</v>
      </c>
      <c r="AH179" s="488"/>
    </row>
    <row r="180" spans="1:34" ht="15" customHeight="1">
      <c r="A180" s="481">
        <v>41</v>
      </c>
      <c r="B180" s="481"/>
      <c r="C180" s="485" t="s">
        <v>2782</v>
      </c>
      <c r="D180" s="485"/>
      <c r="E180" s="485"/>
      <c r="F180" s="485"/>
      <c r="G180" s="485"/>
      <c r="H180" s="485"/>
      <c r="I180" s="485"/>
      <c r="J180" s="485"/>
      <c r="K180" s="485"/>
      <c r="L180" s="485"/>
      <c r="M180" s="485"/>
      <c r="N180" s="485"/>
      <c r="O180" s="485" t="s">
        <v>2783</v>
      </c>
      <c r="P180" s="485"/>
      <c r="Q180" s="485"/>
      <c r="R180" s="485"/>
      <c r="S180" s="485"/>
      <c r="T180" s="485"/>
      <c r="U180" s="485"/>
      <c r="V180" s="485"/>
      <c r="W180" s="485"/>
      <c r="X180" s="485"/>
      <c r="Y180" s="485"/>
      <c r="Z180" s="485"/>
      <c r="AA180" s="487"/>
      <c r="AB180" s="487"/>
      <c r="AC180" s="488">
        <v>40</v>
      </c>
      <c r="AD180" s="488"/>
      <c r="AE180" s="485" t="s">
        <v>2727</v>
      </c>
      <c r="AF180" s="485"/>
      <c r="AG180" s="488">
        <f t="shared" si="4"/>
        <v>0</v>
      </c>
      <c r="AH180" s="488"/>
    </row>
    <row r="181" spans="1:34" ht="15" customHeight="1">
      <c r="A181" s="481">
        <v>42</v>
      </c>
      <c r="B181" s="481"/>
      <c r="C181" s="485" t="s">
        <v>2784</v>
      </c>
      <c r="D181" s="485"/>
      <c r="E181" s="485"/>
      <c r="F181" s="485"/>
      <c r="G181" s="485"/>
      <c r="H181" s="485"/>
      <c r="I181" s="485"/>
      <c r="J181" s="485"/>
      <c r="K181" s="485"/>
      <c r="L181" s="485"/>
      <c r="M181" s="485"/>
      <c r="N181" s="485"/>
      <c r="O181" s="485" t="s">
        <v>2785</v>
      </c>
      <c r="P181" s="485"/>
      <c r="Q181" s="485"/>
      <c r="R181" s="485"/>
      <c r="S181" s="485"/>
      <c r="T181" s="485"/>
      <c r="U181" s="485"/>
      <c r="V181" s="485"/>
      <c r="W181" s="485"/>
      <c r="X181" s="485"/>
      <c r="Y181" s="485"/>
      <c r="Z181" s="485"/>
      <c r="AA181" s="487"/>
      <c r="AB181" s="487"/>
      <c r="AC181" s="488">
        <v>35</v>
      </c>
      <c r="AD181" s="488"/>
      <c r="AE181" s="485" t="s">
        <v>2727</v>
      </c>
      <c r="AF181" s="485"/>
      <c r="AG181" s="488">
        <f t="shared" si="4"/>
        <v>0</v>
      </c>
      <c r="AH181" s="488"/>
    </row>
    <row r="182" spans="1:34" ht="15" customHeight="1">
      <c r="A182" s="481">
        <v>43</v>
      </c>
      <c r="B182" s="481"/>
      <c r="C182" s="485" t="s">
        <v>2786</v>
      </c>
      <c r="D182" s="485"/>
      <c r="E182" s="485"/>
      <c r="F182" s="485"/>
      <c r="G182" s="485"/>
      <c r="H182" s="485"/>
      <c r="I182" s="485"/>
      <c r="J182" s="485"/>
      <c r="K182" s="485"/>
      <c r="L182" s="485"/>
      <c r="M182" s="485"/>
      <c r="N182" s="485"/>
      <c r="O182" s="485" t="s">
        <v>2787</v>
      </c>
      <c r="P182" s="485"/>
      <c r="Q182" s="485"/>
      <c r="R182" s="485"/>
      <c r="S182" s="485"/>
      <c r="T182" s="485"/>
      <c r="U182" s="485"/>
      <c r="V182" s="485"/>
      <c r="W182" s="485"/>
      <c r="X182" s="485"/>
      <c r="Y182" s="485"/>
      <c r="Z182" s="485"/>
      <c r="AA182" s="487"/>
      <c r="AB182" s="487"/>
      <c r="AC182" s="488">
        <v>12</v>
      </c>
      <c r="AD182" s="488"/>
      <c r="AE182" s="485" t="s">
        <v>2727</v>
      </c>
      <c r="AF182" s="485"/>
      <c r="AG182" s="488">
        <f t="shared" si="4"/>
        <v>0</v>
      </c>
      <c r="AH182" s="488"/>
    </row>
    <row r="183" spans="1:34" ht="15" customHeight="1">
      <c r="A183" s="481">
        <v>44</v>
      </c>
      <c r="B183" s="481"/>
      <c r="C183" s="485" t="s">
        <v>2788</v>
      </c>
      <c r="D183" s="485"/>
      <c r="E183" s="485"/>
      <c r="F183" s="485"/>
      <c r="G183" s="485"/>
      <c r="H183" s="485"/>
      <c r="I183" s="485"/>
      <c r="J183" s="485"/>
      <c r="K183" s="485"/>
      <c r="L183" s="485"/>
      <c r="M183" s="485"/>
      <c r="N183" s="485"/>
      <c r="O183" s="485" t="s">
        <v>2789</v>
      </c>
      <c r="P183" s="485"/>
      <c r="Q183" s="485"/>
      <c r="R183" s="485"/>
      <c r="S183" s="485"/>
      <c r="T183" s="485"/>
      <c r="U183" s="485"/>
      <c r="V183" s="485"/>
      <c r="W183" s="485"/>
      <c r="X183" s="485"/>
      <c r="Y183" s="485"/>
      <c r="Z183" s="485"/>
      <c r="AA183" s="487"/>
      <c r="AB183" s="487"/>
      <c r="AC183" s="488">
        <v>8</v>
      </c>
      <c r="AD183" s="488"/>
      <c r="AE183" s="485" t="s">
        <v>2727</v>
      </c>
      <c r="AF183" s="485"/>
      <c r="AG183" s="488">
        <f t="shared" si="4"/>
        <v>0</v>
      </c>
      <c r="AH183" s="488"/>
    </row>
    <row r="184" spans="1:34" ht="15" customHeight="1">
      <c r="A184" s="481">
        <v>45</v>
      </c>
      <c r="B184" s="481"/>
      <c r="C184" s="485" t="s">
        <v>2790</v>
      </c>
      <c r="D184" s="485"/>
      <c r="E184" s="485"/>
      <c r="F184" s="485"/>
      <c r="G184" s="485"/>
      <c r="H184" s="485"/>
      <c r="I184" s="485"/>
      <c r="J184" s="485"/>
      <c r="K184" s="485"/>
      <c r="L184" s="485"/>
      <c r="M184" s="485"/>
      <c r="N184" s="485"/>
      <c r="O184" s="485" t="s">
        <v>2791</v>
      </c>
      <c r="P184" s="485"/>
      <c r="Q184" s="485"/>
      <c r="R184" s="485"/>
      <c r="S184" s="485"/>
      <c r="T184" s="485"/>
      <c r="U184" s="485"/>
      <c r="V184" s="485"/>
      <c r="W184" s="485"/>
      <c r="X184" s="485"/>
      <c r="Y184" s="485"/>
      <c r="Z184" s="485"/>
      <c r="AA184" s="487"/>
      <c r="AB184" s="487"/>
      <c r="AC184" s="488">
        <v>2</v>
      </c>
      <c r="AD184" s="488"/>
      <c r="AE184" s="485" t="s">
        <v>2727</v>
      </c>
      <c r="AF184" s="485"/>
      <c r="AG184" s="488">
        <f t="shared" si="4"/>
        <v>0</v>
      </c>
      <c r="AH184" s="488"/>
    </row>
    <row r="185" spans="1:34" ht="15" customHeight="1">
      <c r="A185" s="481">
        <v>46</v>
      </c>
      <c r="B185" s="481"/>
      <c r="C185" s="485" t="s">
        <v>2792</v>
      </c>
      <c r="D185" s="485"/>
      <c r="E185" s="485"/>
      <c r="F185" s="485"/>
      <c r="G185" s="485"/>
      <c r="H185" s="485"/>
      <c r="I185" s="485"/>
      <c r="J185" s="485"/>
      <c r="K185" s="485"/>
      <c r="L185" s="485"/>
      <c r="M185" s="485"/>
      <c r="N185" s="485"/>
      <c r="O185" s="485" t="s">
        <v>2793</v>
      </c>
      <c r="P185" s="485"/>
      <c r="Q185" s="485"/>
      <c r="R185" s="485"/>
      <c r="S185" s="485"/>
      <c r="T185" s="485"/>
      <c r="U185" s="485"/>
      <c r="V185" s="485"/>
      <c r="W185" s="485"/>
      <c r="X185" s="485"/>
      <c r="Y185" s="485"/>
      <c r="Z185" s="485"/>
      <c r="AA185" s="487"/>
      <c r="AB185" s="487"/>
      <c r="AC185" s="488">
        <v>2</v>
      </c>
      <c r="AD185" s="488"/>
      <c r="AE185" s="485" t="s">
        <v>2727</v>
      </c>
      <c r="AF185" s="485"/>
      <c r="AG185" s="488">
        <f t="shared" si="4"/>
        <v>0</v>
      </c>
      <c r="AH185" s="488"/>
    </row>
    <row r="186" spans="1:34" ht="15" customHeight="1">
      <c r="A186" s="481">
        <v>47</v>
      </c>
      <c r="B186" s="481"/>
      <c r="C186" s="485" t="s">
        <v>2794</v>
      </c>
      <c r="D186" s="485"/>
      <c r="E186" s="485"/>
      <c r="F186" s="485"/>
      <c r="G186" s="485"/>
      <c r="H186" s="485"/>
      <c r="I186" s="485"/>
      <c r="J186" s="485"/>
      <c r="K186" s="485"/>
      <c r="L186" s="485"/>
      <c r="M186" s="485"/>
      <c r="N186" s="485"/>
      <c r="O186" s="485" t="s">
        <v>2795</v>
      </c>
      <c r="P186" s="485"/>
      <c r="Q186" s="485"/>
      <c r="R186" s="485"/>
      <c r="S186" s="485"/>
      <c r="T186" s="485"/>
      <c r="U186" s="485"/>
      <c r="V186" s="485"/>
      <c r="W186" s="485"/>
      <c r="X186" s="485"/>
      <c r="Y186" s="485"/>
      <c r="Z186" s="485"/>
      <c r="AA186" s="487"/>
      <c r="AB186" s="487"/>
      <c r="AC186" s="488">
        <v>2</v>
      </c>
      <c r="AD186" s="488"/>
      <c r="AE186" s="485" t="s">
        <v>2727</v>
      </c>
      <c r="AF186" s="485"/>
      <c r="AG186" s="488">
        <f t="shared" si="4"/>
        <v>0</v>
      </c>
      <c r="AH186" s="488"/>
    </row>
    <row r="187" spans="1:34" ht="15" customHeight="1">
      <c r="A187" s="481">
        <v>48</v>
      </c>
      <c r="B187" s="481"/>
      <c r="C187" s="485" t="s">
        <v>2796</v>
      </c>
      <c r="D187" s="485"/>
      <c r="E187" s="485"/>
      <c r="F187" s="485"/>
      <c r="G187" s="485"/>
      <c r="H187" s="485"/>
      <c r="I187" s="485"/>
      <c r="J187" s="485"/>
      <c r="K187" s="485"/>
      <c r="L187" s="485"/>
      <c r="M187" s="485"/>
      <c r="N187" s="485"/>
      <c r="O187" s="485" t="s">
        <v>2797</v>
      </c>
      <c r="P187" s="485"/>
      <c r="Q187" s="485"/>
      <c r="R187" s="485"/>
      <c r="S187" s="485"/>
      <c r="T187" s="485"/>
      <c r="U187" s="485"/>
      <c r="V187" s="485"/>
      <c r="W187" s="485"/>
      <c r="X187" s="485"/>
      <c r="Y187" s="485"/>
      <c r="Z187" s="485"/>
      <c r="AA187" s="487"/>
      <c r="AB187" s="487"/>
      <c r="AC187" s="488">
        <v>2</v>
      </c>
      <c r="AD187" s="488"/>
      <c r="AE187" s="485" t="s">
        <v>2798</v>
      </c>
      <c r="AF187" s="485"/>
      <c r="AG187" s="488">
        <f t="shared" si="4"/>
        <v>0</v>
      </c>
      <c r="AH187" s="488"/>
    </row>
    <row r="188" spans="1:34" ht="15" customHeight="1">
      <c r="A188" s="481">
        <v>49</v>
      </c>
      <c r="B188" s="481"/>
      <c r="C188" s="485" t="s">
        <v>2799</v>
      </c>
      <c r="D188" s="485"/>
      <c r="E188" s="485"/>
      <c r="F188" s="485"/>
      <c r="G188" s="485"/>
      <c r="H188" s="485"/>
      <c r="I188" s="485"/>
      <c r="J188" s="485"/>
      <c r="K188" s="485"/>
      <c r="L188" s="485"/>
      <c r="M188" s="485"/>
      <c r="N188" s="485"/>
      <c r="O188" s="485" t="s">
        <v>2800</v>
      </c>
      <c r="P188" s="485"/>
      <c r="Q188" s="485"/>
      <c r="R188" s="485"/>
      <c r="S188" s="485"/>
      <c r="T188" s="485"/>
      <c r="U188" s="485"/>
      <c r="V188" s="485"/>
      <c r="W188" s="485"/>
      <c r="X188" s="485"/>
      <c r="Y188" s="485"/>
      <c r="Z188" s="485"/>
      <c r="AA188" s="487"/>
      <c r="AB188" s="487"/>
      <c r="AC188" s="488">
        <v>300</v>
      </c>
      <c r="AD188" s="488"/>
      <c r="AE188" s="485" t="s">
        <v>2216</v>
      </c>
      <c r="AF188" s="485"/>
      <c r="AG188" s="488">
        <f t="shared" si="4"/>
        <v>0</v>
      </c>
      <c r="AH188" s="488"/>
    </row>
    <row r="189" spans="1:34" ht="15" customHeight="1">
      <c r="A189" s="481">
        <v>50</v>
      </c>
      <c r="B189" s="481"/>
      <c r="C189" s="485" t="s">
        <v>2801</v>
      </c>
      <c r="D189" s="485"/>
      <c r="E189" s="485"/>
      <c r="F189" s="485"/>
      <c r="G189" s="485"/>
      <c r="H189" s="485"/>
      <c r="I189" s="485"/>
      <c r="J189" s="485"/>
      <c r="K189" s="485"/>
      <c r="L189" s="485"/>
      <c r="M189" s="485"/>
      <c r="N189" s="485"/>
      <c r="O189" s="485" t="s">
        <v>2802</v>
      </c>
      <c r="P189" s="485"/>
      <c r="Q189" s="485"/>
      <c r="R189" s="485"/>
      <c r="S189" s="485"/>
      <c r="T189" s="485"/>
      <c r="U189" s="485"/>
      <c r="V189" s="485"/>
      <c r="W189" s="485"/>
      <c r="X189" s="485"/>
      <c r="Y189" s="485"/>
      <c r="Z189" s="485"/>
      <c r="AA189" s="487"/>
      <c r="AB189" s="487"/>
      <c r="AC189" s="488">
        <v>2</v>
      </c>
      <c r="AD189" s="488"/>
      <c r="AE189" s="485" t="s">
        <v>2727</v>
      </c>
      <c r="AF189" s="485"/>
      <c r="AG189" s="488">
        <f t="shared" si="4"/>
        <v>0</v>
      </c>
      <c r="AH189" s="488"/>
    </row>
    <row r="190" spans="1:34" ht="15" customHeight="1">
      <c r="A190" s="481">
        <v>51</v>
      </c>
      <c r="B190" s="481"/>
      <c r="C190" s="485" t="s">
        <v>2803</v>
      </c>
      <c r="D190" s="485"/>
      <c r="E190" s="485"/>
      <c r="F190" s="485"/>
      <c r="G190" s="485"/>
      <c r="H190" s="485"/>
      <c r="I190" s="485"/>
      <c r="J190" s="485"/>
      <c r="K190" s="485"/>
      <c r="L190" s="485"/>
      <c r="M190" s="485"/>
      <c r="N190" s="485"/>
      <c r="O190" s="485" t="s">
        <v>2804</v>
      </c>
      <c r="P190" s="485"/>
      <c r="Q190" s="485"/>
      <c r="R190" s="485"/>
      <c r="S190" s="485"/>
      <c r="T190" s="485"/>
      <c r="U190" s="485"/>
      <c r="V190" s="485"/>
      <c r="W190" s="485"/>
      <c r="X190" s="485"/>
      <c r="Y190" s="485"/>
      <c r="Z190" s="485"/>
      <c r="AA190" s="487"/>
      <c r="AB190" s="487"/>
      <c r="AC190" s="488">
        <v>100</v>
      </c>
      <c r="AD190" s="488"/>
      <c r="AE190" s="485" t="s">
        <v>2216</v>
      </c>
      <c r="AF190" s="485"/>
      <c r="AG190" s="488">
        <f t="shared" si="4"/>
        <v>0</v>
      </c>
      <c r="AH190" s="488"/>
    </row>
    <row r="191" spans="1:34" ht="15" customHeight="1">
      <c r="A191" s="481">
        <v>52</v>
      </c>
      <c r="B191" s="481"/>
      <c r="C191" s="485" t="s">
        <v>2805</v>
      </c>
      <c r="D191" s="485"/>
      <c r="E191" s="485"/>
      <c r="F191" s="485"/>
      <c r="G191" s="485"/>
      <c r="H191" s="485"/>
      <c r="I191" s="485"/>
      <c r="J191" s="485"/>
      <c r="K191" s="485"/>
      <c r="L191" s="485"/>
      <c r="M191" s="485"/>
      <c r="N191" s="485"/>
      <c r="O191" s="485" t="s">
        <v>2806</v>
      </c>
      <c r="P191" s="485"/>
      <c r="Q191" s="485"/>
      <c r="R191" s="485"/>
      <c r="S191" s="485"/>
      <c r="T191" s="485"/>
      <c r="U191" s="485"/>
      <c r="V191" s="485"/>
      <c r="W191" s="485"/>
      <c r="X191" s="485"/>
      <c r="Y191" s="485"/>
      <c r="Z191" s="485"/>
      <c r="AA191" s="487"/>
      <c r="AB191" s="487"/>
      <c r="AC191" s="488">
        <v>80</v>
      </c>
      <c r="AD191" s="488"/>
      <c r="AE191" s="485" t="s">
        <v>2727</v>
      </c>
      <c r="AF191" s="485"/>
      <c r="AG191" s="488">
        <f t="shared" si="4"/>
        <v>0</v>
      </c>
      <c r="AH191" s="488"/>
    </row>
    <row r="192" spans="1:34" ht="15" customHeight="1">
      <c r="A192" s="481">
        <v>53</v>
      </c>
      <c r="B192" s="481"/>
      <c r="C192" s="485" t="s">
        <v>2807</v>
      </c>
      <c r="D192" s="485"/>
      <c r="E192" s="485"/>
      <c r="F192" s="485"/>
      <c r="G192" s="485"/>
      <c r="H192" s="485"/>
      <c r="I192" s="485"/>
      <c r="J192" s="485"/>
      <c r="K192" s="485"/>
      <c r="L192" s="485"/>
      <c r="M192" s="485"/>
      <c r="N192" s="485"/>
      <c r="O192" s="485" t="s">
        <v>2808</v>
      </c>
      <c r="P192" s="485"/>
      <c r="Q192" s="485"/>
      <c r="R192" s="485"/>
      <c r="S192" s="485"/>
      <c r="T192" s="485"/>
      <c r="U192" s="485"/>
      <c r="V192" s="485"/>
      <c r="W192" s="485"/>
      <c r="X192" s="485"/>
      <c r="Y192" s="485"/>
      <c r="Z192" s="485"/>
      <c r="AA192" s="487"/>
      <c r="AB192" s="487"/>
      <c r="AC192" s="488">
        <v>177</v>
      </c>
      <c r="AD192" s="488"/>
      <c r="AE192" s="485" t="s">
        <v>2727</v>
      </c>
      <c r="AF192" s="485"/>
      <c r="AG192" s="488">
        <f t="shared" si="4"/>
        <v>0</v>
      </c>
      <c r="AH192" s="488"/>
    </row>
    <row r="193" spans="1:34" ht="24.95" customHeight="1">
      <c r="A193" s="481">
        <v>54</v>
      </c>
      <c r="B193" s="481"/>
      <c r="C193" s="485" t="s">
        <v>2809</v>
      </c>
      <c r="D193" s="485"/>
      <c r="E193" s="485"/>
      <c r="F193" s="485"/>
      <c r="G193" s="485"/>
      <c r="H193" s="485"/>
      <c r="I193" s="485"/>
      <c r="J193" s="485"/>
      <c r="K193" s="485"/>
      <c r="L193" s="485"/>
      <c r="M193" s="485"/>
      <c r="N193" s="485"/>
      <c r="O193" s="485" t="s">
        <v>2810</v>
      </c>
      <c r="P193" s="485"/>
      <c r="Q193" s="485"/>
      <c r="R193" s="485"/>
      <c r="S193" s="485"/>
      <c r="T193" s="485"/>
      <c r="U193" s="485"/>
      <c r="V193" s="485"/>
      <c r="W193" s="485"/>
      <c r="X193" s="485"/>
      <c r="Y193" s="485"/>
      <c r="Z193" s="485"/>
      <c r="AA193" s="487"/>
      <c r="AB193" s="487"/>
      <c r="AC193" s="488">
        <v>14</v>
      </c>
      <c r="AD193" s="488"/>
      <c r="AE193" s="485" t="s">
        <v>2107</v>
      </c>
      <c r="AF193" s="485"/>
      <c r="AG193" s="488">
        <f t="shared" si="4"/>
        <v>0</v>
      </c>
      <c r="AH193" s="488"/>
    </row>
    <row r="194" spans="1:34" ht="24.95" customHeight="1">
      <c r="A194" s="481">
        <v>55</v>
      </c>
      <c r="B194" s="481"/>
      <c r="C194" s="485" t="s">
        <v>2811</v>
      </c>
      <c r="D194" s="485"/>
      <c r="E194" s="485"/>
      <c r="F194" s="485"/>
      <c r="G194" s="485"/>
      <c r="H194" s="485"/>
      <c r="I194" s="485"/>
      <c r="J194" s="485"/>
      <c r="K194" s="485"/>
      <c r="L194" s="485"/>
      <c r="M194" s="485"/>
      <c r="N194" s="485"/>
      <c r="O194" s="485" t="s">
        <v>2812</v>
      </c>
      <c r="P194" s="485"/>
      <c r="Q194" s="485"/>
      <c r="R194" s="485"/>
      <c r="S194" s="485"/>
      <c r="T194" s="485"/>
      <c r="U194" s="485"/>
      <c r="V194" s="485"/>
      <c r="W194" s="485"/>
      <c r="X194" s="485"/>
      <c r="Y194" s="485"/>
      <c r="Z194" s="485"/>
      <c r="AA194" s="487"/>
      <c r="AB194" s="487"/>
      <c r="AC194" s="488">
        <v>14</v>
      </c>
      <c r="AD194" s="488"/>
      <c r="AE194" s="485" t="s">
        <v>2107</v>
      </c>
      <c r="AF194" s="485"/>
      <c r="AG194" s="488">
        <f t="shared" si="4"/>
        <v>0</v>
      </c>
      <c r="AH194" s="488"/>
    </row>
    <row r="195" spans="1:34" ht="24.95" customHeight="1">
      <c r="A195" s="481">
        <v>56</v>
      </c>
      <c r="B195" s="481"/>
      <c r="C195" s="485" t="s">
        <v>2813</v>
      </c>
      <c r="D195" s="485"/>
      <c r="E195" s="485"/>
      <c r="F195" s="485"/>
      <c r="G195" s="485"/>
      <c r="H195" s="485"/>
      <c r="I195" s="485"/>
      <c r="J195" s="485"/>
      <c r="K195" s="485"/>
      <c r="L195" s="485"/>
      <c r="M195" s="485"/>
      <c r="N195" s="485"/>
      <c r="O195" s="485" t="s">
        <v>2814</v>
      </c>
      <c r="P195" s="485"/>
      <c r="Q195" s="485"/>
      <c r="R195" s="485"/>
      <c r="S195" s="485"/>
      <c r="T195" s="485"/>
      <c r="U195" s="485"/>
      <c r="V195" s="485"/>
      <c r="W195" s="485"/>
      <c r="X195" s="485"/>
      <c r="Y195" s="485"/>
      <c r="Z195" s="485"/>
      <c r="AA195" s="487"/>
      <c r="AB195" s="487"/>
      <c r="AC195" s="488">
        <v>18</v>
      </c>
      <c r="AD195" s="488"/>
      <c r="AE195" s="485" t="s">
        <v>2107</v>
      </c>
      <c r="AF195" s="485"/>
      <c r="AG195" s="488">
        <f t="shared" si="4"/>
        <v>0</v>
      </c>
      <c r="AH195" s="488"/>
    </row>
    <row r="196" spans="1:34" ht="24.95" customHeight="1">
      <c r="A196" s="481">
        <v>57</v>
      </c>
      <c r="B196" s="481"/>
      <c r="C196" s="485" t="s">
        <v>2815</v>
      </c>
      <c r="D196" s="485"/>
      <c r="E196" s="485"/>
      <c r="F196" s="485"/>
      <c r="G196" s="485"/>
      <c r="H196" s="485"/>
      <c r="I196" s="485"/>
      <c r="J196" s="485"/>
      <c r="K196" s="485"/>
      <c r="L196" s="485"/>
      <c r="M196" s="485"/>
      <c r="N196" s="485"/>
      <c r="O196" s="485" t="s">
        <v>2816</v>
      </c>
      <c r="P196" s="485"/>
      <c r="Q196" s="485"/>
      <c r="R196" s="485"/>
      <c r="S196" s="485"/>
      <c r="T196" s="485"/>
      <c r="U196" s="485"/>
      <c r="V196" s="485"/>
      <c r="W196" s="485"/>
      <c r="X196" s="485"/>
      <c r="Y196" s="485"/>
      <c r="Z196" s="485"/>
      <c r="AA196" s="487"/>
      <c r="AB196" s="487"/>
      <c r="AC196" s="488">
        <v>2</v>
      </c>
      <c r="AD196" s="488"/>
      <c r="AE196" s="485" t="s">
        <v>2107</v>
      </c>
      <c r="AF196" s="485"/>
      <c r="AG196" s="488">
        <f t="shared" si="4"/>
        <v>0</v>
      </c>
      <c r="AH196" s="488"/>
    </row>
    <row r="197" spans="1:34" ht="24.95" customHeight="1">
      <c r="A197" s="481">
        <v>58</v>
      </c>
      <c r="B197" s="481"/>
      <c r="C197" s="485" t="s">
        <v>2817</v>
      </c>
      <c r="D197" s="485"/>
      <c r="E197" s="485"/>
      <c r="F197" s="485"/>
      <c r="G197" s="485"/>
      <c r="H197" s="485"/>
      <c r="I197" s="485"/>
      <c r="J197" s="485"/>
      <c r="K197" s="485"/>
      <c r="L197" s="485"/>
      <c r="M197" s="485"/>
      <c r="N197" s="485"/>
      <c r="O197" s="485" t="s">
        <v>2818</v>
      </c>
      <c r="P197" s="485"/>
      <c r="Q197" s="485"/>
      <c r="R197" s="485"/>
      <c r="S197" s="485"/>
      <c r="T197" s="485"/>
      <c r="U197" s="485"/>
      <c r="V197" s="485"/>
      <c r="W197" s="485"/>
      <c r="X197" s="485"/>
      <c r="Y197" s="485"/>
      <c r="Z197" s="485"/>
      <c r="AA197" s="487"/>
      <c r="AB197" s="487"/>
      <c r="AC197" s="488">
        <v>3</v>
      </c>
      <c r="AD197" s="488"/>
      <c r="AE197" s="485" t="s">
        <v>2107</v>
      </c>
      <c r="AF197" s="485"/>
      <c r="AG197" s="488">
        <f t="shared" si="4"/>
        <v>0</v>
      </c>
      <c r="AH197" s="488"/>
    </row>
    <row r="198" spans="1:34" ht="24.95" customHeight="1">
      <c r="A198" s="481">
        <v>59</v>
      </c>
      <c r="B198" s="481"/>
      <c r="C198" s="485" t="s">
        <v>2819</v>
      </c>
      <c r="D198" s="485"/>
      <c r="E198" s="485"/>
      <c r="F198" s="485"/>
      <c r="G198" s="485"/>
      <c r="H198" s="485"/>
      <c r="I198" s="485"/>
      <c r="J198" s="485"/>
      <c r="K198" s="485"/>
      <c r="L198" s="485"/>
      <c r="M198" s="485"/>
      <c r="N198" s="485"/>
      <c r="O198" s="485" t="s">
        <v>2820</v>
      </c>
      <c r="P198" s="485"/>
      <c r="Q198" s="485"/>
      <c r="R198" s="485"/>
      <c r="S198" s="485"/>
      <c r="T198" s="485"/>
      <c r="U198" s="485"/>
      <c r="V198" s="485"/>
      <c r="W198" s="485"/>
      <c r="X198" s="485"/>
      <c r="Y198" s="485"/>
      <c r="Z198" s="485"/>
      <c r="AA198" s="487"/>
      <c r="AB198" s="487"/>
      <c r="AC198" s="488">
        <v>3</v>
      </c>
      <c r="AD198" s="488"/>
      <c r="AE198" s="485" t="s">
        <v>2107</v>
      </c>
      <c r="AF198" s="485"/>
      <c r="AG198" s="488">
        <f t="shared" si="4"/>
        <v>0</v>
      </c>
      <c r="AH198" s="488"/>
    </row>
    <row r="199" spans="1:34" ht="35.1" customHeight="1">
      <c r="A199" s="481">
        <v>60</v>
      </c>
      <c r="B199" s="481"/>
      <c r="C199" s="485" t="s">
        <v>2821</v>
      </c>
      <c r="D199" s="485"/>
      <c r="E199" s="485"/>
      <c r="F199" s="485"/>
      <c r="G199" s="485"/>
      <c r="H199" s="485"/>
      <c r="I199" s="485"/>
      <c r="J199" s="485"/>
      <c r="K199" s="485"/>
      <c r="L199" s="485"/>
      <c r="M199" s="485"/>
      <c r="N199" s="485"/>
      <c r="O199" s="486" t="s">
        <v>2822</v>
      </c>
      <c r="P199" s="486"/>
      <c r="Q199" s="486"/>
      <c r="R199" s="486"/>
      <c r="S199" s="486"/>
      <c r="T199" s="486"/>
      <c r="U199" s="486"/>
      <c r="V199" s="486"/>
      <c r="W199" s="486"/>
      <c r="X199" s="486"/>
      <c r="Y199" s="486"/>
      <c r="Z199" s="486"/>
      <c r="AA199" s="487"/>
      <c r="AB199" s="487"/>
      <c r="AC199" s="488">
        <v>71</v>
      </c>
      <c r="AD199" s="488"/>
      <c r="AE199" s="485" t="s">
        <v>2107</v>
      </c>
      <c r="AF199" s="485"/>
      <c r="AG199" s="488">
        <f t="shared" si="4"/>
        <v>0</v>
      </c>
      <c r="AH199" s="488"/>
    </row>
    <row r="200" spans="1:34" ht="24.95" customHeight="1">
      <c r="A200" s="481">
        <v>61</v>
      </c>
      <c r="B200" s="481"/>
      <c r="C200" s="485" t="s">
        <v>2823</v>
      </c>
      <c r="D200" s="485"/>
      <c r="E200" s="485"/>
      <c r="F200" s="485"/>
      <c r="G200" s="485"/>
      <c r="H200" s="485"/>
      <c r="I200" s="485"/>
      <c r="J200" s="485"/>
      <c r="K200" s="485"/>
      <c r="L200" s="485"/>
      <c r="M200" s="485"/>
      <c r="N200" s="485"/>
      <c r="O200" s="485" t="s">
        <v>2824</v>
      </c>
      <c r="P200" s="485"/>
      <c r="Q200" s="485"/>
      <c r="R200" s="485"/>
      <c r="S200" s="485"/>
      <c r="T200" s="485"/>
      <c r="U200" s="485"/>
      <c r="V200" s="485"/>
      <c r="W200" s="485"/>
      <c r="X200" s="485"/>
      <c r="Y200" s="485"/>
      <c r="Z200" s="485"/>
      <c r="AA200" s="487"/>
      <c r="AB200" s="487"/>
      <c r="AC200" s="488">
        <v>3</v>
      </c>
      <c r="AD200" s="488"/>
      <c r="AE200" s="485" t="s">
        <v>2107</v>
      </c>
      <c r="AF200" s="485"/>
      <c r="AG200" s="488">
        <f t="shared" si="4"/>
        <v>0</v>
      </c>
      <c r="AH200" s="488"/>
    </row>
    <row r="201" spans="1:34" ht="24.95" customHeight="1">
      <c r="A201" s="481">
        <v>62</v>
      </c>
      <c r="B201" s="481"/>
      <c r="C201" s="485" t="s">
        <v>2825</v>
      </c>
      <c r="D201" s="485"/>
      <c r="E201" s="485"/>
      <c r="F201" s="485"/>
      <c r="G201" s="485"/>
      <c r="H201" s="485"/>
      <c r="I201" s="485"/>
      <c r="J201" s="485"/>
      <c r="K201" s="485"/>
      <c r="L201" s="485"/>
      <c r="M201" s="485"/>
      <c r="N201" s="485"/>
      <c r="O201" s="485" t="s">
        <v>2826</v>
      </c>
      <c r="P201" s="485"/>
      <c r="Q201" s="485"/>
      <c r="R201" s="485"/>
      <c r="S201" s="485"/>
      <c r="T201" s="485"/>
      <c r="U201" s="485"/>
      <c r="V201" s="485"/>
      <c r="W201" s="485"/>
      <c r="X201" s="485"/>
      <c r="Y201" s="485"/>
      <c r="Z201" s="485"/>
      <c r="AA201" s="487"/>
      <c r="AB201" s="487"/>
      <c r="AC201" s="488">
        <v>8</v>
      </c>
      <c r="AD201" s="488"/>
      <c r="AE201" s="485" t="s">
        <v>2107</v>
      </c>
      <c r="AF201" s="485"/>
      <c r="AG201" s="488">
        <f t="shared" si="4"/>
        <v>0</v>
      </c>
      <c r="AH201" s="488"/>
    </row>
    <row r="202" spans="1:34" ht="24.95" customHeight="1">
      <c r="A202" s="481">
        <v>63</v>
      </c>
      <c r="B202" s="481"/>
      <c r="C202" s="485" t="s">
        <v>2827</v>
      </c>
      <c r="D202" s="485"/>
      <c r="E202" s="485"/>
      <c r="F202" s="485"/>
      <c r="G202" s="485"/>
      <c r="H202" s="485"/>
      <c r="I202" s="485"/>
      <c r="J202" s="485"/>
      <c r="K202" s="485"/>
      <c r="L202" s="485"/>
      <c r="M202" s="485"/>
      <c r="N202" s="485"/>
      <c r="O202" s="485" t="s">
        <v>2828</v>
      </c>
      <c r="P202" s="485"/>
      <c r="Q202" s="485"/>
      <c r="R202" s="485"/>
      <c r="S202" s="485"/>
      <c r="T202" s="485"/>
      <c r="U202" s="485"/>
      <c r="V202" s="485"/>
      <c r="W202" s="485"/>
      <c r="X202" s="485"/>
      <c r="Y202" s="485"/>
      <c r="Z202" s="485"/>
      <c r="AA202" s="487"/>
      <c r="AB202" s="487"/>
      <c r="AC202" s="488">
        <v>6</v>
      </c>
      <c r="AD202" s="488"/>
      <c r="AE202" s="485" t="s">
        <v>2107</v>
      </c>
      <c r="AF202" s="485"/>
      <c r="AG202" s="488">
        <f t="shared" si="4"/>
        <v>0</v>
      </c>
      <c r="AH202" s="488"/>
    </row>
    <row r="203" spans="1:34" ht="24.95" customHeight="1">
      <c r="A203" s="481">
        <v>64</v>
      </c>
      <c r="B203" s="481"/>
      <c r="C203" s="485" t="s">
        <v>2829</v>
      </c>
      <c r="D203" s="485"/>
      <c r="E203" s="485"/>
      <c r="F203" s="485"/>
      <c r="G203" s="485"/>
      <c r="H203" s="485"/>
      <c r="I203" s="485"/>
      <c r="J203" s="485"/>
      <c r="K203" s="485"/>
      <c r="L203" s="485"/>
      <c r="M203" s="485"/>
      <c r="N203" s="485"/>
      <c r="O203" s="485" t="s">
        <v>2830</v>
      </c>
      <c r="P203" s="485"/>
      <c r="Q203" s="485"/>
      <c r="R203" s="485"/>
      <c r="S203" s="485"/>
      <c r="T203" s="485"/>
      <c r="U203" s="485"/>
      <c r="V203" s="485"/>
      <c r="W203" s="485"/>
      <c r="X203" s="485"/>
      <c r="Y203" s="485"/>
      <c r="Z203" s="485"/>
      <c r="AA203" s="487"/>
      <c r="AB203" s="487"/>
      <c r="AC203" s="488">
        <v>17</v>
      </c>
      <c r="AD203" s="488"/>
      <c r="AE203" s="485" t="s">
        <v>2107</v>
      </c>
      <c r="AF203" s="485"/>
      <c r="AG203" s="488">
        <f t="shared" si="4"/>
        <v>0</v>
      </c>
      <c r="AH203" s="488"/>
    </row>
    <row r="204" spans="1:34" ht="24.95" customHeight="1">
      <c r="A204" s="481">
        <v>65</v>
      </c>
      <c r="B204" s="481"/>
      <c r="C204" s="485" t="s">
        <v>2831</v>
      </c>
      <c r="D204" s="485"/>
      <c r="E204" s="485"/>
      <c r="F204" s="485"/>
      <c r="G204" s="485"/>
      <c r="H204" s="485"/>
      <c r="I204" s="485"/>
      <c r="J204" s="485"/>
      <c r="K204" s="485"/>
      <c r="L204" s="485"/>
      <c r="M204" s="485"/>
      <c r="N204" s="485"/>
      <c r="O204" s="485" t="s">
        <v>2832</v>
      </c>
      <c r="P204" s="485"/>
      <c r="Q204" s="485"/>
      <c r="R204" s="485"/>
      <c r="S204" s="485"/>
      <c r="T204" s="485"/>
      <c r="U204" s="485"/>
      <c r="V204" s="485"/>
      <c r="W204" s="485"/>
      <c r="X204" s="485"/>
      <c r="Y204" s="485"/>
      <c r="Z204" s="485"/>
      <c r="AA204" s="487"/>
      <c r="AB204" s="487"/>
      <c r="AC204" s="488">
        <v>14</v>
      </c>
      <c r="AD204" s="488"/>
      <c r="AE204" s="485" t="s">
        <v>2107</v>
      </c>
      <c r="AF204" s="485"/>
      <c r="AG204" s="488">
        <f aca="true" t="shared" si="5" ref="AG204:AG206">SUM(AA204*AC204)</f>
        <v>0</v>
      </c>
      <c r="AH204" s="488"/>
    </row>
    <row r="205" spans="1:34" ht="24.95" customHeight="1">
      <c r="A205" s="481">
        <v>66</v>
      </c>
      <c r="B205" s="481"/>
      <c r="C205" s="485" t="s">
        <v>2833</v>
      </c>
      <c r="D205" s="485"/>
      <c r="E205" s="485"/>
      <c r="F205" s="485"/>
      <c r="G205" s="485"/>
      <c r="H205" s="485"/>
      <c r="I205" s="485"/>
      <c r="J205" s="485"/>
      <c r="K205" s="485"/>
      <c r="L205" s="485"/>
      <c r="M205" s="485"/>
      <c r="N205" s="485"/>
      <c r="O205" s="485" t="s">
        <v>2834</v>
      </c>
      <c r="P205" s="485"/>
      <c r="Q205" s="485"/>
      <c r="R205" s="485"/>
      <c r="S205" s="485"/>
      <c r="T205" s="485"/>
      <c r="U205" s="485"/>
      <c r="V205" s="485"/>
      <c r="W205" s="485"/>
      <c r="X205" s="485"/>
      <c r="Y205" s="485"/>
      <c r="Z205" s="485"/>
      <c r="AA205" s="487"/>
      <c r="AB205" s="487"/>
      <c r="AC205" s="488">
        <v>5</v>
      </c>
      <c r="AD205" s="488"/>
      <c r="AE205" s="485" t="s">
        <v>2107</v>
      </c>
      <c r="AF205" s="485"/>
      <c r="AG205" s="488">
        <f t="shared" si="5"/>
        <v>0</v>
      </c>
      <c r="AH205" s="488"/>
    </row>
    <row r="206" spans="1:34" ht="24.95" customHeight="1">
      <c r="A206" s="481">
        <v>67</v>
      </c>
      <c r="B206" s="481"/>
      <c r="C206" s="485" t="s">
        <v>2835</v>
      </c>
      <c r="D206" s="485"/>
      <c r="E206" s="485"/>
      <c r="F206" s="485"/>
      <c r="G206" s="485"/>
      <c r="H206" s="485"/>
      <c r="I206" s="485"/>
      <c r="J206" s="485"/>
      <c r="K206" s="485"/>
      <c r="L206" s="485"/>
      <c r="M206" s="485"/>
      <c r="N206" s="485"/>
      <c r="O206" s="486" t="s">
        <v>2836</v>
      </c>
      <c r="P206" s="486"/>
      <c r="Q206" s="486"/>
      <c r="R206" s="486"/>
      <c r="S206" s="486"/>
      <c r="T206" s="486"/>
      <c r="U206" s="486"/>
      <c r="V206" s="486"/>
      <c r="W206" s="486"/>
      <c r="X206" s="486"/>
      <c r="Y206" s="486"/>
      <c r="Z206" s="486"/>
      <c r="AA206" s="487"/>
      <c r="AB206" s="487"/>
      <c r="AC206" s="488">
        <v>42</v>
      </c>
      <c r="AD206" s="488"/>
      <c r="AE206" s="485" t="s">
        <v>2107</v>
      </c>
      <c r="AF206" s="485"/>
      <c r="AG206" s="492">
        <f t="shared" si="5"/>
        <v>0</v>
      </c>
      <c r="AH206" s="492"/>
    </row>
    <row r="207" spans="1:37" ht="15" customHeight="1">
      <c r="A207" s="478">
        <f>SUM(AG140:AH206)</f>
        <v>0</v>
      </c>
      <c r="B207" s="479"/>
      <c r="C207" s="479"/>
      <c r="D207" s="479"/>
      <c r="E207" s="479"/>
      <c r="F207" s="479"/>
      <c r="G207" s="479"/>
      <c r="H207" s="479"/>
      <c r="I207" s="479"/>
      <c r="J207" s="479"/>
      <c r="K207" s="479"/>
      <c r="L207" s="479"/>
      <c r="M207" s="479"/>
      <c r="N207" s="479"/>
      <c r="O207" s="479"/>
      <c r="P207" s="479"/>
      <c r="Q207" s="479"/>
      <c r="R207" s="479"/>
      <c r="S207" s="479"/>
      <c r="T207" s="479"/>
      <c r="U207" s="479"/>
      <c r="V207" s="479"/>
      <c r="W207" s="479"/>
      <c r="X207" s="479"/>
      <c r="Y207" s="479"/>
      <c r="Z207" s="479"/>
      <c r="AA207" s="479"/>
      <c r="AB207" s="479"/>
      <c r="AC207" s="479"/>
      <c r="AD207" s="479"/>
      <c r="AE207" s="479"/>
      <c r="AF207" s="479"/>
      <c r="AG207" s="479"/>
      <c r="AH207" s="479"/>
      <c r="AK207" t="s">
        <v>2524</v>
      </c>
    </row>
    <row r="208" spans="1:34" ht="15" customHeight="1">
      <c r="A208" s="481">
        <v>68</v>
      </c>
      <c r="B208" s="481"/>
      <c r="C208" s="485" t="s">
        <v>2837</v>
      </c>
      <c r="D208" s="485"/>
      <c r="E208" s="485"/>
      <c r="F208" s="485"/>
      <c r="G208" s="485"/>
      <c r="H208" s="485"/>
      <c r="I208" s="485"/>
      <c r="J208" s="485"/>
      <c r="K208" s="485"/>
      <c r="L208" s="485"/>
      <c r="M208" s="485"/>
      <c r="N208" s="485"/>
      <c r="O208" s="485" t="s">
        <v>2838</v>
      </c>
      <c r="P208" s="485"/>
      <c r="Q208" s="485"/>
      <c r="R208" s="485"/>
      <c r="S208" s="485"/>
      <c r="T208" s="485"/>
      <c r="U208" s="485"/>
      <c r="V208" s="485"/>
      <c r="W208" s="485"/>
      <c r="X208" s="485"/>
      <c r="Y208" s="485"/>
      <c r="Z208" s="485"/>
      <c r="AA208" s="487"/>
      <c r="AB208" s="487"/>
      <c r="AC208" s="488">
        <v>7</v>
      </c>
      <c r="AD208" s="488"/>
      <c r="AE208" s="485" t="s">
        <v>2727</v>
      </c>
      <c r="AF208" s="485"/>
      <c r="AG208" s="493">
        <f aca="true" t="shared" si="6" ref="AG208:AG224">SUM(AA208*AC208)</f>
        <v>0</v>
      </c>
      <c r="AH208" s="493"/>
    </row>
    <row r="209" spans="1:34" ht="15" customHeight="1">
      <c r="A209" s="481">
        <v>69</v>
      </c>
      <c r="B209" s="481"/>
      <c r="C209" s="485" t="s">
        <v>2839</v>
      </c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 t="s">
        <v>2840</v>
      </c>
      <c r="P209" s="485"/>
      <c r="Q209" s="485"/>
      <c r="R209" s="485"/>
      <c r="S209" s="485"/>
      <c r="T209" s="485"/>
      <c r="U209" s="485"/>
      <c r="V209" s="485"/>
      <c r="W209" s="485"/>
      <c r="X209" s="485"/>
      <c r="Y209" s="485"/>
      <c r="Z209" s="485"/>
      <c r="AA209" s="487"/>
      <c r="AB209" s="487"/>
      <c r="AC209" s="488">
        <v>7</v>
      </c>
      <c r="AD209" s="488"/>
      <c r="AE209" s="485" t="s">
        <v>2727</v>
      </c>
      <c r="AF209" s="485"/>
      <c r="AG209" s="488">
        <f t="shared" si="6"/>
        <v>0</v>
      </c>
      <c r="AH209" s="488"/>
    </row>
    <row r="210" spans="1:34" ht="15" customHeight="1">
      <c r="A210" s="481">
        <v>70</v>
      </c>
      <c r="B210" s="481"/>
      <c r="C210" s="485" t="s">
        <v>2841</v>
      </c>
      <c r="D210" s="485"/>
      <c r="E210" s="485"/>
      <c r="F210" s="485"/>
      <c r="G210" s="485"/>
      <c r="H210" s="485"/>
      <c r="I210" s="485"/>
      <c r="J210" s="485"/>
      <c r="K210" s="485"/>
      <c r="L210" s="485"/>
      <c r="M210" s="485"/>
      <c r="N210" s="485"/>
      <c r="O210" s="485" t="s">
        <v>2842</v>
      </c>
      <c r="P210" s="485"/>
      <c r="Q210" s="485"/>
      <c r="R210" s="485"/>
      <c r="S210" s="485"/>
      <c r="T210" s="485"/>
      <c r="U210" s="485"/>
      <c r="V210" s="485"/>
      <c r="W210" s="485"/>
      <c r="X210" s="485"/>
      <c r="Y210" s="485"/>
      <c r="Z210" s="485"/>
      <c r="AA210" s="487"/>
      <c r="AB210" s="487"/>
      <c r="AC210" s="488">
        <v>20</v>
      </c>
      <c r="AD210" s="488"/>
      <c r="AE210" s="485" t="s">
        <v>2727</v>
      </c>
      <c r="AF210" s="485"/>
      <c r="AG210" s="488">
        <f t="shared" si="6"/>
        <v>0</v>
      </c>
      <c r="AH210" s="488"/>
    </row>
    <row r="211" spans="1:34" ht="15" customHeight="1">
      <c r="A211" s="481">
        <v>71</v>
      </c>
      <c r="B211" s="481"/>
      <c r="C211" s="485" t="s">
        <v>2843</v>
      </c>
      <c r="D211" s="485"/>
      <c r="E211" s="485"/>
      <c r="F211" s="485"/>
      <c r="G211" s="485"/>
      <c r="H211" s="485"/>
      <c r="I211" s="485"/>
      <c r="J211" s="485"/>
      <c r="K211" s="485"/>
      <c r="L211" s="485"/>
      <c r="M211" s="485"/>
      <c r="N211" s="485"/>
      <c r="O211" s="485" t="s">
        <v>2844</v>
      </c>
      <c r="P211" s="485"/>
      <c r="Q211" s="485"/>
      <c r="R211" s="485"/>
      <c r="S211" s="485"/>
      <c r="T211" s="485"/>
      <c r="U211" s="485"/>
      <c r="V211" s="485"/>
      <c r="W211" s="485"/>
      <c r="X211" s="485"/>
      <c r="Y211" s="485"/>
      <c r="Z211" s="485"/>
      <c r="AA211" s="487"/>
      <c r="AB211" s="487"/>
      <c r="AC211" s="488">
        <v>14</v>
      </c>
      <c r="AD211" s="488"/>
      <c r="AE211" s="485" t="s">
        <v>2727</v>
      </c>
      <c r="AF211" s="485"/>
      <c r="AG211" s="488">
        <f t="shared" si="6"/>
        <v>0</v>
      </c>
      <c r="AH211" s="488"/>
    </row>
    <row r="212" spans="1:34" ht="15" customHeight="1">
      <c r="A212" s="481">
        <v>72</v>
      </c>
      <c r="B212" s="481"/>
      <c r="C212" s="485" t="s">
        <v>2845</v>
      </c>
      <c r="D212" s="485"/>
      <c r="E212" s="485"/>
      <c r="F212" s="485"/>
      <c r="G212" s="485"/>
      <c r="H212" s="485"/>
      <c r="I212" s="485"/>
      <c r="J212" s="485"/>
      <c r="K212" s="485"/>
      <c r="L212" s="485"/>
      <c r="M212" s="485"/>
      <c r="N212" s="485"/>
      <c r="O212" s="485" t="s">
        <v>2846</v>
      </c>
      <c r="P212" s="485"/>
      <c r="Q212" s="485"/>
      <c r="R212" s="485"/>
      <c r="S212" s="485"/>
      <c r="T212" s="485"/>
      <c r="U212" s="485"/>
      <c r="V212" s="485"/>
      <c r="W212" s="485"/>
      <c r="X212" s="485"/>
      <c r="Y212" s="485"/>
      <c r="Z212" s="485"/>
      <c r="AA212" s="487"/>
      <c r="AB212" s="487"/>
      <c r="AC212" s="488">
        <v>300</v>
      </c>
      <c r="AD212" s="488"/>
      <c r="AE212" s="485" t="s">
        <v>2727</v>
      </c>
      <c r="AF212" s="485"/>
      <c r="AG212" s="488">
        <f t="shared" si="6"/>
        <v>0</v>
      </c>
      <c r="AH212" s="488"/>
    </row>
    <row r="213" spans="1:34" ht="15" customHeight="1">
      <c r="A213" s="481">
        <v>73</v>
      </c>
      <c r="B213" s="481"/>
      <c r="C213" s="485" t="s">
        <v>2847</v>
      </c>
      <c r="D213" s="485"/>
      <c r="E213" s="485"/>
      <c r="F213" s="485"/>
      <c r="G213" s="485"/>
      <c r="H213" s="485"/>
      <c r="I213" s="485"/>
      <c r="J213" s="485"/>
      <c r="K213" s="485"/>
      <c r="L213" s="485"/>
      <c r="M213" s="485"/>
      <c r="N213" s="485"/>
      <c r="O213" s="485" t="s">
        <v>2848</v>
      </c>
      <c r="P213" s="485"/>
      <c r="Q213" s="485"/>
      <c r="R213" s="485"/>
      <c r="S213" s="485"/>
      <c r="T213" s="485"/>
      <c r="U213" s="485"/>
      <c r="V213" s="485"/>
      <c r="W213" s="485"/>
      <c r="X213" s="485"/>
      <c r="Y213" s="485"/>
      <c r="Z213" s="485"/>
      <c r="AA213" s="487"/>
      <c r="AB213" s="487"/>
      <c r="AC213" s="488">
        <v>7</v>
      </c>
      <c r="AD213" s="488"/>
      <c r="AE213" s="485" t="s">
        <v>2727</v>
      </c>
      <c r="AF213" s="485"/>
      <c r="AG213" s="488">
        <f t="shared" si="6"/>
        <v>0</v>
      </c>
      <c r="AH213" s="488"/>
    </row>
    <row r="214" spans="1:34" ht="15" customHeight="1">
      <c r="A214" s="481">
        <v>74</v>
      </c>
      <c r="B214" s="481"/>
      <c r="C214" s="485" t="s">
        <v>2849</v>
      </c>
      <c r="D214" s="485"/>
      <c r="E214" s="485"/>
      <c r="F214" s="485"/>
      <c r="G214" s="485"/>
      <c r="H214" s="485"/>
      <c r="I214" s="485"/>
      <c r="J214" s="485"/>
      <c r="K214" s="485"/>
      <c r="L214" s="485"/>
      <c r="M214" s="485"/>
      <c r="N214" s="485"/>
      <c r="O214" s="485" t="s">
        <v>2850</v>
      </c>
      <c r="P214" s="485"/>
      <c r="Q214" s="485"/>
      <c r="R214" s="485"/>
      <c r="S214" s="485"/>
      <c r="T214" s="485"/>
      <c r="U214" s="485"/>
      <c r="V214" s="485"/>
      <c r="W214" s="485"/>
      <c r="X214" s="485"/>
      <c r="Y214" s="485"/>
      <c r="Z214" s="485"/>
      <c r="AA214" s="487"/>
      <c r="AB214" s="487"/>
      <c r="AC214" s="488">
        <v>30</v>
      </c>
      <c r="AD214" s="488"/>
      <c r="AE214" s="485" t="s">
        <v>2727</v>
      </c>
      <c r="AF214" s="485"/>
      <c r="AG214" s="488">
        <f t="shared" si="6"/>
        <v>0</v>
      </c>
      <c r="AH214" s="488"/>
    </row>
    <row r="215" spans="1:34" ht="15" customHeight="1">
      <c r="A215" s="481">
        <v>75</v>
      </c>
      <c r="B215" s="481"/>
      <c r="C215" s="485" t="s">
        <v>2851</v>
      </c>
      <c r="D215" s="485"/>
      <c r="E215" s="485"/>
      <c r="F215" s="485"/>
      <c r="G215" s="485"/>
      <c r="H215" s="485"/>
      <c r="I215" s="485"/>
      <c r="J215" s="485"/>
      <c r="K215" s="485"/>
      <c r="L215" s="485"/>
      <c r="M215" s="485"/>
      <c r="N215" s="485"/>
      <c r="O215" s="485" t="s">
        <v>2852</v>
      </c>
      <c r="P215" s="485"/>
      <c r="Q215" s="485"/>
      <c r="R215" s="485"/>
      <c r="S215" s="485"/>
      <c r="T215" s="485"/>
      <c r="U215" s="485"/>
      <c r="V215" s="485"/>
      <c r="W215" s="485"/>
      <c r="X215" s="485"/>
      <c r="Y215" s="485"/>
      <c r="Z215" s="485"/>
      <c r="AA215" s="487"/>
      <c r="AB215" s="487"/>
      <c r="AC215" s="488">
        <v>10</v>
      </c>
      <c r="AD215" s="488"/>
      <c r="AE215" s="485" t="s">
        <v>2727</v>
      </c>
      <c r="AF215" s="485"/>
      <c r="AG215" s="488">
        <f t="shared" si="6"/>
        <v>0</v>
      </c>
      <c r="AH215" s="488"/>
    </row>
    <row r="216" spans="1:34" ht="15" customHeight="1">
      <c r="A216" s="481">
        <v>76</v>
      </c>
      <c r="B216" s="481"/>
      <c r="C216" s="485" t="s">
        <v>2853</v>
      </c>
      <c r="D216" s="485"/>
      <c r="E216" s="485"/>
      <c r="F216" s="485"/>
      <c r="G216" s="485"/>
      <c r="H216" s="485"/>
      <c r="I216" s="485"/>
      <c r="J216" s="485"/>
      <c r="K216" s="485"/>
      <c r="L216" s="485"/>
      <c r="M216" s="485"/>
      <c r="N216" s="485"/>
      <c r="O216" s="485" t="s">
        <v>2854</v>
      </c>
      <c r="P216" s="485"/>
      <c r="Q216" s="485"/>
      <c r="R216" s="485"/>
      <c r="S216" s="485"/>
      <c r="T216" s="485"/>
      <c r="U216" s="485"/>
      <c r="V216" s="485"/>
      <c r="W216" s="485"/>
      <c r="X216" s="485"/>
      <c r="Y216" s="485"/>
      <c r="Z216" s="485"/>
      <c r="AA216" s="487"/>
      <c r="AB216" s="487"/>
      <c r="AC216" s="488">
        <v>5</v>
      </c>
      <c r="AD216" s="488"/>
      <c r="AE216" s="485" t="s">
        <v>2727</v>
      </c>
      <c r="AF216" s="485"/>
      <c r="AG216" s="488">
        <f t="shared" si="6"/>
        <v>0</v>
      </c>
      <c r="AH216" s="488"/>
    </row>
    <row r="217" spans="1:34" ht="15" customHeight="1">
      <c r="A217" s="481">
        <v>77</v>
      </c>
      <c r="B217" s="481"/>
      <c r="C217" s="485" t="s">
        <v>2855</v>
      </c>
      <c r="D217" s="485"/>
      <c r="E217" s="485"/>
      <c r="F217" s="485"/>
      <c r="G217" s="485"/>
      <c r="H217" s="485"/>
      <c r="I217" s="485"/>
      <c r="J217" s="485"/>
      <c r="K217" s="485"/>
      <c r="L217" s="485"/>
      <c r="M217" s="485"/>
      <c r="N217" s="485"/>
      <c r="O217" s="485" t="s">
        <v>2856</v>
      </c>
      <c r="P217" s="485"/>
      <c r="Q217" s="485"/>
      <c r="R217" s="485"/>
      <c r="S217" s="485"/>
      <c r="T217" s="485"/>
      <c r="U217" s="485"/>
      <c r="V217" s="485"/>
      <c r="W217" s="485"/>
      <c r="X217" s="485"/>
      <c r="Y217" s="485"/>
      <c r="Z217" s="485"/>
      <c r="AA217" s="487"/>
      <c r="AB217" s="487"/>
      <c r="AC217" s="488">
        <v>30</v>
      </c>
      <c r="AD217" s="488"/>
      <c r="AE217" s="485" t="s">
        <v>2727</v>
      </c>
      <c r="AF217" s="485"/>
      <c r="AG217" s="488">
        <f t="shared" si="6"/>
        <v>0</v>
      </c>
      <c r="AH217" s="488"/>
    </row>
    <row r="218" spans="1:34" ht="15" customHeight="1">
      <c r="A218" s="481">
        <v>78</v>
      </c>
      <c r="B218" s="481"/>
      <c r="C218" s="485" t="s">
        <v>2855</v>
      </c>
      <c r="D218" s="485"/>
      <c r="E218" s="485"/>
      <c r="F218" s="485"/>
      <c r="G218" s="485"/>
      <c r="H218" s="485"/>
      <c r="I218" s="485"/>
      <c r="J218" s="485"/>
      <c r="K218" s="485"/>
      <c r="L218" s="485"/>
      <c r="M218" s="485"/>
      <c r="N218" s="485"/>
      <c r="O218" s="485" t="s">
        <v>2856</v>
      </c>
      <c r="P218" s="485"/>
      <c r="Q218" s="485"/>
      <c r="R218" s="485"/>
      <c r="S218" s="485"/>
      <c r="T218" s="485"/>
      <c r="U218" s="485"/>
      <c r="V218" s="485"/>
      <c r="W218" s="485"/>
      <c r="X218" s="485"/>
      <c r="Y218" s="485"/>
      <c r="Z218" s="485"/>
      <c r="AA218" s="487"/>
      <c r="AB218" s="487"/>
      <c r="AC218" s="488">
        <v>30</v>
      </c>
      <c r="AD218" s="488"/>
      <c r="AE218" s="485" t="s">
        <v>2727</v>
      </c>
      <c r="AF218" s="485"/>
      <c r="AG218" s="488">
        <f t="shared" si="6"/>
        <v>0</v>
      </c>
      <c r="AH218" s="488"/>
    </row>
    <row r="219" spans="1:34" ht="15" customHeight="1">
      <c r="A219" s="481">
        <v>79</v>
      </c>
      <c r="B219" s="481"/>
      <c r="C219" s="485" t="s">
        <v>2857</v>
      </c>
      <c r="D219" s="485"/>
      <c r="E219" s="485"/>
      <c r="F219" s="485"/>
      <c r="G219" s="485"/>
      <c r="H219" s="485"/>
      <c r="I219" s="485"/>
      <c r="J219" s="485"/>
      <c r="K219" s="485"/>
      <c r="L219" s="485"/>
      <c r="M219" s="485"/>
      <c r="N219" s="485"/>
      <c r="O219" s="485" t="s">
        <v>2858</v>
      </c>
      <c r="P219" s="485"/>
      <c r="Q219" s="485"/>
      <c r="R219" s="485"/>
      <c r="S219" s="485"/>
      <c r="T219" s="485"/>
      <c r="U219" s="485"/>
      <c r="V219" s="485"/>
      <c r="W219" s="485"/>
      <c r="X219" s="485"/>
      <c r="Y219" s="485"/>
      <c r="Z219" s="485"/>
      <c r="AA219" s="487"/>
      <c r="AB219" s="487"/>
      <c r="AC219" s="488">
        <v>50</v>
      </c>
      <c r="AD219" s="488"/>
      <c r="AE219" s="485" t="s">
        <v>2727</v>
      </c>
      <c r="AF219" s="485"/>
      <c r="AG219" s="488">
        <f t="shared" si="6"/>
        <v>0</v>
      </c>
      <c r="AH219" s="488"/>
    </row>
    <row r="220" spans="1:34" ht="15" customHeight="1">
      <c r="A220" s="481">
        <v>80</v>
      </c>
      <c r="B220" s="481"/>
      <c r="C220" s="485" t="s">
        <v>2859</v>
      </c>
      <c r="D220" s="485"/>
      <c r="E220" s="485"/>
      <c r="F220" s="485"/>
      <c r="G220" s="485"/>
      <c r="H220" s="485"/>
      <c r="I220" s="485"/>
      <c r="J220" s="485"/>
      <c r="K220" s="485"/>
      <c r="L220" s="485"/>
      <c r="M220" s="485"/>
      <c r="N220" s="485"/>
      <c r="O220" s="485" t="s">
        <v>2860</v>
      </c>
      <c r="P220" s="485"/>
      <c r="Q220" s="485"/>
      <c r="R220" s="485"/>
      <c r="S220" s="485"/>
      <c r="T220" s="485"/>
      <c r="U220" s="485"/>
      <c r="V220" s="485"/>
      <c r="W220" s="485"/>
      <c r="X220" s="485"/>
      <c r="Y220" s="485"/>
      <c r="Z220" s="485"/>
      <c r="AA220" s="487"/>
      <c r="AB220" s="487"/>
      <c r="AC220" s="488">
        <v>250</v>
      </c>
      <c r="AD220" s="488"/>
      <c r="AE220" s="485" t="s">
        <v>2861</v>
      </c>
      <c r="AF220" s="485"/>
      <c r="AG220" s="488">
        <f t="shared" si="6"/>
        <v>0</v>
      </c>
      <c r="AH220" s="488"/>
    </row>
    <row r="221" spans="1:34" ht="15" customHeight="1">
      <c r="A221" s="481">
        <v>81</v>
      </c>
      <c r="B221" s="481"/>
      <c r="C221" s="485" t="s">
        <v>2862</v>
      </c>
      <c r="D221" s="485"/>
      <c r="E221" s="485"/>
      <c r="F221" s="485"/>
      <c r="G221" s="485"/>
      <c r="H221" s="485"/>
      <c r="I221" s="485"/>
      <c r="J221" s="485"/>
      <c r="K221" s="485"/>
      <c r="L221" s="485"/>
      <c r="M221" s="485"/>
      <c r="N221" s="485"/>
      <c r="O221" s="485" t="s">
        <v>2863</v>
      </c>
      <c r="P221" s="485"/>
      <c r="Q221" s="485"/>
      <c r="R221" s="485"/>
      <c r="S221" s="485"/>
      <c r="T221" s="485"/>
      <c r="U221" s="485"/>
      <c r="V221" s="485"/>
      <c r="W221" s="485"/>
      <c r="X221" s="485"/>
      <c r="Y221" s="485"/>
      <c r="Z221" s="485"/>
      <c r="AA221" s="487"/>
      <c r="AB221" s="487"/>
      <c r="AC221" s="488">
        <v>10</v>
      </c>
      <c r="AD221" s="488"/>
      <c r="AE221" s="485" t="s">
        <v>2727</v>
      </c>
      <c r="AF221" s="485"/>
      <c r="AG221" s="488">
        <f t="shared" si="6"/>
        <v>0</v>
      </c>
      <c r="AH221" s="488"/>
    </row>
    <row r="222" spans="1:34" ht="15" customHeight="1">
      <c r="A222" s="481">
        <v>82</v>
      </c>
      <c r="B222" s="481"/>
      <c r="C222" s="485" t="s">
        <v>2864</v>
      </c>
      <c r="D222" s="485"/>
      <c r="E222" s="485"/>
      <c r="F222" s="485"/>
      <c r="G222" s="485"/>
      <c r="H222" s="485"/>
      <c r="I222" s="485"/>
      <c r="J222" s="485"/>
      <c r="K222" s="485"/>
      <c r="L222" s="485"/>
      <c r="M222" s="485"/>
      <c r="N222" s="485"/>
      <c r="O222" s="485" t="s">
        <v>2865</v>
      </c>
      <c r="P222" s="485"/>
      <c r="Q222" s="485"/>
      <c r="R222" s="485"/>
      <c r="S222" s="485"/>
      <c r="T222" s="485"/>
      <c r="U222" s="485"/>
      <c r="V222" s="485"/>
      <c r="W222" s="485"/>
      <c r="X222" s="485"/>
      <c r="Y222" s="485"/>
      <c r="Z222" s="485"/>
      <c r="AA222" s="487"/>
      <c r="AB222" s="487"/>
      <c r="AC222" s="488">
        <v>10</v>
      </c>
      <c r="AD222" s="488"/>
      <c r="AE222" s="485" t="s">
        <v>2727</v>
      </c>
      <c r="AF222" s="485"/>
      <c r="AG222" s="488">
        <f t="shared" si="6"/>
        <v>0</v>
      </c>
      <c r="AH222" s="488"/>
    </row>
    <row r="223" spans="1:34" ht="15" customHeight="1">
      <c r="A223" s="481">
        <v>83</v>
      </c>
      <c r="B223" s="481"/>
      <c r="C223" s="485" t="s">
        <v>2866</v>
      </c>
      <c r="D223" s="485"/>
      <c r="E223" s="485"/>
      <c r="F223" s="485"/>
      <c r="G223" s="485"/>
      <c r="H223" s="485"/>
      <c r="I223" s="485"/>
      <c r="J223" s="485"/>
      <c r="K223" s="485"/>
      <c r="L223" s="485"/>
      <c r="M223" s="485"/>
      <c r="N223" s="485"/>
      <c r="O223" s="485" t="s">
        <v>2867</v>
      </c>
      <c r="P223" s="485"/>
      <c r="Q223" s="485"/>
      <c r="R223" s="485"/>
      <c r="S223" s="485"/>
      <c r="T223" s="485"/>
      <c r="U223" s="485"/>
      <c r="V223" s="485"/>
      <c r="W223" s="485"/>
      <c r="X223" s="485"/>
      <c r="Y223" s="485"/>
      <c r="Z223" s="485"/>
      <c r="AA223" s="487"/>
      <c r="AB223" s="487"/>
      <c r="AC223" s="488">
        <v>21.88</v>
      </c>
      <c r="AD223" s="488"/>
      <c r="AE223" s="485" t="s">
        <v>2861</v>
      </c>
      <c r="AF223" s="485"/>
      <c r="AG223" s="488">
        <f t="shared" si="6"/>
        <v>0</v>
      </c>
      <c r="AH223" s="488"/>
    </row>
    <row r="224" spans="1:34" ht="15" customHeight="1">
      <c r="A224" s="481">
        <v>84</v>
      </c>
      <c r="B224" s="481"/>
      <c r="C224" s="485" t="s">
        <v>2868</v>
      </c>
      <c r="D224" s="485"/>
      <c r="E224" s="485"/>
      <c r="F224" s="485"/>
      <c r="G224" s="485"/>
      <c r="H224" s="485"/>
      <c r="I224" s="485"/>
      <c r="J224" s="485"/>
      <c r="K224" s="485"/>
      <c r="L224" s="485"/>
      <c r="M224" s="485"/>
      <c r="N224" s="485"/>
      <c r="O224" s="485" t="s">
        <v>2869</v>
      </c>
      <c r="P224" s="485"/>
      <c r="Q224" s="485"/>
      <c r="R224" s="485"/>
      <c r="S224" s="485"/>
      <c r="T224" s="485"/>
      <c r="U224" s="485"/>
      <c r="V224" s="485"/>
      <c r="W224" s="485"/>
      <c r="X224" s="485"/>
      <c r="Y224" s="485"/>
      <c r="Z224" s="485"/>
      <c r="AA224" s="487"/>
      <c r="AB224" s="487"/>
      <c r="AC224" s="488">
        <v>47.3</v>
      </c>
      <c r="AD224" s="488"/>
      <c r="AE224" s="485" t="s">
        <v>2861</v>
      </c>
      <c r="AF224" s="485"/>
      <c r="AG224" s="492">
        <f t="shared" si="6"/>
        <v>0</v>
      </c>
      <c r="AH224" s="492"/>
    </row>
    <row r="225" spans="1:34" ht="15" customHeight="1">
      <c r="A225" s="478">
        <f>SUM(AG208:AH224)</f>
        <v>0</v>
      </c>
      <c r="B225" s="479"/>
      <c r="C225" s="479"/>
      <c r="D225" s="479"/>
      <c r="E225" s="479"/>
      <c r="F225" s="479"/>
      <c r="G225" s="479"/>
      <c r="H225" s="479"/>
      <c r="I225" s="479"/>
      <c r="J225" s="479"/>
      <c r="K225" s="479"/>
      <c r="L225" s="479"/>
      <c r="M225" s="479"/>
      <c r="N225" s="479"/>
      <c r="O225" s="479"/>
      <c r="P225" s="479"/>
      <c r="Q225" s="479"/>
      <c r="R225" s="479"/>
      <c r="S225" s="479"/>
      <c r="T225" s="479"/>
      <c r="U225" s="479"/>
      <c r="V225" s="479"/>
      <c r="W225" s="479"/>
      <c r="X225" s="479"/>
      <c r="Y225" s="479"/>
      <c r="Z225" s="479"/>
      <c r="AA225" s="479"/>
      <c r="AB225" s="479"/>
      <c r="AC225" s="479"/>
      <c r="AD225" s="479"/>
      <c r="AE225" s="479"/>
      <c r="AF225" s="479"/>
      <c r="AG225" s="479"/>
      <c r="AH225" s="479"/>
    </row>
    <row r="226" spans="1:34" ht="15" customHeight="1">
      <c r="A226" s="481">
        <v>85</v>
      </c>
      <c r="B226" s="481"/>
      <c r="C226" s="485" t="s">
        <v>2750</v>
      </c>
      <c r="D226" s="485"/>
      <c r="E226" s="485"/>
      <c r="F226" s="485"/>
      <c r="G226" s="485"/>
      <c r="H226" s="485"/>
      <c r="I226" s="485"/>
      <c r="J226" s="485"/>
      <c r="K226" s="485"/>
      <c r="L226" s="485"/>
      <c r="M226" s="485"/>
      <c r="N226" s="485"/>
      <c r="O226" s="485" t="s">
        <v>2751</v>
      </c>
      <c r="P226" s="485"/>
      <c r="Q226" s="485"/>
      <c r="R226" s="485"/>
      <c r="S226" s="485"/>
      <c r="T226" s="485"/>
      <c r="U226" s="485"/>
      <c r="V226" s="485"/>
      <c r="W226" s="485"/>
      <c r="X226" s="485"/>
      <c r="Y226" s="485"/>
      <c r="Z226" s="485"/>
      <c r="AA226" s="487"/>
      <c r="AB226" s="487"/>
      <c r="AC226" s="488">
        <v>1500</v>
      </c>
      <c r="AD226" s="488"/>
      <c r="AE226" s="485" t="s">
        <v>2190</v>
      </c>
      <c r="AF226" s="485"/>
      <c r="AG226" s="493">
        <f aca="true" t="shared" si="7" ref="AG226:AG236">SUM(AA226*AC226)</f>
        <v>0</v>
      </c>
      <c r="AH226" s="493"/>
    </row>
    <row r="227" spans="1:34" ht="15" customHeight="1">
      <c r="A227" s="481">
        <v>86</v>
      </c>
      <c r="B227" s="481"/>
      <c r="C227" s="485" t="s">
        <v>2752</v>
      </c>
      <c r="D227" s="485"/>
      <c r="E227" s="485"/>
      <c r="F227" s="485"/>
      <c r="G227" s="485"/>
      <c r="H227" s="485"/>
      <c r="I227" s="485"/>
      <c r="J227" s="485"/>
      <c r="K227" s="485"/>
      <c r="L227" s="485"/>
      <c r="M227" s="485"/>
      <c r="N227" s="485"/>
      <c r="O227" s="485" t="s">
        <v>2753</v>
      </c>
      <c r="P227" s="485"/>
      <c r="Q227" s="485"/>
      <c r="R227" s="485"/>
      <c r="S227" s="485"/>
      <c r="T227" s="485"/>
      <c r="U227" s="485"/>
      <c r="V227" s="485"/>
      <c r="W227" s="485"/>
      <c r="X227" s="485"/>
      <c r="Y227" s="485"/>
      <c r="Z227" s="485"/>
      <c r="AA227" s="487"/>
      <c r="AB227" s="487"/>
      <c r="AC227" s="488">
        <v>10</v>
      </c>
      <c r="AD227" s="488"/>
      <c r="AE227" s="485" t="s">
        <v>2727</v>
      </c>
      <c r="AF227" s="485"/>
      <c r="AG227" s="488">
        <f t="shared" si="7"/>
        <v>0</v>
      </c>
      <c r="AH227" s="488"/>
    </row>
    <row r="228" spans="1:34" ht="15" customHeight="1">
      <c r="A228" s="481">
        <v>87</v>
      </c>
      <c r="B228" s="481"/>
      <c r="C228" s="485" t="s">
        <v>2782</v>
      </c>
      <c r="D228" s="485"/>
      <c r="E228" s="485"/>
      <c r="F228" s="485"/>
      <c r="G228" s="485"/>
      <c r="H228" s="485"/>
      <c r="I228" s="485"/>
      <c r="J228" s="485"/>
      <c r="K228" s="485"/>
      <c r="L228" s="485"/>
      <c r="M228" s="485"/>
      <c r="N228" s="485"/>
      <c r="O228" s="485" t="s">
        <v>2783</v>
      </c>
      <c r="P228" s="485"/>
      <c r="Q228" s="485"/>
      <c r="R228" s="485"/>
      <c r="S228" s="485"/>
      <c r="T228" s="485"/>
      <c r="U228" s="485"/>
      <c r="V228" s="485"/>
      <c r="W228" s="485"/>
      <c r="X228" s="485"/>
      <c r="Y228" s="485"/>
      <c r="Z228" s="485"/>
      <c r="AA228" s="487"/>
      <c r="AB228" s="487"/>
      <c r="AC228" s="488">
        <v>25</v>
      </c>
      <c r="AD228" s="488"/>
      <c r="AE228" s="485" t="s">
        <v>2727</v>
      </c>
      <c r="AF228" s="485"/>
      <c r="AG228" s="488">
        <f t="shared" si="7"/>
        <v>0</v>
      </c>
      <c r="AH228" s="488"/>
    </row>
    <row r="229" spans="1:34" ht="15" customHeight="1">
      <c r="A229" s="481">
        <v>88</v>
      </c>
      <c r="B229" s="481"/>
      <c r="C229" s="485" t="s">
        <v>2870</v>
      </c>
      <c r="D229" s="485"/>
      <c r="E229" s="485"/>
      <c r="F229" s="485"/>
      <c r="G229" s="485"/>
      <c r="H229" s="485"/>
      <c r="I229" s="485"/>
      <c r="J229" s="485"/>
      <c r="K229" s="485"/>
      <c r="L229" s="485"/>
      <c r="M229" s="485"/>
      <c r="N229" s="485"/>
      <c r="O229" s="485" t="s">
        <v>2871</v>
      </c>
      <c r="P229" s="485"/>
      <c r="Q229" s="485"/>
      <c r="R229" s="485"/>
      <c r="S229" s="485"/>
      <c r="T229" s="485"/>
      <c r="U229" s="485"/>
      <c r="V229" s="485"/>
      <c r="W229" s="485"/>
      <c r="X229" s="485"/>
      <c r="Y229" s="485"/>
      <c r="Z229" s="485"/>
      <c r="AA229" s="487"/>
      <c r="AB229" s="487"/>
      <c r="AC229" s="488">
        <v>550</v>
      </c>
      <c r="AD229" s="488"/>
      <c r="AE229" s="485" t="s">
        <v>2190</v>
      </c>
      <c r="AF229" s="485"/>
      <c r="AG229" s="488">
        <f t="shared" si="7"/>
        <v>0</v>
      </c>
      <c r="AH229" s="488"/>
    </row>
    <row r="230" spans="1:34" ht="15" customHeight="1">
      <c r="A230" s="481">
        <v>89</v>
      </c>
      <c r="B230" s="481"/>
      <c r="C230" s="485" t="s">
        <v>2784</v>
      </c>
      <c r="D230" s="485"/>
      <c r="E230" s="485"/>
      <c r="F230" s="485"/>
      <c r="G230" s="485"/>
      <c r="H230" s="485"/>
      <c r="I230" s="485"/>
      <c r="J230" s="485"/>
      <c r="K230" s="485"/>
      <c r="L230" s="485"/>
      <c r="M230" s="485"/>
      <c r="N230" s="485"/>
      <c r="O230" s="485" t="s">
        <v>2785</v>
      </c>
      <c r="P230" s="485"/>
      <c r="Q230" s="485"/>
      <c r="R230" s="485"/>
      <c r="S230" s="485"/>
      <c r="T230" s="485"/>
      <c r="U230" s="485"/>
      <c r="V230" s="485"/>
      <c r="W230" s="485"/>
      <c r="X230" s="485"/>
      <c r="Y230" s="485"/>
      <c r="Z230" s="485"/>
      <c r="AA230" s="487"/>
      <c r="AB230" s="487"/>
      <c r="AC230" s="488">
        <v>10</v>
      </c>
      <c r="AD230" s="488"/>
      <c r="AE230" s="485" t="s">
        <v>2727</v>
      </c>
      <c r="AF230" s="485"/>
      <c r="AG230" s="488">
        <f t="shared" si="7"/>
        <v>0</v>
      </c>
      <c r="AH230" s="488"/>
    </row>
    <row r="231" spans="1:34" ht="15" customHeight="1">
      <c r="A231" s="481">
        <v>90</v>
      </c>
      <c r="B231" s="481"/>
      <c r="C231" s="485" t="s">
        <v>2872</v>
      </c>
      <c r="D231" s="485"/>
      <c r="E231" s="485"/>
      <c r="F231" s="485"/>
      <c r="G231" s="485"/>
      <c r="H231" s="485"/>
      <c r="I231" s="485"/>
      <c r="J231" s="485"/>
      <c r="K231" s="485"/>
      <c r="L231" s="485"/>
      <c r="M231" s="485"/>
      <c r="N231" s="485"/>
      <c r="O231" s="485" t="s">
        <v>2873</v>
      </c>
      <c r="P231" s="485"/>
      <c r="Q231" s="485"/>
      <c r="R231" s="485"/>
      <c r="S231" s="485"/>
      <c r="T231" s="485"/>
      <c r="U231" s="485"/>
      <c r="V231" s="485"/>
      <c r="W231" s="485"/>
      <c r="X231" s="485"/>
      <c r="Y231" s="485"/>
      <c r="Z231" s="485"/>
      <c r="AA231" s="487"/>
      <c r="AB231" s="487"/>
      <c r="AC231" s="488">
        <v>20</v>
      </c>
      <c r="AD231" s="488"/>
      <c r="AE231" s="485" t="s">
        <v>2727</v>
      </c>
      <c r="AF231" s="485"/>
      <c r="AG231" s="488">
        <f t="shared" si="7"/>
        <v>0</v>
      </c>
      <c r="AH231" s="488"/>
    </row>
    <row r="232" spans="1:34" ht="15" customHeight="1">
      <c r="A232" s="481">
        <v>91</v>
      </c>
      <c r="B232" s="481"/>
      <c r="C232" s="485" t="s">
        <v>2874</v>
      </c>
      <c r="D232" s="485"/>
      <c r="E232" s="485"/>
      <c r="F232" s="485"/>
      <c r="G232" s="485"/>
      <c r="H232" s="485"/>
      <c r="I232" s="485"/>
      <c r="J232" s="485"/>
      <c r="K232" s="485"/>
      <c r="L232" s="485"/>
      <c r="M232" s="485"/>
      <c r="N232" s="485"/>
      <c r="O232" s="485" t="s">
        <v>2875</v>
      </c>
      <c r="P232" s="485"/>
      <c r="Q232" s="485"/>
      <c r="R232" s="485"/>
      <c r="S232" s="485"/>
      <c r="T232" s="485"/>
      <c r="U232" s="485"/>
      <c r="V232" s="485"/>
      <c r="W232" s="485"/>
      <c r="X232" s="485"/>
      <c r="Y232" s="485"/>
      <c r="Z232" s="485"/>
      <c r="AA232" s="487"/>
      <c r="AB232" s="487"/>
      <c r="AC232" s="488">
        <v>10</v>
      </c>
      <c r="AD232" s="488"/>
      <c r="AE232" s="485" t="s">
        <v>2727</v>
      </c>
      <c r="AF232" s="485"/>
      <c r="AG232" s="488">
        <f t="shared" si="7"/>
        <v>0</v>
      </c>
      <c r="AH232" s="488"/>
    </row>
    <row r="233" spans="1:34" ht="15" customHeight="1">
      <c r="A233" s="481">
        <v>92</v>
      </c>
      <c r="B233" s="481"/>
      <c r="C233" s="485" t="s">
        <v>2799</v>
      </c>
      <c r="D233" s="485"/>
      <c r="E233" s="485"/>
      <c r="F233" s="485"/>
      <c r="G233" s="485"/>
      <c r="H233" s="485"/>
      <c r="I233" s="485"/>
      <c r="J233" s="485"/>
      <c r="K233" s="485"/>
      <c r="L233" s="485"/>
      <c r="M233" s="485"/>
      <c r="N233" s="485"/>
      <c r="O233" s="485" t="s">
        <v>2800</v>
      </c>
      <c r="P233" s="485"/>
      <c r="Q233" s="485"/>
      <c r="R233" s="485"/>
      <c r="S233" s="485"/>
      <c r="T233" s="485"/>
      <c r="U233" s="485"/>
      <c r="V233" s="485"/>
      <c r="W233" s="485"/>
      <c r="X233" s="485"/>
      <c r="Y233" s="485"/>
      <c r="Z233" s="485"/>
      <c r="AA233" s="487"/>
      <c r="AB233" s="487"/>
      <c r="AC233" s="488">
        <v>300</v>
      </c>
      <c r="AD233" s="488"/>
      <c r="AE233" s="485" t="s">
        <v>2216</v>
      </c>
      <c r="AF233" s="485"/>
      <c r="AG233" s="488">
        <f t="shared" si="7"/>
        <v>0</v>
      </c>
      <c r="AH233" s="488"/>
    </row>
    <row r="234" spans="1:34" ht="15" customHeight="1">
      <c r="A234" s="481">
        <v>93</v>
      </c>
      <c r="B234" s="481"/>
      <c r="C234" s="485" t="s">
        <v>2876</v>
      </c>
      <c r="D234" s="485"/>
      <c r="E234" s="485"/>
      <c r="F234" s="485"/>
      <c r="G234" s="485"/>
      <c r="H234" s="485"/>
      <c r="I234" s="485"/>
      <c r="J234" s="485"/>
      <c r="K234" s="485"/>
      <c r="L234" s="485"/>
      <c r="M234" s="485"/>
      <c r="N234" s="485"/>
      <c r="O234" s="485" t="s">
        <v>2877</v>
      </c>
      <c r="P234" s="485"/>
      <c r="Q234" s="485"/>
      <c r="R234" s="485"/>
      <c r="S234" s="485"/>
      <c r="T234" s="485"/>
      <c r="U234" s="485"/>
      <c r="V234" s="485"/>
      <c r="W234" s="485"/>
      <c r="X234" s="485"/>
      <c r="Y234" s="485"/>
      <c r="Z234" s="485"/>
      <c r="AA234" s="487"/>
      <c r="AB234" s="487"/>
      <c r="AC234" s="488">
        <v>2500</v>
      </c>
      <c r="AD234" s="488"/>
      <c r="AE234" s="485" t="s">
        <v>2190</v>
      </c>
      <c r="AF234" s="485"/>
      <c r="AG234" s="488">
        <f t="shared" si="7"/>
        <v>0</v>
      </c>
      <c r="AH234" s="488"/>
    </row>
    <row r="235" spans="1:34" ht="15" customHeight="1">
      <c r="A235" s="481">
        <v>94</v>
      </c>
      <c r="B235" s="481"/>
      <c r="C235" s="485" t="s">
        <v>2805</v>
      </c>
      <c r="D235" s="485"/>
      <c r="E235" s="485"/>
      <c r="F235" s="485"/>
      <c r="G235" s="485"/>
      <c r="H235" s="485"/>
      <c r="I235" s="485"/>
      <c r="J235" s="485"/>
      <c r="K235" s="485"/>
      <c r="L235" s="485"/>
      <c r="M235" s="485"/>
      <c r="N235" s="485"/>
      <c r="O235" s="485" t="s">
        <v>2806</v>
      </c>
      <c r="P235" s="485"/>
      <c r="Q235" s="485"/>
      <c r="R235" s="485"/>
      <c r="S235" s="485"/>
      <c r="T235" s="485"/>
      <c r="U235" s="485"/>
      <c r="V235" s="485"/>
      <c r="W235" s="485"/>
      <c r="X235" s="485"/>
      <c r="Y235" s="485"/>
      <c r="Z235" s="485"/>
      <c r="AA235" s="487"/>
      <c r="AB235" s="487"/>
      <c r="AC235" s="488">
        <v>80</v>
      </c>
      <c r="AD235" s="488"/>
      <c r="AE235" s="485" t="s">
        <v>2727</v>
      </c>
      <c r="AF235" s="485"/>
      <c r="AG235" s="488">
        <f t="shared" si="7"/>
        <v>0</v>
      </c>
      <c r="AH235" s="488"/>
    </row>
    <row r="236" spans="1:34" ht="15" customHeight="1">
      <c r="A236" s="481">
        <v>95</v>
      </c>
      <c r="B236" s="481"/>
      <c r="C236" s="485" t="s">
        <v>2807</v>
      </c>
      <c r="D236" s="485"/>
      <c r="E236" s="485"/>
      <c r="F236" s="485"/>
      <c r="G236" s="485"/>
      <c r="H236" s="485"/>
      <c r="I236" s="485"/>
      <c r="J236" s="485"/>
      <c r="K236" s="485"/>
      <c r="L236" s="485"/>
      <c r="M236" s="485"/>
      <c r="N236" s="485"/>
      <c r="O236" s="485" t="s">
        <v>2808</v>
      </c>
      <c r="P236" s="485"/>
      <c r="Q236" s="485"/>
      <c r="R236" s="485"/>
      <c r="S236" s="485"/>
      <c r="T236" s="485"/>
      <c r="U236" s="485"/>
      <c r="V236" s="485"/>
      <c r="W236" s="485"/>
      <c r="X236" s="485"/>
      <c r="Y236" s="485"/>
      <c r="Z236" s="485"/>
      <c r="AA236" s="487"/>
      <c r="AB236" s="487"/>
      <c r="AC236" s="488">
        <v>10</v>
      </c>
      <c r="AD236" s="488"/>
      <c r="AE236" s="485" t="s">
        <v>2727</v>
      </c>
      <c r="AF236" s="485"/>
      <c r="AG236" s="492">
        <f t="shared" si="7"/>
        <v>0</v>
      </c>
      <c r="AH236" s="492"/>
    </row>
    <row r="237" spans="1:34" ht="15" customHeight="1">
      <c r="A237" s="478">
        <f>SUM(AG226:AH236)</f>
        <v>0</v>
      </c>
      <c r="B237" s="479"/>
      <c r="C237" s="479"/>
      <c r="D237" s="479"/>
      <c r="E237" s="479"/>
      <c r="F237" s="479"/>
      <c r="G237" s="479"/>
      <c r="H237" s="479"/>
      <c r="I237" s="479"/>
      <c r="J237" s="479"/>
      <c r="K237" s="479"/>
      <c r="L237" s="479"/>
      <c r="M237" s="479"/>
      <c r="N237" s="479"/>
      <c r="O237" s="479"/>
      <c r="P237" s="479"/>
      <c r="Q237" s="479"/>
      <c r="R237" s="479"/>
      <c r="S237" s="479"/>
      <c r="T237" s="479"/>
      <c r="U237" s="479"/>
      <c r="V237" s="479"/>
      <c r="W237" s="479"/>
      <c r="X237" s="479"/>
      <c r="Y237" s="479"/>
      <c r="Z237" s="479"/>
      <c r="AA237" s="479"/>
      <c r="AB237" s="479"/>
      <c r="AC237" s="479"/>
      <c r="AD237" s="479"/>
      <c r="AE237" s="479"/>
      <c r="AF237" s="479"/>
      <c r="AG237" s="479"/>
      <c r="AH237" s="479"/>
    </row>
    <row r="238" ht="2.85" customHeight="1"/>
    <row r="239" spans="1:34" ht="11.25" customHeight="1">
      <c r="A239" s="480" t="s">
        <v>2524</v>
      </c>
      <c r="B239" s="480"/>
      <c r="C239" s="480"/>
      <c r="D239" s="480"/>
      <c r="E239" s="480"/>
      <c r="F239" s="480"/>
      <c r="G239" s="480"/>
      <c r="H239" s="480"/>
      <c r="I239" s="480"/>
      <c r="J239" s="480"/>
      <c r="K239" s="480"/>
      <c r="L239" s="480"/>
      <c r="M239" s="480"/>
      <c r="N239" s="480"/>
      <c r="O239" s="480"/>
      <c r="P239" s="480"/>
      <c r="Q239" s="480"/>
      <c r="R239" s="480"/>
      <c r="S239" s="480"/>
      <c r="T239" s="480"/>
      <c r="U239" s="480"/>
      <c r="V239" s="480"/>
      <c r="W239" s="480"/>
      <c r="X239" s="480"/>
      <c r="Y239" s="480"/>
      <c r="Z239" s="480"/>
      <c r="AA239" s="480"/>
      <c r="AB239" s="480"/>
      <c r="AC239" s="480"/>
      <c r="AD239" s="480"/>
      <c r="AE239" s="480"/>
      <c r="AF239" s="480"/>
      <c r="AG239" s="480"/>
      <c r="AH239" s="480"/>
    </row>
    <row r="240" ht="1.5" customHeight="1"/>
    <row r="241" spans="2:34" ht="11.25" customHeight="1">
      <c r="B241" s="481" t="s">
        <v>2524</v>
      </c>
      <c r="C241" s="481"/>
      <c r="E241" s="481" t="s">
        <v>2524</v>
      </c>
      <c r="F241" s="481"/>
      <c r="G241" s="481"/>
      <c r="H241" s="481"/>
      <c r="I241" s="481"/>
      <c r="J241" s="481"/>
      <c r="K241" s="481"/>
      <c r="L241" s="481"/>
      <c r="N241" s="482" t="s">
        <v>2878</v>
      </c>
      <c r="O241" s="482"/>
      <c r="P241" s="482"/>
      <c r="Q241" s="482"/>
      <c r="R241" s="482"/>
      <c r="S241" s="482"/>
      <c r="T241" s="482"/>
      <c r="U241" s="482"/>
      <c r="V241" s="482"/>
      <c r="W241" s="482"/>
      <c r="AH241" s="223">
        <f>SUM(A237+A225+A207)</f>
        <v>0</v>
      </c>
    </row>
    <row r="242" ht="11.45" customHeight="1"/>
    <row r="243" ht="2.85" customHeight="1"/>
    <row r="244" ht="12.75" hidden="1"/>
    <row r="245" spans="1:34" ht="17.1" customHeight="1">
      <c r="A245" s="491" t="s">
        <v>2879</v>
      </c>
      <c r="B245" s="491"/>
      <c r="C245" s="491"/>
      <c r="D245" s="491"/>
      <c r="E245" s="491"/>
      <c r="F245" s="491"/>
      <c r="G245" s="491"/>
      <c r="H245" s="491"/>
      <c r="I245" s="491"/>
      <c r="J245" s="491"/>
      <c r="K245" s="491"/>
      <c r="L245" s="491"/>
      <c r="M245" s="491"/>
      <c r="N245" s="491"/>
      <c r="O245" s="491"/>
      <c r="P245" s="491"/>
      <c r="Q245" s="491"/>
      <c r="R245" s="491"/>
      <c r="S245" s="491"/>
      <c r="T245" s="491"/>
      <c r="U245" s="491"/>
      <c r="V245" s="491"/>
      <c r="W245" s="491"/>
      <c r="X245" s="491"/>
      <c r="Y245" s="491"/>
      <c r="Z245" s="491"/>
      <c r="AA245" s="491"/>
      <c r="AB245" s="491"/>
      <c r="AC245" s="491"/>
      <c r="AD245" s="491"/>
      <c r="AE245" s="491"/>
      <c r="AF245" s="491"/>
      <c r="AG245" s="491"/>
      <c r="AH245" s="491"/>
    </row>
    <row r="246" ht="2.85" customHeight="1"/>
    <row r="247" spans="1:34" ht="11.45" customHeight="1">
      <c r="A247" s="479" t="s">
        <v>2535</v>
      </c>
      <c r="B247" s="479"/>
      <c r="C247" s="490" t="s">
        <v>2536</v>
      </c>
      <c r="D247" s="490"/>
      <c r="E247" s="490"/>
      <c r="F247" s="490"/>
      <c r="G247" s="490"/>
      <c r="H247" s="490"/>
      <c r="I247" s="490"/>
      <c r="J247" s="490"/>
      <c r="K247" s="490"/>
      <c r="L247" s="490"/>
      <c r="M247" s="490"/>
      <c r="N247" s="490"/>
      <c r="O247" s="490" t="s">
        <v>2515</v>
      </c>
      <c r="P247" s="490"/>
      <c r="Q247" s="490"/>
      <c r="R247" s="490"/>
      <c r="S247" s="490"/>
      <c r="T247" s="490"/>
      <c r="U247" s="490"/>
      <c r="V247" s="490"/>
      <c r="W247" s="490"/>
      <c r="X247" s="490"/>
      <c r="Y247" s="490"/>
      <c r="Z247" s="490"/>
      <c r="AA247" s="479" t="s">
        <v>2537</v>
      </c>
      <c r="AB247" s="479"/>
      <c r="AC247" s="479" t="s">
        <v>66</v>
      </c>
      <c r="AD247" s="479"/>
      <c r="AE247" s="490" t="s">
        <v>2538</v>
      </c>
      <c r="AF247" s="490"/>
      <c r="AG247" s="479" t="s">
        <v>2539</v>
      </c>
      <c r="AH247" s="479"/>
    </row>
    <row r="248" spans="1:34" ht="15" customHeight="1">
      <c r="A248" s="481">
        <v>1</v>
      </c>
      <c r="B248" s="481"/>
      <c r="C248" s="485" t="s">
        <v>2880</v>
      </c>
      <c r="D248" s="485"/>
      <c r="E248" s="485"/>
      <c r="F248" s="485"/>
      <c r="G248" s="485"/>
      <c r="H248" s="485"/>
      <c r="I248" s="485"/>
      <c r="J248" s="485"/>
      <c r="K248" s="485"/>
      <c r="L248" s="485"/>
      <c r="M248" s="485"/>
      <c r="N248" s="485"/>
      <c r="O248" s="485" t="s">
        <v>2881</v>
      </c>
      <c r="P248" s="485"/>
      <c r="Q248" s="485"/>
      <c r="R248" s="485"/>
      <c r="S248" s="485"/>
      <c r="T248" s="485"/>
      <c r="U248" s="485"/>
      <c r="V248" s="485"/>
      <c r="W248" s="485"/>
      <c r="X248" s="485"/>
      <c r="Y248" s="485"/>
      <c r="Z248" s="485"/>
      <c r="AA248" s="487"/>
      <c r="AB248" s="487"/>
      <c r="AC248" s="488">
        <v>1</v>
      </c>
      <c r="AD248" s="488"/>
      <c r="AE248" s="485" t="s">
        <v>2107</v>
      </c>
      <c r="AF248" s="485"/>
      <c r="AG248" s="489">
        <f aca="true" t="shared" si="8" ref="AG248">SUM(AA248*AC248)</f>
        <v>0</v>
      </c>
      <c r="AH248" s="489"/>
    </row>
    <row r="249" spans="1:34" ht="15" customHeight="1">
      <c r="A249" s="478">
        <f>SUM(AG248)</f>
        <v>0</v>
      </c>
      <c r="B249" s="479"/>
      <c r="C249" s="479"/>
      <c r="D249" s="479"/>
      <c r="E249" s="479"/>
      <c r="F249" s="479"/>
      <c r="G249" s="479"/>
      <c r="H249" s="479"/>
      <c r="I249" s="479"/>
      <c r="J249" s="479"/>
      <c r="K249" s="479"/>
      <c r="L249" s="479"/>
      <c r="M249" s="479"/>
      <c r="N249" s="479"/>
      <c r="O249" s="479"/>
      <c r="P249" s="479"/>
      <c r="Q249" s="479"/>
      <c r="R249" s="479"/>
      <c r="S249" s="479"/>
      <c r="T249" s="479"/>
      <c r="U249" s="479"/>
      <c r="V249" s="479"/>
      <c r="W249" s="479"/>
      <c r="X249" s="479"/>
      <c r="Y249" s="479"/>
      <c r="Z249" s="479"/>
      <c r="AA249" s="479"/>
      <c r="AB249" s="479"/>
      <c r="AC249" s="479"/>
      <c r="AD249" s="479"/>
      <c r="AE249" s="479"/>
      <c r="AF249" s="479"/>
      <c r="AG249" s="479"/>
      <c r="AH249" s="479"/>
    </row>
    <row r="250" spans="1:34" ht="15" customHeight="1">
      <c r="A250" s="481">
        <v>2</v>
      </c>
      <c r="B250" s="481"/>
      <c r="C250" s="485" t="s">
        <v>2882</v>
      </c>
      <c r="D250" s="485"/>
      <c r="E250" s="485"/>
      <c r="F250" s="485"/>
      <c r="G250" s="485"/>
      <c r="H250" s="485"/>
      <c r="I250" s="485"/>
      <c r="J250" s="485"/>
      <c r="K250" s="485"/>
      <c r="L250" s="485"/>
      <c r="M250" s="485"/>
      <c r="N250" s="485"/>
      <c r="O250" s="486" t="s">
        <v>2883</v>
      </c>
      <c r="P250" s="486"/>
      <c r="Q250" s="486"/>
      <c r="R250" s="486"/>
      <c r="S250" s="486"/>
      <c r="T250" s="486"/>
      <c r="U250" s="486"/>
      <c r="V250" s="486"/>
      <c r="W250" s="486"/>
      <c r="X250" s="486"/>
      <c r="Y250" s="486"/>
      <c r="Z250" s="486"/>
      <c r="AA250" s="487"/>
      <c r="AB250" s="487"/>
      <c r="AC250" s="488">
        <v>1</v>
      </c>
      <c r="AD250" s="488"/>
      <c r="AE250" s="485" t="s">
        <v>225</v>
      </c>
      <c r="AF250" s="485"/>
      <c r="AG250" s="489">
        <f aca="true" t="shared" si="9" ref="AG250">SUM(AA250*AC250)</f>
        <v>0</v>
      </c>
      <c r="AH250" s="489"/>
    </row>
    <row r="251" spans="1:34" ht="15" customHeight="1">
      <c r="A251" s="478">
        <f>SUM(AG250)</f>
        <v>0</v>
      </c>
      <c r="B251" s="479"/>
      <c r="C251" s="479"/>
      <c r="D251" s="479"/>
      <c r="E251" s="479"/>
      <c r="F251" s="479"/>
      <c r="G251" s="479"/>
      <c r="H251" s="479"/>
      <c r="I251" s="479"/>
      <c r="J251" s="479"/>
      <c r="K251" s="479"/>
      <c r="L251" s="479"/>
      <c r="M251" s="479"/>
      <c r="N251" s="479"/>
      <c r="O251" s="479"/>
      <c r="P251" s="479"/>
      <c r="Q251" s="479"/>
      <c r="R251" s="479"/>
      <c r="S251" s="479"/>
      <c r="T251" s="479"/>
      <c r="U251" s="479"/>
      <c r="V251" s="479"/>
      <c r="W251" s="479"/>
      <c r="X251" s="479"/>
      <c r="Y251" s="479"/>
      <c r="Z251" s="479"/>
      <c r="AA251" s="479"/>
      <c r="AB251" s="479"/>
      <c r="AC251" s="479"/>
      <c r="AD251" s="479"/>
      <c r="AE251" s="479"/>
      <c r="AF251" s="479"/>
      <c r="AG251" s="479"/>
      <c r="AH251" s="479"/>
    </row>
    <row r="252" ht="12.75" hidden="1"/>
    <row r="253" ht="2.85" customHeight="1"/>
    <row r="254" spans="1:34" ht="11.25" customHeight="1">
      <c r="A254" s="480" t="s">
        <v>2524</v>
      </c>
      <c r="B254" s="480"/>
      <c r="C254" s="480"/>
      <c r="D254" s="480"/>
      <c r="E254" s="480"/>
      <c r="F254" s="480"/>
      <c r="G254" s="480"/>
      <c r="H254" s="480"/>
      <c r="I254" s="480"/>
      <c r="J254" s="480"/>
      <c r="K254" s="480"/>
      <c r="L254" s="480"/>
      <c r="M254" s="480"/>
      <c r="N254" s="480"/>
      <c r="O254" s="480"/>
      <c r="P254" s="480"/>
      <c r="Q254" s="480"/>
      <c r="R254" s="480"/>
      <c r="S254" s="480"/>
      <c r="T254" s="480"/>
      <c r="U254" s="480"/>
      <c r="V254" s="480"/>
      <c r="W254" s="480"/>
      <c r="X254" s="480"/>
      <c r="Y254" s="480"/>
      <c r="Z254" s="480"/>
      <c r="AA254" s="480"/>
      <c r="AB254" s="480"/>
      <c r="AC254" s="480"/>
      <c r="AD254" s="480"/>
      <c r="AE254" s="480"/>
      <c r="AF254" s="480"/>
      <c r="AG254" s="480"/>
      <c r="AH254" s="480"/>
    </row>
    <row r="255" ht="1.5" customHeight="1"/>
    <row r="256" spans="2:34" ht="11.25" customHeight="1">
      <c r="B256" s="481" t="s">
        <v>2524</v>
      </c>
      <c r="C256" s="481"/>
      <c r="E256" s="481" t="s">
        <v>2524</v>
      </c>
      <c r="F256" s="481"/>
      <c r="G256" s="481"/>
      <c r="H256" s="481"/>
      <c r="I256" s="481"/>
      <c r="J256" s="482" t="s">
        <v>2884</v>
      </c>
      <c r="K256" s="482"/>
      <c r="L256" s="482"/>
      <c r="M256" s="482"/>
      <c r="N256" s="482"/>
      <c r="O256" s="482"/>
      <c r="P256" s="482"/>
      <c r="Q256" s="482"/>
      <c r="R256" s="482"/>
      <c r="S256" s="482"/>
      <c r="T256" s="482"/>
      <c r="AH256" s="223">
        <f>SUM(A251+A249)</f>
        <v>0</v>
      </c>
    </row>
    <row r="257" ht="9.95" customHeight="1"/>
  </sheetData>
  <mergeCells count="1368">
    <mergeCell ref="F1:AG1"/>
    <mergeCell ref="A5:B5"/>
    <mergeCell ref="C5:S5"/>
    <mergeCell ref="T5:U5"/>
    <mergeCell ref="V5:X5"/>
    <mergeCell ref="A6:B6"/>
    <mergeCell ref="C6:S6"/>
    <mergeCell ref="T6:U6"/>
    <mergeCell ref="V6:X6"/>
    <mergeCell ref="G3:Q3"/>
    <mergeCell ref="A11:B11"/>
    <mergeCell ref="C11:S11"/>
    <mergeCell ref="T11:U11"/>
    <mergeCell ref="V11:X11"/>
    <mergeCell ref="A12:B12"/>
    <mergeCell ref="C12:S12"/>
    <mergeCell ref="T12:U12"/>
    <mergeCell ref="V12:X12"/>
    <mergeCell ref="A9:B9"/>
    <mergeCell ref="C9:S9"/>
    <mergeCell ref="T9:U9"/>
    <mergeCell ref="V9:X9"/>
    <mergeCell ref="A10:B10"/>
    <mergeCell ref="C10:S10"/>
    <mergeCell ref="T10:U10"/>
    <mergeCell ref="V10:X10"/>
    <mergeCell ref="A7:B7"/>
    <mergeCell ref="C7:S7"/>
    <mergeCell ref="T7:U7"/>
    <mergeCell ref="V7:X7"/>
    <mergeCell ref="A8:B8"/>
    <mergeCell ref="C8:S8"/>
    <mergeCell ref="T8:U8"/>
    <mergeCell ref="V8:X8"/>
    <mergeCell ref="A17:B17"/>
    <mergeCell ref="C17:S17"/>
    <mergeCell ref="T17:U17"/>
    <mergeCell ref="V17:X17"/>
    <mergeCell ref="A18:B18"/>
    <mergeCell ref="C18:S18"/>
    <mergeCell ref="T18:U18"/>
    <mergeCell ref="V18:X18"/>
    <mergeCell ref="A15:B15"/>
    <mergeCell ref="C15:S15"/>
    <mergeCell ref="T15:U15"/>
    <mergeCell ref="V15:X15"/>
    <mergeCell ref="A16:B16"/>
    <mergeCell ref="C16:S16"/>
    <mergeCell ref="T16:U16"/>
    <mergeCell ref="V16:X16"/>
    <mergeCell ref="A13:B13"/>
    <mergeCell ref="C13:S13"/>
    <mergeCell ref="T13:U13"/>
    <mergeCell ref="V13:X13"/>
    <mergeCell ref="A14:B14"/>
    <mergeCell ref="C14:S14"/>
    <mergeCell ref="T14:U14"/>
    <mergeCell ref="V14:X14"/>
    <mergeCell ref="AG28:AH28"/>
    <mergeCell ref="A29:B29"/>
    <mergeCell ref="C29:N29"/>
    <mergeCell ref="O29:Z29"/>
    <mergeCell ref="AA29:AB29"/>
    <mergeCell ref="AC29:AD29"/>
    <mergeCell ref="AE29:AF29"/>
    <mergeCell ref="AG29:AH29"/>
    <mergeCell ref="A19:B19"/>
    <mergeCell ref="C19:S19"/>
    <mergeCell ref="A23:AH23"/>
    <mergeCell ref="C25:AB25"/>
    <mergeCell ref="A28:B28"/>
    <mergeCell ref="C28:N28"/>
    <mergeCell ref="O28:Z28"/>
    <mergeCell ref="AA28:AB28"/>
    <mergeCell ref="AC28:AD28"/>
    <mergeCell ref="AE28:AF28"/>
    <mergeCell ref="AG32:AH32"/>
    <mergeCell ref="A33:B33"/>
    <mergeCell ref="C33:N33"/>
    <mergeCell ref="O33:Z33"/>
    <mergeCell ref="AA33:AB33"/>
    <mergeCell ref="AC33:AD33"/>
    <mergeCell ref="AE33:AF33"/>
    <mergeCell ref="AG33:AH33"/>
    <mergeCell ref="A32:B32"/>
    <mergeCell ref="C32:N32"/>
    <mergeCell ref="O32:Z32"/>
    <mergeCell ref="AA32:AB32"/>
    <mergeCell ref="AC32:AD32"/>
    <mergeCell ref="AE32:AF32"/>
    <mergeCell ref="AG30:AH30"/>
    <mergeCell ref="A31:B31"/>
    <mergeCell ref="C31:N31"/>
    <mergeCell ref="O31:Z31"/>
    <mergeCell ref="AA31:AB31"/>
    <mergeCell ref="AC31:AD31"/>
    <mergeCell ref="AE31:AF31"/>
    <mergeCell ref="AG31:AH31"/>
    <mergeCell ref="A30:B30"/>
    <mergeCell ref="C30:N30"/>
    <mergeCell ref="O30:Z30"/>
    <mergeCell ref="AA30:AB30"/>
    <mergeCell ref="AC30:AD30"/>
    <mergeCell ref="AE30:AF30"/>
    <mergeCell ref="AG36:AH36"/>
    <mergeCell ref="A37:B37"/>
    <mergeCell ref="C37:N37"/>
    <mergeCell ref="O37:Z37"/>
    <mergeCell ref="AA37:AB37"/>
    <mergeCell ref="AC37:AD37"/>
    <mergeCell ref="AE37:AF37"/>
    <mergeCell ref="AG37:AH37"/>
    <mergeCell ref="A36:B36"/>
    <mergeCell ref="C36:N36"/>
    <mergeCell ref="O36:Z36"/>
    <mergeCell ref="AA36:AB36"/>
    <mergeCell ref="AC36:AD36"/>
    <mergeCell ref="AE36:AF36"/>
    <mergeCell ref="AG34:AH34"/>
    <mergeCell ref="A35:B35"/>
    <mergeCell ref="C35:N35"/>
    <mergeCell ref="O35:Z35"/>
    <mergeCell ref="AA35:AB35"/>
    <mergeCell ref="AC35:AD35"/>
    <mergeCell ref="AE35:AF35"/>
    <mergeCell ref="AG35:AH35"/>
    <mergeCell ref="A34:B34"/>
    <mergeCell ref="C34:N34"/>
    <mergeCell ref="O34:Z34"/>
    <mergeCell ref="AA34:AB34"/>
    <mergeCell ref="AC34:AD34"/>
    <mergeCell ref="AE34:AF34"/>
    <mergeCell ref="AG40:AH40"/>
    <mergeCell ref="A41:B41"/>
    <mergeCell ref="C41:N41"/>
    <mergeCell ref="O41:Z41"/>
    <mergeCell ref="AA41:AB41"/>
    <mergeCell ref="AC41:AD41"/>
    <mergeCell ref="AE41:AF41"/>
    <mergeCell ref="AG41:AH41"/>
    <mergeCell ref="A40:B40"/>
    <mergeCell ref="C40:N40"/>
    <mergeCell ref="O40:Z40"/>
    <mergeCell ref="AA40:AB40"/>
    <mergeCell ref="AC40:AD40"/>
    <mergeCell ref="AE40:AF40"/>
    <mergeCell ref="AG38:AH38"/>
    <mergeCell ref="A39:B39"/>
    <mergeCell ref="C39:N39"/>
    <mergeCell ref="O39:Z39"/>
    <mergeCell ref="AA39:AB39"/>
    <mergeCell ref="AC39:AD39"/>
    <mergeCell ref="AE39:AF39"/>
    <mergeCell ref="AG39:AH39"/>
    <mergeCell ref="A38:B38"/>
    <mergeCell ref="C38:N38"/>
    <mergeCell ref="O38:Z38"/>
    <mergeCell ref="AA38:AB38"/>
    <mergeCell ref="AC38:AD38"/>
    <mergeCell ref="AE38:AF38"/>
    <mergeCell ref="AG44:AH44"/>
    <mergeCell ref="A45:B45"/>
    <mergeCell ref="C45:N45"/>
    <mergeCell ref="O45:Z45"/>
    <mergeCell ref="AA45:AB45"/>
    <mergeCell ref="AC45:AD45"/>
    <mergeCell ref="AE45:AF45"/>
    <mergeCell ref="AG45:AH45"/>
    <mergeCell ref="A44:B44"/>
    <mergeCell ref="C44:N44"/>
    <mergeCell ref="O44:Z44"/>
    <mergeCell ref="AA44:AB44"/>
    <mergeCell ref="AC44:AD44"/>
    <mergeCell ref="AE44:AF44"/>
    <mergeCell ref="AG42:AH42"/>
    <mergeCell ref="A43:B43"/>
    <mergeCell ref="C43:N43"/>
    <mergeCell ref="O43:Z43"/>
    <mergeCell ref="AA43:AB43"/>
    <mergeCell ref="AC43:AD43"/>
    <mergeCell ref="AE43:AF43"/>
    <mergeCell ref="AG43:AH43"/>
    <mergeCell ref="A42:B42"/>
    <mergeCell ref="C42:N42"/>
    <mergeCell ref="O42:Z42"/>
    <mergeCell ref="AA42:AB42"/>
    <mergeCell ref="AC42:AD42"/>
    <mergeCell ref="AE42:AF42"/>
    <mergeCell ref="AG48:AH48"/>
    <mergeCell ref="A49:B49"/>
    <mergeCell ref="C49:N49"/>
    <mergeCell ref="O49:Z49"/>
    <mergeCell ref="AA49:AB49"/>
    <mergeCell ref="AC49:AD49"/>
    <mergeCell ref="AE49:AF49"/>
    <mergeCell ref="AG49:AH49"/>
    <mergeCell ref="A48:B48"/>
    <mergeCell ref="C48:N48"/>
    <mergeCell ref="O48:Z48"/>
    <mergeCell ref="AA48:AB48"/>
    <mergeCell ref="AC48:AD48"/>
    <mergeCell ref="AE48:AF48"/>
    <mergeCell ref="AG46:AH46"/>
    <mergeCell ref="A47:B47"/>
    <mergeCell ref="C47:N47"/>
    <mergeCell ref="O47:Z47"/>
    <mergeCell ref="AA47:AB47"/>
    <mergeCell ref="AC47:AD47"/>
    <mergeCell ref="AE47:AF47"/>
    <mergeCell ref="AG47:AH47"/>
    <mergeCell ref="A46:B46"/>
    <mergeCell ref="C46:N46"/>
    <mergeCell ref="O46:Z46"/>
    <mergeCell ref="AA46:AB46"/>
    <mergeCell ref="AC46:AD46"/>
    <mergeCell ref="AE46:AF46"/>
    <mergeCell ref="AG52:AH52"/>
    <mergeCell ref="A53:B53"/>
    <mergeCell ref="C53:N53"/>
    <mergeCell ref="O53:Z53"/>
    <mergeCell ref="AA53:AB53"/>
    <mergeCell ref="AC53:AD53"/>
    <mergeCell ref="AE53:AF53"/>
    <mergeCell ref="AG53:AH53"/>
    <mergeCell ref="A52:B52"/>
    <mergeCell ref="C52:N52"/>
    <mergeCell ref="O52:Z52"/>
    <mergeCell ref="AA52:AB52"/>
    <mergeCell ref="AC52:AD52"/>
    <mergeCell ref="AE52:AF52"/>
    <mergeCell ref="AG50:AH50"/>
    <mergeCell ref="A51:B51"/>
    <mergeCell ref="C51:N51"/>
    <mergeCell ref="O51:Z51"/>
    <mergeCell ref="AA51:AB51"/>
    <mergeCell ref="AC51:AD51"/>
    <mergeCell ref="AE51:AF51"/>
    <mergeCell ref="AG51:AH51"/>
    <mergeCell ref="A50:B50"/>
    <mergeCell ref="C50:N50"/>
    <mergeCell ref="O50:Z50"/>
    <mergeCell ref="AA50:AB50"/>
    <mergeCell ref="AC50:AD50"/>
    <mergeCell ref="AE50:AF50"/>
    <mergeCell ref="AG56:AH56"/>
    <mergeCell ref="A57:B57"/>
    <mergeCell ref="C57:N57"/>
    <mergeCell ref="O57:Z57"/>
    <mergeCell ref="AA57:AB57"/>
    <mergeCell ref="AC57:AD57"/>
    <mergeCell ref="AE57:AF57"/>
    <mergeCell ref="AG57:AH57"/>
    <mergeCell ref="A56:B56"/>
    <mergeCell ref="C56:N56"/>
    <mergeCell ref="O56:Z56"/>
    <mergeCell ref="AA56:AB56"/>
    <mergeCell ref="AC56:AD56"/>
    <mergeCell ref="AE56:AF56"/>
    <mergeCell ref="AG54:AH54"/>
    <mergeCell ref="A55:B55"/>
    <mergeCell ref="C55:N55"/>
    <mergeCell ref="O55:Z55"/>
    <mergeCell ref="AA55:AB55"/>
    <mergeCell ref="AC55:AD55"/>
    <mergeCell ref="AE55:AF55"/>
    <mergeCell ref="AG55:AH55"/>
    <mergeCell ref="A54:B54"/>
    <mergeCell ref="C54:N54"/>
    <mergeCell ref="O54:Z54"/>
    <mergeCell ref="AA54:AB54"/>
    <mergeCell ref="AC54:AD54"/>
    <mergeCell ref="AE54:AF54"/>
    <mergeCell ref="AG60:AH60"/>
    <mergeCell ref="A61:B61"/>
    <mergeCell ref="C61:N61"/>
    <mergeCell ref="O61:Z61"/>
    <mergeCell ref="AA61:AB61"/>
    <mergeCell ref="AC61:AD61"/>
    <mergeCell ref="AE61:AF61"/>
    <mergeCell ref="AG61:AH61"/>
    <mergeCell ref="A60:B60"/>
    <mergeCell ref="C60:N60"/>
    <mergeCell ref="O60:Z60"/>
    <mergeCell ref="AA60:AB60"/>
    <mergeCell ref="AC60:AD60"/>
    <mergeCell ref="AE60:AF60"/>
    <mergeCell ref="AG58:AH58"/>
    <mergeCell ref="A59:B59"/>
    <mergeCell ref="C59:N59"/>
    <mergeCell ref="O59:Z59"/>
    <mergeCell ref="AA59:AB59"/>
    <mergeCell ref="AC59:AD59"/>
    <mergeCell ref="AE59:AF59"/>
    <mergeCell ref="AG59:AH59"/>
    <mergeCell ref="A58:B58"/>
    <mergeCell ref="C58:N58"/>
    <mergeCell ref="O58:Z58"/>
    <mergeCell ref="AA58:AB58"/>
    <mergeCell ref="AC58:AD58"/>
    <mergeCell ref="AE58:AF58"/>
    <mergeCell ref="AG64:AH64"/>
    <mergeCell ref="A65:B65"/>
    <mergeCell ref="C65:N65"/>
    <mergeCell ref="O65:Z65"/>
    <mergeCell ref="AA65:AB65"/>
    <mergeCell ref="AC65:AD65"/>
    <mergeCell ref="AE65:AF65"/>
    <mergeCell ref="AG65:AH65"/>
    <mergeCell ref="A64:B64"/>
    <mergeCell ref="C64:N64"/>
    <mergeCell ref="O64:Z64"/>
    <mergeCell ref="AA64:AB64"/>
    <mergeCell ref="AC64:AD64"/>
    <mergeCell ref="AE64:AF64"/>
    <mergeCell ref="AG62:AH62"/>
    <mergeCell ref="A63:B63"/>
    <mergeCell ref="C63:N63"/>
    <mergeCell ref="O63:Z63"/>
    <mergeCell ref="AA63:AB63"/>
    <mergeCell ref="AC63:AD63"/>
    <mergeCell ref="AE63:AF63"/>
    <mergeCell ref="AG63:AH63"/>
    <mergeCell ref="A62:B62"/>
    <mergeCell ref="C62:N62"/>
    <mergeCell ref="O62:Z62"/>
    <mergeCell ref="AA62:AB62"/>
    <mergeCell ref="AC62:AD62"/>
    <mergeCell ref="AE62:AF62"/>
    <mergeCell ref="AG68:AH68"/>
    <mergeCell ref="A69:B69"/>
    <mergeCell ref="C69:N69"/>
    <mergeCell ref="O69:Z69"/>
    <mergeCell ref="AA69:AB69"/>
    <mergeCell ref="AC69:AD69"/>
    <mergeCell ref="AE69:AF69"/>
    <mergeCell ref="AG69:AH69"/>
    <mergeCell ref="A68:B68"/>
    <mergeCell ref="C68:N68"/>
    <mergeCell ref="O68:Z68"/>
    <mergeCell ref="AA68:AB68"/>
    <mergeCell ref="AC68:AD68"/>
    <mergeCell ref="AE68:AF68"/>
    <mergeCell ref="AG66:AH66"/>
    <mergeCell ref="A67:B67"/>
    <mergeCell ref="C67:N67"/>
    <mergeCell ref="O67:Z67"/>
    <mergeCell ref="AA67:AB67"/>
    <mergeCell ref="AC67:AD67"/>
    <mergeCell ref="AE67:AF67"/>
    <mergeCell ref="AG67:AH67"/>
    <mergeCell ref="A66:B66"/>
    <mergeCell ref="C66:N66"/>
    <mergeCell ref="O66:Z66"/>
    <mergeCell ref="AA66:AB66"/>
    <mergeCell ref="AC66:AD66"/>
    <mergeCell ref="AE66:AF66"/>
    <mergeCell ref="AG72:AH72"/>
    <mergeCell ref="A73:B73"/>
    <mergeCell ref="C73:N73"/>
    <mergeCell ref="O73:Z73"/>
    <mergeCell ref="AA73:AB73"/>
    <mergeCell ref="AC73:AD73"/>
    <mergeCell ref="AE73:AF73"/>
    <mergeCell ref="AG73:AH73"/>
    <mergeCell ref="A72:B72"/>
    <mergeCell ref="C72:N72"/>
    <mergeCell ref="O72:Z72"/>
    <mergeCell ref="AA72:AB72"/>
    <mergeCell ref="AC72:AD72"/>
    <mergeCell ref="AE72:AF72"/>
    <mergeCell ref="AG70:AH70"/>
    <mergeCell ref="A71:B71"/>
    <mergeCell ref="C71:N71"/>
    <mergeCell ref="O71:Z71"/>
    <mergeCell ref="AA71:AB71"/>
    <mergeCell ref="AC71:AD71"/>
    <mergeCell ref="AE71:AF71"/>
    <mergeCell ref="AG71:AH71"/>
    <mergeCell ref="A70:B70"/>
    <mergeCell ref="C70:N70"/>
    <mergeCell ref="O70:Z70"/>
    <mergeCell ref="AA70:AB70"/>
    <mergeCell ref="AC70:AD70"/>
    <mergeCell ref="AE70:AF70"/>
    <mergeCell ref="AG76:AH76"/>
    <mergeCell ref="A77:B77"/>
    <mergeCell ref="C77:N77"/>
    <mergeCell ref="O77:Z77"/>
    <mergeCell ref="AA77:AB77"/>
    <mergeCell ref="AC77:AD77"/>
    <mergeCell ref="AE77:AF77"/>
    <mergeCell ref="AG77:AH77"/>
    <mergeCell ref="A76:B76"/>
    <mergeCell ref="C76:N76"/>
    <mergeCell ref="O76:Z76"/>
    <mergeCell ref="AA76:AB76"/>
    <mergeCell ref="AC76:AD76"/>
    <mergeCell ref="AE76:AF76"/>
    <mergeCell ref="AG74:AH74"/>
    <mergeCell ref="A75:B75"/>
    <mergeCell ref="C75:N75"/>
    <mergeCell ref="O75:Z75"/>
    <mergeCell ref="AA75:AB75"/>
    <mergeCell ref="AC75:AD75"/>
    <mergeCell ref="AE75:AF75"/>
    <mergeCell ref="AG75:AH75"/>
    <mergeCell ref="A74:B74"/>
    <mergeCell ref="C74:N74"/>
    <mergeCell ref="O74:Z74"/>
    <mergeCell ref="AA74:AB74"/>
    <mergeCell ref="AC74:AD74"/>
    <mergeCell ref="AE74:AF74"/>
    <mergeCell ref="A80:AH80"/>
    <mergeCell ref="A86:AH86"/>
    <mergeCell ref="A88:B88"/>
    <mergeCell ref="C88:N88"/>
    <mergeCell ref="O88:Z88"/>
    <mergeCell ref="AA88:AB88"/>
    <mergeCell ref="AC88:AD88"/>
    <mergeCell ref="AE88:AF88"/>
    <mergeCell ref="AG88:AH88"/>
    <mergeCell ref="AG78:AH78"/>
    <mergeCell ref="A79:B79"/>
    <mergeCell ref="C79:N79"/>
    <mergeCell ref="O79:Z79"/>
    <mergeCell ref="AA79:AB79"/>
    <mergeCell ref="AC79:AD79"/>
    <mergeCell ref="AE79:AF79"/>
    <mergeCell ref="AG79:AH79"/>
    <mergeCell ref="A78:B78"/>
    <mergeCell ref="C78:N78"/>
    <mergeCell ref="O78:Z78"/>
    <mergeCell ref="AA78:AB78"/>
    <mergeCell ref="AC78:AD78"/>
    <mergeCell ref="AE78:AF78"/>
    <mergeCell ref="AG91:AH91"/>
    <mergeCell ref="A92:B92"/>
    <mergeCell ref="C92:N92"/>
    <mergeCell ref="O92:Z92"/>
    <mergeCell ref="AA92:AB92"/>
    <mergeCell ref="AC92:AD92"/>
    <mergeCell ref="AE92:AF92"/>
    <mergeCell ref="AG92:AH92"/>
    <mergeCell ref="A91:B91"/>
    <mergeCell ref="C91:N91"/>
    <mergeCell ref="O91:Z91"/>
    <mergeCell ref="AA91:AB91"/>
    <mergeCell ref="AC91:AD91"/>
    <mergeCell ref="AE91:AF91"/>
    <mergeCell ref="AG89:AH89"/>
    <mergeCell ref="A90:B90"/>
    <mergeCell ref="C90:N90"/>
    <mergeCell ref="O90:Z90"/>
    <mergeCell ref="AA90:AB90"/>
    <mergeCell ref="AC90:AD90"/>
    <mergeCell ref="AE90:AF90"/>
    <mergeCell ref="AG90:AH90"/>
    <mergeCell ref="A89:B89"/>
    <mergeCell ref="C89:N89"/>
    <mergeCell ref="O89:Z89"/>
    <mergeCell ref="AA89:AB89"/>
    <mergeCell ref="AC89:AD89"/>
    <mergeCell ref="AE89:AF89"/>
    <mergeCell ref="AG95:AH95"/>
    <mergeCell ref="A96:B96"/>
    <mergeCell ref="C96:N96"/>
    <mergeCell ref="O96:Z96"/>
    <mergeCell ref="AA96:AB96"/>
    <mergeCell ref="AC96:AD96"/>
    <mergeCell ref="AE96:AF96"/>
    <mergeCell ref="AG96:AH96"/>
    <mergeCell ref="A95:B95"/>
    <mergeCell ref="C95:N95"/>
    <mergeCell ref="O95:Z95"/>
    <mergeCell ref="AA95:AB95"/>
    <mergeCell ref="AC95:AD95"/>
    <mergeCell ref="AE95:AF95"/>
    <mergeCell ref="AG93:AH93"/>
    <mergeCell ref="A94:B94"/>
    <mergeCell ref="C94:N94"/>
    <mergeCell ref="O94:Z94"/>
    <mergeCell ref="AA94:AB94"/>
    <mergeCell ref="AC94:AD94"/>
    <mergeCell ref="AE94:AF94"/>
    <mergeCell ref="AG94:AH94"/>
    <mergeCell ref="A93:B93"/>
    <mergeCell ref="C93:N93"/>
    <mergeCell ref="O93:Z93"/>
    <mergeCell ref="AA93:AB93"/>
    <mergeCell ref="AC93:AD93"/>
    <mergeCell ref="AE93:AF93"/>
    <mergeCell ref="AG99:AH99"/>
    <mergeCell ref="A100:B100"/>
    <mergeCell ref="C100:N100"/>
    <mergeCell ref="O100:Z100"/>
    <mergeCell ref="AA100:AB100"/>
    <mergeCell ref="AC100:AD100"/>
    <mergeCell ref="AE100:AF100"/>
    <mergeCell ref="AG100:AH100"/>
    <mergeCell ref="A99:B99"/>
    <mergeCell ref="C99:N99"/>
    <mergeCell ref="O99:Z99"/>
    <mergeCell ref="AA99:AB99"/>
    <mergeCell ref="AC99:AD99"/>
    <mergeCell ref="AE99:AF99"/>
    <mergeCell ref="AG97:AH97"/>
    <mergeCell ref="A98:B98"/>
    <mergeCell ref="C98:N98"/>
    <mergeCell ref="O98:Z98"/>
    <mergeCell ref="AA98:AB98"/>
    <mergeCell ref="AC98:AD98"/>
    <mergeCell ref="AE98:AF98"/>
    <mergeCell ref="AG98:AH98"/>
    <mergeCell ref="A97:B97"/>
    <mergeCell ref="C97:N97"/>
    <mergeCell ref="O97:Z97"/>
    <mergeCell ref="AA97:AB97"/>
    <mergeCell ref="AC97:AD97"/>
    <mergeCell ref="AE97:AF97"/>
    <mergeCell ref="AG103:AH103"/>
    <mergeCell ref="A104:B104"/>
    <mergeCell ref="C104:N104"/>
    <mergeCell ref="O104:Z104"/>
    <mergeCell ref="AA104:AB104"/>
    <mergeCell ref="AC104:AD104"/>
    <mergeCell ref="AE104:AF104"/>
    <mergeCell ref="AG104:AH104"/>
    <mergeCell ref="A103:B103"/>
    <mergeCell ref="C103:N103"/>
    <mergeCell ref="O103:Z103"/>
    <mergeCell ref="AA103:AB103"/>
    <mergeCell ref="AC103:AD103"/>
    <mergeCell ref="AE103:AF103"/>
    <mergeCell ref="AG101:AH101"/>
    <mergeCell ref="A102:B102"/>
    <mergeCell ref="C102:N102"/>
    <mergeCell ref="O102:Z102"/>
    <mergeCell ref="AA102:AB102"/>
    <mergeCell ref="AC102:AD102"/>
    <mergeCell ref="AE102:AF102"/>
    <mergeCell ref="AG102:AH102"/>
    <mergeCell ref="A101:B101"/>
    <mergeCell ref="C101:N101"/>
    <mergeCell ref="O101:Z101"/>
    <mergeCell ref="AA101:AB101"/>
    <mergeCell ref="AC101:AD101"/>
    <mergeCell ref="AE101:AF101"/>
    <mergeCell ref="A107:AH107"/>
    <mergeCell ref="A111:AH111"/>
    <mergeCell ref="A113:B113"/>
    <mergeCell ref="C113:N113"/>
    <mergeCell ref="O113:Z113"/>
    <mergeCell ref="AA113:AB113"/>
    <mergeCell ref="AC113:AD113"/>
    <mergeCell ref="AE113:AF113"/>
    <mergeCell ref="AG113:AH113"/>
    <mergeCell ref="AG105:AH105"/>
    <mergeCell ref="A106:B106"/>
    <mergeCell ref="C106:N106"/>
    <mergeCell ref="O106:Z106"/>
    <mergeCell ref="AA106:AB106"/>
    <mergeCell ref="AC106:AD106"/>
    <mergeCell ref="AE106:AF106"/>
    <mergeCell ref="AG106:AH106"/>
    <mergeCell ref="A105:B105"/>
    <mergeCell ref="C105:N105"/>
    <mergeCell ref="O105:Z105"/>
    <mergeCell ref="AA105:AB105"/>
    <mergeCell ref="AC105:AD105"/>
    <mergeCell ref="AE105:AF105"/>
    <mergeCell ref="AG116:AH116"/>
    <mergeCell ref="A117:B117"/>
    <mergeCell ref="C117:N117"/>
    <mergeCell ref="O117:Z117"/>
    <mergeCell ref="AA117:AB117"/>
    <mergeCell ref="AC117:AD117"/>
    <mergeCell ref="AE117:AF117"/>
    <mergeCell ref="AG117:AH117"/>
    <mergeCell ref="A116:B116"/>
    <mergeCell ref="C116:N116"/>
    <mergeCell ref="O116:Z116"/>
    <mergeCell ref="AA116:AB116"/>
    <mergeCell ref="AC116:AD116"/>
    <mergeCell ref="AE116:AF116"/>
    <mergeCell ref="AG114:AH114"/>
    <mergeCell ref="A115:B115"/>
    <mergeCell ref="C115:N115"/>
    <mergeCell ref="O115:Z115"/>
    <mergeCell ref="AA115:AB115"/>
    <mergeCell ref="AC115:AD115"/>
    <mergeCell ref="AE115:AF115"/>
    <mergeCell ref="AG115:AH115"/>
    <mergeCell ref="A114:B114"/>
    <mergeCell ref="C114:N114"/>
    <mergeCell ref="O114:Z114"/>
    <mergeCell ref="AA114:AB114"/>
    <mergeCell ref="AC114:AD114"/>
    <mergeCell ref="AE114:AF114"/>
    <mergeCell ref="AG120:AH120"/>
    <mergeCell ref="A121:B121"/>
    <mergeCell ref="C121:N121"/>
    <mergeCell ref="O121:Z121"/>
    <mergeCell ref="AA121:AB121"/>
    <mergeCell ref="AC121:AD121"/>
    <mergeCell ref="AE121:AF121"/>
    <mergeCell ref="AG121:AH121"/>
    <mergeCell ref="A120:B120"/>
    <mergeCell ref="C120:N120"/>
    <mergeCell ref="O120:Z120"/>
    <mergeCell ref="AA120:AB120"/>
    <mergeCell ref="AC120:AD120"/>
    <mergeCell ref="AE120:AF120"/>
    <mergeCell ref="AG118:AH118"/>
    <mergeCell ref="A119:B119"/>
    <mergeCell ref="C119:N119"/>
    <mergeCell ref="O119:Z119"/>
    <mergeCell ref="AA119:AB119"/>
    <mergeCell ref="AC119:AD119"/>
    <mergeCell ref="AE119:AF119"/>
    <mergeCell ref="AG119:AH119"/>
    <mergeCell ref="A118:B118"/>
    <mergeCell ref="C118:N118"/>
    <mergeCell ref="O118:Z118"/>
    <mergeCell ref="AA118:AB118"/>
    <mergeCell ref="AC118:AD118"/>
    <mergeCell ref="AE118:AF118"/>
    <mergeCell ref="AG131:AH131"/>
    <mergeCell ref="A132:B132"/>
    <mergeCell ref="C132:N132"/>
    <mergeCell ref="O132:Z132"/>
    <mergeCell ref="AA132:AB132"/>
    <mergeCell ref="AC132:AD132"/>
    <mergeCell ref="AE132:AF132"/>
    <mergeCell ref="AG132:AH132"/>
    <mergeCell ref="A131:B131"/>
    <mergeCell ref="C131:N131"/>
    <mergeCell ref="O131:Z131"/>
    <mergeCell ref="AA131:AB131"/>
    <mergeCell ref="AC131:AD131"/>
    <mergeCell ref="AE131:AF131"/>
    <mergeCell ref="AG122:AH122"/>
    <mergeCell ref="A123:AH123"/>
    <mergeCell ref="A128:AH128"/>
    <mergeCell ref="A130:B130"/>
    <mergeCell ref="C130:N130"/>
    <mergeCell ref="O130:Z130"/>
    <mergeCell ref="AA130:AB130"/>
    <mergeCell ref="AC130:AD130"/>
    <mergeCell ref="AE130:AF130"/>
    <mergeCell ref="AG130:AH130"/>
    <mergeCell ref="A122:B122"/>
    <mergeCell ref="C122:N122"/>
    <mergeCell ref="O122:Z122"/>
    <mergeCell ref="AA122:AB122"/>
    <mergeCell ref="AC122:AD122"/>
    <mergeCell ref="AE122:AF122"/>
    <mergeCell ref="AG140:AH140"/>
    <mergeCell ref="A141:B141"/>
    <mergeCell ref="C141:N141"/>
    <mergeCell ref="O141:Z141"/>
    <mergeCell ref="AA141:AB141"/>
    <mergeCell ref="AC141:AD141"/>
    <mergeCell ref="AE141:AF141"/>
    <mergeCell ref="AG141:AH141"/>
    <mergeCell ref="A140:B140"/>
    <mergeCell ref="C140:N140"/>
    <mergeCell ref="O140:Z140"/>
    <mergeCell ref="AA140:AB140"/>
    <mergeCell ref="AC140:AD140"/>
    <mergeCell ref="AE140:AF140"/>
    <mergeCell ref="A133:AH133"/>
    <mergeCell ref="A137:AH137"/>
    <mergeCell ref="A139:B139"/>
    <mergeCell ref="C139:N139"/>
    <mergeCell ref="O139:Z139"/>
    <mergeCell ref="AA139:AB139"/>
    <mergeCell ref="AC139:AD139"/>
    <mergeCell ref="AE139:AF139"/>
    <mergeCell ref="AG139:AH139"/>
    <mergeCell ref="AG144:AH144"/>
    <mergeCell ref="A145:B145"/>
    <mergeCell ref="C145:N145"/>
    <mergeCell ref="O145:Z145"/>
    <mergeCell ref="AA145:AB145"/>
    <mergeCell ref="AC145:AD145"/>
    <mergeCell ref="AE145:AF145"/>
    <mergeCell ref="AG145:AH145"/>
    <mergeCell ref="A144:B144"/>
    <mergeCell ref="C144:N144"/>
    <mergeCell ref="O144:Z144"/>
    <mergeCell ref="AA144:AB144"/>
    <mergeCell ref="AC144:AD144"/>
    <mergeCell ref="AE144:AF144"/>
    <mergeCell ref="AG142:AH142"/>
    <mergeCell ref="A143:B143"/>
    <mergeCell ref="C143:N143"/>
    <mergeCell ref="O143:Z143"/>
    <mergeCell ref="AA143:AB143"/>
    <mergeCell ref="AC143:AD143"/>
    <mergeCell ref="AE143:AF143"/>
    <mergeCell ref="AG143:AH143"/>
    <mergeCell ref="A142:B142"/>
    <mergeCell ref="C142:N142"/>
    <mergeCell ref="O142:Z142"/>
    <mergeCell ref="AA142:AB142"/>
    <mergeCell ref="AC142:AD142"/>
    <mergeCell ref="AE142:AF142"/>
    <mergeCell ref="AG148:AH148"/>
    <mergeCell ref="A149:B149"/>
    <mergeCell ref="C149:N149"/>
    <mergeCell ref="O149:Z149"/>
    <mergeCell ref="AA149:AB149"/>
    <mergeCell ref="AC149:AD149"/>
    <mergeCell ref="AE149:AF149"/>
    <mergeCell ref="AG149:AH149"/>
    <mergeCell ref="A148:B148"/>
    <mergeCell ref="C148:N148"/>
    <mergeCell ref="O148:Z148"/>
    <mergeCell ref="AA148:AB148"/>
    <mergeCell ref="AC148:AD148"/>
    <mergeCell ref="AE148:AF148"/>
    <mergeCell ref="AG146:AH146"/>
    <mergeCell ref="A147:B147"/>
    <mergeCell ref="C147:N147"/>
    <mergeCell ref="O147:Z147"/>
    <mergeCell ref="AA147:AB147"/>
    <mergeCell ref="AC147:AD147"/>
    <mergeCell ref="AE147:AF147"/>
    <mergeCell ref="AG147:AH147"/>
    <mergeCell ref="A146:B146"/>
    <mergeCell ref="C146:N146"/>
    <mergeCell ref="O146:Z146"/>
    <mergeCell ref="AA146:AB146"/>
    <mergeCell ref="AC146:AD146"/>
    <mergeCell ref="AE146:AF146"/>
    <mergeCell ref="AG152:AH152"/>
    <mergeCell ref="A153:B153"/>
    <mergeCell ref="C153:N153"/>
    <mergeCell ref="O153:Z153"/>
    <mergeCell ref="AA153:AB153"/>
    <mergeCell ref="AC153:AD153"/>
    <mergeCell ref="AE153:AF153"/>
    <mergeCell ref="AG153:AH153"/>
    <mergeCell ref="A152:B152"/>
    <mergeCell ref="C152:N152"/>
    <mergeCell ref="O152:Z152"/>
    <mergeCell ref="AA152:AB152"/>
    <mergeCell ref="AC152:AD152"/>
    <mergeCell ref="AE152:AF152"/>
    <mergeCell ref="AG150:AH150"/>
    <mergeCell ref="A151:B151"/>
    <mergeCell ref="C151:N151"/>
    <mergeCell ref="O151:Z151"/>
    <mergeCell ref="AA151:AB151"/>
    <mergeCell ref="AC151:AD151"/>
    <mergeCell ref="AE151:AF151"/>
    <mergeCell ref="AG151:AH151"/>
    <mergeCell ref="A150:B150"/>
    <mergeCell ref="C150:N150"/>
    <mergeCell ref="O150:Z150"/>
    <mergeCell ref="AA150:AB150"/>
    <mergeCell ref="AC150:AD150"/>
    <mergeCell ref="AE150:AF150"/>
    <mergeCell ref="AG156:AH156"/>
    <mergeCell ref="A157:B157"/>
    <mergeCell ref="C157:N157"/>
    <mergeCell ref="O157:Z157"/>
    <mergeCell ref="AA157:AB157"/>
    <mergeCell ref="AC157:AD157"/>
    <mergeCell ref="AE157:AF157"/>
    <mergeCell ref="AG157:AH157"/>
    <mergeCell ref="A156:B156"/>
    <mergeCell ref="C156:N156"/>
    <mergeCell ref="O156:Z156"/>
    <mergeCell ref="AA156:AB156"/>
    <mergeCell ref="AC156:AD156"/>
    <mergeCell ref="AE156:AF156"/>
    <mergeCell ref="AG154:AH154"/>
    <mergeCell ref="A155:B155"/>
    <mergeCell ref="C155:N155"/>
    <mergeCell ref="O155:Z155"/>
    <mergeCell ref="AA155:AB155"/>
    <mergeCell ref="AC155:AD155"/>
    <mergeCell ref="AE155:AF155"/>
    <mergeCell ref="AG155:AH155"/>
    <mergeCell ref="A154:B154"/>
    <mergeCell ref="C154:N154"/>
    <mergeCell ref="O154:Z154"/>
    <mergeCell ref="AA154:AB154"/>
    <mergeCell ref="AC154:AD154"/>
    <mergeCell ref="AE154:AF154"/>
    <mergeCell ref="AG160:AH160"/>
    <mergeCell ref="A161:B161"/>
    <mergeCell ref="C161:N161"/>
    <mergeCell ref="O161:Z161"/>
    <mergeCell ref="AA161:AB161"/>
    <mergeCell ref="AC161:AD161"/>
    <mergeCell ref="AE161:AF161"/>
    <mergeCell ref="AG161:AH161"/>
    <mergeCell ref="A160:B160"/>
    <mergeCell ref="C160:N160"/>
    <mergeCell ref="O160:Z160"/>
    <mergeCell ref="AA160:AB160"/>
    <mergeCell ref="AC160:AD160"/>
    <mergeCell ref="AE160:AF160"/>
    <mergeCell ref="AG158:AH158"/>
    <mergeCell ref="A159:B159"/>
    <mergeCell ref="C159:N159"/>
    <mergeCell ref="O159:Z159"/>
    <mergeCell ref="AA159:AB159"/>
    <mergeCell ref="AC159:AD159"/>
    <mergeCell ref="AE159:AF159"/>
    <mergeCell ref="AG159:AH159"/>
    <mergeCell ref="A158:B158"/>
    <mergeCell ref="C158:N158"/>
    <mergeCell ref="O158:Z158"/>
    <mergeCell ref="AA158:AB158"/>
    <mergeCell ref="AC158:AD158"/>
    <mergeCell ref="AE158:AF158"/>
    <mergeCell ref="AG164:AH164"/>
    <mergeCell ref="A165:B165"/>
    <mergeCell ref="C165:N165"/>
    <mergeCell ref="O165:Z165"/>
    <mergeCell ref="AA165:AB165"/>
    <mergeCell ref="AC165:AD165"/>
    <mergeCell ref="AE165:AF165"/>
    <mergeCell ref="AG165:AH165"/>
    <mergeCell ref="A164:B164"/>
    <mergeCell ref="C164:N164"/>
    <mergeCell ref="O164:Z164"/>
    <mergeCell ref="AA164:AB164"/>
    <mergeCell ref="AC164:AD164"/>
    <mergeCell ref="AE164:AF164"/>
    <mergeCell ref="AG162:AH162"/>
    <mergeCell ref="A163:B163"/>
    <mergeCell ref="C163:N163"/>
    <mergeCell ref="O163:Z163"/>
    <mergeCell ref="AA163:AB163"/>
    <mergeCell ref="AC163:AD163"/>
    <mergeCell ref="AE163:AF163"/>
    <mergeCell ref="AG163:AH163"/>
    <mergeCell ref="A162:B162"/>
    <mergeCell ref="C162:N162"/>
    <mergeCell ref="O162:Z162"/>
    <mergeCell ref="AA162:AB162"/>
    <mergeCell ref="AC162:AD162"/>
    <mergeCell ref="AE162:AF162"/>
    <mergeCell ref="AG168:AH168"/>
    <mergeCell ref="A169:B169"/>
    <mergeCell ref="C169:N169"/>
    <mergeCell ref="O169:Z169"/>
    <mergeCell ref="AA169:AB169"/>
    <mergeCell ref="AC169:AD169"/>
    <mergeCell ref="AE169:AF169"/>
    <mergeCell ref="AG169:AH169"/>
    <mergeCell ref="A168:B168"/>
    <mergeCell ref="C168:N168"/>
    <mergeCell ref="O168:Z168"/>
    <mergeCell ref="AA168:AB168"/>
    <mergeCell ref="AC168:AD168"/>
    <mergeCell ref="AE168:AF168"/>
    <mergeCell ref="AG166:AH166"/>
    <mergeCell ref="A167:B167"/>
    <mergeCell ref="C167:N167"/>
    <mergeCell ref="O167:Z167"/>
    <mergeCell ref="AA167:AB167"/>
    <mergeCell ref="AC167:AD167"/>
    <mergeCell ref="AE167:AF167"/>
    <mergeCell ref="AG167:AH167"/>
    <mergeCell ref="A166:B166"/>
    <mergeCell ref="C166:N166"/>
    <mergeCell ref="O166:Z166"/>
    <mergeCell ref="AA166:AB166"/>
    <mergeCell ref="AC166:AD166"/>
    <mergeCell ref="AE166:AF166"/>
    <mergeCell ref="AG172:AH172"/>
    <mergeCell ref="A173:B173"/>
    <mergeCell ref="C173:N173"/>
    <mergeCell ref="O173:Z173"/>
    <mergeCell ref="AA173:AB173"/>
    <mergeCell ref="AC173:AD173"/>
    <mergeCell ref="AE173:AF173"/>
    <mergeCell ref="AG173:AH173"/>
    <mergeCell ref="A172:B172"/>
    <mergeCell ref="C172:N172"/>
    <mergeCell ref="O172:Z172"/>
    <mergeCell ref="AA172:AB172"/>
    <mergeCell ref="AC172:AD172"/>
    <mergeCell ref="AE172:AF172"/>
    <mergeCell ref="AG170:AH170"/>
    <mergeCell ref="A171:B171"/>
    <mergeCell ref="C171:N171"/>
    <mergeCell ref="O171:Z171"/>
    <mergeCell ref="AA171:AB171"/>
    <mergeCell ref="AC171:AD171"/>
    <mergeCell ref="AE171:AF171"/>
    <mergeCell ref="AG171:AH171"/>
    <mergeCell ref="A170:B170"/>
    <mergeCell ref="C170:N170"/>
    <mergeCell ref="O170:Z170"/>
    <mergeCell ref="AA170:AB170"/>
    <mergeCell ref="AC170:AD170"/>
    <mergeCell ref="AE170:AF170"/>
    <mergeCell ref="AG176:AH176"/>
    <mergeCell ref="A177:B177"/>
    <mergeCell ref="C177:N177"/>
    <mergeCell ref="O177:Z177"/>
    <mergeCell ref="AA177:AB177"/>
    <mergeCell ref="AC177:AD177"/>
    <mergeCell ref="AE177:AF177"/>
    <mergeCell ref="AG177:AH177"/>
    <mergeCell ref="A176:B176"/>
    <mergeCell ref="C176:N176"/>
    <mergeCell ref="O176:Z176"/>
    <mergeCell ref="AA176:AB176"/>
    <mergeCell ref="AC176:AD176"/>
    <mergeCell ref="AE176:AF176"/>
    <mergeCell ref="AG174:AH174"/>
    <mergeCell ref="A175:B175"/>
    <mergeCell ref="C175:N175"/>
    <mergeCell ref="O175:Z175"/>
    <mergeCell ref="AA175:AB175"/>
    <mergeCell ref="AC175:AD175"/>
    <mergeCell ref="AE175:AF175"/>
    <mergeCell ref="AG175:AH175"/>
    <mergeCell ref="A174:B174"/>
    <mergeCell ref="C174:N174"/>
    <mergeCell ref="O174:Z174"/>
    <mergeCell ref="AA174:AB174"/>
    <mergeCell ref="AC174:AD174"/>
    <mergeCell ref="AE174:AF174"/>
    <mergeCell ref="AG180:AH180"/>
    <mergeCell ref="A181:B181"/>
    <mergeCell ref="C181:N181"/>
    <mergeCell ref="O181:Z181"/>
    <mergeCell ref="AA181:AB181"/>
    <mergeCell ref="AC181:AD181"/>
    <mergeCell ref="AE181:AF181"/>
    <mergeCell ref="AG181:AH181"/>
    <mergeCell ref="A180:B180"/>
    <mergeCell ref="C180:N180"/>
    <mergeCell ref="O180:Z180"/>
    <mergeCell ref="AA180:AB180"/>
    <mergeCell ref="AC180:AD180"/>
    <mergeCell ref="AE180:AF180"/>
    <mergeCell ref="AG178:AH178"/>
    <mergeCell ref="A179:B179"/>
    <mergeCell ref="C179:N179"/>
    <mergeCell ref="O179:Z179"/>
    <mergeCell ref="AA179:AB179"/>
    <mergeCell ref="AC179:AD179"/>
    <mergeCell ref="AE179:AF179"/>
    <mergeCell ref="AG179:AH179"/>
    <mergeCell ref="A178:B178"/>
    <mergeCell ref="C178:N178"/>
    <mergeCell ref="O178:Z178"/>
    <mergeCell ref="AA178:AB178"/>
    <mergeCell ref="AC178:AD178"/>
    <mergeCell ref="AE178:AF178"/>
    <mergeCell ref="AG184:AH184"/>
    <mergeCell ref="A185:B185"/>
    <mergeCell ref="C185:N185"/>
    <mergeCell ref="O185:Z185"/>
    <mergeCell ref="AA185:AB185"/>
    <mergeCell ref="AC185:AD185"/>
    <mergeCell ref="AE185:AF185"/>
    <mergeCell ref="AG185:AH185"/>
    <mergeCell ref="A184:B184"/>
    <mergeCell ref="C184:N184"/>
    <mergeCell ref="O184:Z184"/>
    <mergeCell ref="AA184:AB184"/>
    <mergeCell ref="AC184:AD184"/>
    <mergeCell ref="AE184:AF184"/>
    <mergeCell ref="AG182:AH182"/>
    <mergeCell ref="A183:B183"/>
    <mergeCell ref="C183:N183"/>
    <mergeCell ref="O183:Z183"/>
    <mergeCell ref="AA183:AB183"/>
    <mergeCell ref="AC183:AD183"/>
    <mergeCell ref="AE183:AF183"/>
    <mergeCell ref="AG183:AH183"/>
    <mergeCell ref="A182:B182"/>
    <mergeCell ref="C182:N182"/>
    <mergeCell ref="O182:Z182"/>
    <mergeCell ref="AA182:AB182"/>
    <mergeCell ref="AC182:AD182"/>
    <mergeCell ref="AE182:AF182"/>
    <mergeCell ref="AG188:AH188"/>
    <mergeCell ref="A189:B189"/>
    <mergeCell ref="C189:N189"/>
    <mergeCell ref="O189:Z189"/>
    <mergeCell ref="AA189:AB189"/>
    <mergeCell ref="AC189:AD189"/>
    <mergeCell ref="AE189:AF189"/>
    <mergeCell ref="AG189:AH189"/>
    <mergeCell ref="A188:B188"/>
    <mergeCell ref="C188:N188"/>
    <mergeCell ref="O188:Z188"/>
    <mergeCell ref="AA188:AB188"/>
    <mergeCell ref="AC188:AD188"/>
    <mergeCell ref="AE188:AF188"/>
    <mergeCell ref="AG186:AH186"/>
    <mergeCell ref="A187:B187"/>
    <mergeCell ref="C187:N187"/>
    <mergeCell ref="O187:Z187"/>
    <mergeCell ref="AA187:AB187"/>
    <mergeCell ref="AC187:AD187"/>
    <mergeCell ref="AE187:AF187"/>
    <mergeCell ref="AG187:AH187"/>
    <mergeCell ref="A186:B186"/>
    <mergeCell ref="C186:N186"/>
    <mergeCell ref="O186:Z186"/>
    <mergeCell ref="AA186:AB186"/>
    <mergeCell ref="AC186:AD186"/>
    <mergeCell ref="AE186:AF186"/>
    <mergeCell ref="AG192:AH192"/>
    <mergeCell ref="A193:B193"/>
    <mergeCell ref="C193:N193"/>
    <mergeCell ref="O193:Z193"/>
    <mergeCell ref="AA193:AB193"/>
    <mergeCell ref="AC193:AD193"/>
    <mergeCell ref="AE193:AF193"/>
    <mergeCell ref="AG193:AH193"/>
    <mergeCell ref="A192:B192"/>
    <mergeCell ref="C192:N192"/>
    <mergeCell ref="O192:Z192"/>
    <mergeCell ref="AA192:AB192"/>
    <mergeCell ref="AC192:AD192"/>
    <mergeCell ref="AE192:AF192"/>
    <mergeCell ref="AG190:AH190"/>
    <mergeCell ref="A191:B191"/>
    <mergeCell ref="C191:N191"/>
    <mergeCell ref="O191:Z191"/>
    <mergeCell ref="AA191:AB191"/>
    <mergeCell ref="AC191:AD191"/>
    <mergeCell ref="AE191:AF191"/>
    <mergeCell ref="AG191:AH191"/>
    <mergeCell ref="A190:B190"/>
    <mergeCell ref="C190:N190"/>
    <mergeCell ref="O190:Z190"/>
    <mergeCell ref="AA190:AB190"/>
    <mergeCell ref="AC190:AD190"/>
    <mergeCell ref="AE190:AF190"/>
    <mergeCell ref="AG196:AH196"/>
    <mergeCell ref="A197:B197"/>
    <mergeCell ref="C197:N197"/>
    <mergeCell ref="O197:Z197"/>
    <mergeCell ref="AA197:AB197"/>
    <mergeCell ref="AC197:AD197"/>
    <mergeCell ref="AE197:AF197"/>
    <mergeCell ref="AG197:AH197"/>
    <mergeCell ref="A196:B196"/>
    <mergeCell ref="C196:N196"/>
    <mergeCell ref="O196:Z196"/>
    <mergeCell ref="AA196:AB196"/>
    <mergeCell ref="AC196:AD196"/>
    <mergeCell ref="AE196:AF196"/>
    <mergeCell ref="AG194:AH194"/>
    <mergeCell ref="A195:B195"/>
    <mergeCell ref="C195:N195"/>
    <mergeCell ref="O195:Z195"/>
    <mergeCell ref="AA195:AB195"/>
    <mergeCell ref="AC195:AD195"/>
    <mergeCell ref="AE195:AF195"/>
    <mergeCell ref="AG195:AH195"/>
    <mergeCell ref="A194:B194"/>
    <mergeCell ref="C194:N194"/>
    <mergeCell ref="O194:Z194"/>
    <mergeCell ref="AA194:AB194"/>
    <mergeCell ref="AC194:AD194"/>
    <mergeCell ref="AE194:AF194"/>
    <mergeCell ref="AG200:AH200"/>
    <mergeCell ref="A201:B201"/>
    <mergeCell ref="C201:N201"/>
    <mergeCell ref="O201:Z201"/>
    <mergeCell ref="AA201:AB201"/>
    <mergeCell ref="AC201:AD201"/>
    <mergeCell ref="AE201:AF201"/>
    <mergeCell ref="AG201:AH201"/>
    <mergeCell ref="A200:B200"/>
    <mergeCell ref="C200:N200"/>
    <mergeCell ref="O200:Z200"/>
    <mergeCell ref="AA200:AB200"/>
    <mergeCell ref="AC200:AD200"/>
    <mergeCell ref="AE200:AF200"/>
    <mergeCell ref="AG198:AH198"/>
    <mergeCell ref="A199:B199"/>
    <mergeCell ref="C199:N199"/>
    <mergeCell ref="O199:Z199"/>
    <mergeCell ref="AA199:AB199"/>
    <mergeCell ref="AC199:AD199"/>
    <mergeCell ref="AE199:AF199"/>
    <mergeCell ref="AG199:AH199"/>
    <mergeCell ref="A198:B198"/>
    <mergeCell ref="C198:N198"/>
    <mergeCell ref="O198:Z198"/>
    <mergeCell ref="AA198:AB198"/>
    <mergeCell ref="AC198:AD198"/>
    <mergeCell ref="AE198:AF198"/>
    <mergeCell ref="AG204:AH204"/>
    <mergeCell ref="A205:B205"/>
    <mergeCell ref="C205:N205"/>
    <mergeCell ref="O205:Z205"/>
    <mergeCell ref="AA205:AB205"/>
    <mergeCell ref="AC205:AD205"/>
    <mergeCell ref="AE205:AF205"/>
    <mergeCell ref="AG205:AH205"/>
    <mergeCell ref="A204:B204"/>
    <mergeCell ref="C204:N204"/>
    <mergeCell ref="O204:Z204"/>
    <mergeCell ref="AA204:AB204"/>
    <mergeCell ref="AC204:AD204"/>
    <mergeCell ref="AE204:AF204"/>
    <mergeCell ref="AG202:AH202"/>
    <mergeCell ref="A203:B203"/>
    <mergeCell ref="C203:N203"/>
    <mergeCell ref="O203:Z203"/>
    <mergeCell ref="AA203:AB203"/>
    <mergeCell ref="AC203:AD203"/>
    <mergeCell ref="AE203:AF203"/>
    <mergeCell ref="AG203:AH203"/>
    <mergeCell ref="A202:B202"/>
    <mergeCell ref="C202:N202"/>
    <mergeCell ref="O202:Z202"/>
    <mergeCell ref="AA202:AB202"/>
    <mergeCell ref="AC202:AD202"/>
    <mergeCell ref="AE202:AF202"/>
    <mergeCell ref="AG209:AH209"/>
    <mergeCell ref="A210:B210"/>
    <mergeCell ref="C210:N210"/>
    <mergeCell ref="O210:Z210"/>
    <mergeCell ref="AA210:AB210"/>
    <mergeCell ref="AC210:AD210"/>
    <mergeCell ref="AE210:AF210"/>
    <mergeCell ref="AG210:AH210"/>
    <mergeCell ref="A209:B209"/>
    <mergeCell ref="C209:N209"/>
    <mergeCell ref="O209:Z209"/>
    <mergeCell ref="AA209:AB209"/>
    <mergeCell ref="AC209:AD209"/>
    <mergeCell ref="AE209:AF209"/>
    <mergeCell ref="AG206:AH206"/>
    <mergeCell ref="A207:AH207"/>
    <mergeCell ref="A208:B208"/>
    <mergeCell ref="C208:N208"/>
    <mergeCell ref="O208:Z208"/>
    <mergeCell ref="AA208:AB208"/>
    <mergeCell ref="AC208:AD208"/>
    <mergeCell ref="AE208:AF208"/>
    <mergeCell ref="AG208:AH208"/>
    <mergeCell ref="A206:B206"/>
    <mergeCell ref="C206:N206"/>
    <mergeCell ref="O206:Z206"/>
    <mergeCell ref="AA206:AB206"/>
    <mergeCell ref="AC206:AD206"/>
    <mergeCell ref="AE206:AF206"/>
    <mergeCell ref="AG213:AH213"/>
    <mergeCell ref="A214:B214"/>
    <mergeCell ref="C214:N214"/>
    <mergeCell ref="O214:Z214"/>
    <mergeCell ref="AA214:AB214"/>
    <mergeCell ref="AC214:AD214"/>
    <mergeCell ref="AE214:AF214"/>
    <mergeCell ref="AG214:AH214"/>
    <mergeCell ref="A213:B213"/>
    <mergeCell ref="C213:N213"/>
    <mergeCell ref="O213:Z213"/>
    <mergeCell ref="AA213:AB213"/>
    <mergeCell ref="AC213:AD213"/>
    <mergeCell ref="AE213:AF213"/>
    <mergeCell ref="AG211:AH211"/>
    <mergeCell ref="A212:B212"/>
    <mergeCell ref="C212:N212"/>
    <mergeCell ref="O212:Z212"/>
    <mergeCell ref="AA212:AB212"/>
    <mergeCell ref="AC212:AD212"/>
    <mergeCell ref="AE212:AF212"/>
    <mergeCell ref="AG212:AH212"/>
    <mergeCell ref="A211:B211"/>
    <mergeCell ref="C211:N211"/>
    <mergeCell ref="O211:Z211"/>
    <mergeCell ref="AA211:AB211"/>
    <mergeCell ref="AC211:AD211"/>
    <mergeCell ref="AE211:AF211"/>
    <mergeCell ref="AG217:AH217"/>
    <mergeCell ref="A218:B218"/>
    <mergeCell ref="C218:N218"/>
    <mergeCell ref="O218:Z218"/>
    <mergeCell ref="AA218:AB218"/>
    <mergeCell ref="AC218:AD218"/>
    <mergeCell ref="AE218:AF218"/>
    <mergeCell ref="AG218:AH218"/>
    <mergeCell ref="A217:B217"/>
    <mergeCell ref="C217:N217"/>
    <mergeCell ref="O217:Z217"/>
    <mergeCell ref="AA217:AB217"/>
    <mergeCell ref="AC217:AD217"/>
    <mergeCell ref="AE217:AF217"/>
    <mergeCell ref="AG215:AH215"/>
    <mergeCell ref="A216:B216"/>
    <mergeCell ref="C216:N216"/>
    <mergeCell ref="O216:Z216"/>
    <mergeCell ref="AA216:AB216"/>
    <mergeCell ref="AC216:AD216"/>
    <mergeCell ref="AE216:AF216"/>
    <mergeCell ref="AG216:AH216"/>
    <mergeCell ref="A215:B215"/>
    <mergeCell ref="C215:N215"/>
    <mergeCell ref="O215:Z215"/>
    <mergeCell ref="AA215:AB215"/>
    <mergeCell ref="AC215:AD215"/>
    <mergeCell ref="AE215:AF215"/>
    <mergeCell ref="AG221:AH221"/>
    <mergeCell ref="A222:B222"/>
    <mergeCell ref="C222:N222"/>
    <mergeCell ref="O222:Z222"/>
    <mergeCell ref="AA222:AB222"/>
    <mergeCell ref="AC222:AD222"/>
    <mergeCell ref="AE222:AF222"/>
    <mergeCell ref="AG222:AH222"/>
    <mergeCell ref="A221:B221"/>
    <mergeCell ref="C221:N221"/>
    <mergeCell ref="O221:Z221"/>
    <mergeCell ref="AA221:AB221"/>
    <mergeCell ref="AC221:AD221"/>
    <mergeCell ref="AE221:AF221"/>
    <mergeCell ref="AG219:AH219"/>
    <mergeCell ref="A220:B220"/>
    <mergeCell ref="C220:N220"/>
    <mergeCell ref="O220:Z220"/>
    <mergeCell ref="AA220:AB220"/>
    <mergeCell ref="AC220:AD220"/>
    <mergeCell ref="AE220:AF220"/>
    <mergeCell ref="AG220:AH220"/>
    <mergeCell ref="A219:B219"/>
    <mergeCell ref="C219:N219"/>
    <mergeCell ref="O219:Z219"/>
    <mergeCell ref="AA219:AB219"/>
    <mergeCell ref="AC219:AD219"/>
    <mergeCell ref="AE219:AF219"/>
    <mergeCell ref="A225:AH225"/>
    <mergeCell ref="A226:B226"/>
    <mergeCell ref="C226:N226"/>
    <mergeCell ref="O226:Z226"/>
    <mergeCell ref="AA226:AB226"/>
    <mergeCell ref="AC226:AD226"/>
    <mergeCell ref="AE226:AF226"/>
    <mergeCell ref="AG226:AH226"/>
    <mergeCell ref="AG223:AH223"/>
    <mergeCell ref="A224:B224"/>
    <mergeCell ref="C224:N224"/>
    <mergeCell ref="O224:Z224"/>
    <mergeCell ref="AA224:AB224"/>
    <mergeCell ref="AC224:AD224"/>
    <mergeCell ref="AE224:AF224"/>
    <mergeCell ref="AG224:AH224"/>
    <mergeCell ref="A223:B223"/>
    <mergeCell ref="C223:N223"/>
    <mergeCell ref="O223:Z223"/>
    <mergeCell ref="AA223:AB223"/>
    <mergeCell ref="AC223:AD223"/>
    <mergeCell ref="AE223:AF223"/>
    <mergeCell ref="AG229:AH229"/>
    <mergeCell ref="A230:B230"/>
    <mergeCell ref="C230:N230"/>
    <mergeCell ref="O230:Z230"/>
    <mergeCell ref="AA230:AB230"/>
    <mergeCell ref="AC230:AD230"/>
    <mergeCell ref="AE230:AF230"/>
    <mergeCell ref="AG230:AH230"/>
    <mergeCell ref="A229:B229"/>
    <mergeCell ref="C229:N229"/>
    <mergeCell ref="O229:Z229"/>
    <mergeCell ref="AA229:AB229"/>
    <mergeCell ref="AC229:AD229"/>
    <mergeCell ref="AE229:AF229"/>
    <mergeCell ref="AG227:AH227"/>
    <mergeCell ref="A228:B228"/>
    <mergeCell ref="C228:N228"/>
    <mergeCell ref="O228:Z228"/>
    <mergeCell ref="AA228:AB228"/>
    <mergeCell ref="AC228:AD228"/>
    <mergeCell ref="AE228:AF228"/>
    <mergeCell ref="AG228:AH228"/>
    <mergeCell ref="A227:B227"/>
    <mergeCell ref="C227:N227"/>
    <mergeCell ref="O227:Z227"/>
    <mergeCell ref="AA227:AB227"/>
    <mergeCell ref="AC227:AD227"/>
    <mergeCell ref="AE227:AF227"/>
    <mergeCell ref="AG233:AH233"/>
    <mergeCell ref="A234:B234"/>
    <mergeCell ref="C234:N234"/>
    <mergeCell ref="O234:Z234"/>
    <mergeCell ref="AA234:AB234"/>
    <mergeCell ref="AC234:AD234"/>
    <mergeCell ref="AE234:AF234"/>
    <mergeCell ref="AG234:AH234"/>
    <mergeCell ref="A233:B233"/>
    <mergeCell ref="C233:N233"/>
    <mergeCell ref="O233:Z233"/>
    <mergeCell ref="AA233:AB233"/>
    <mergeCell ref="AC233:AD233"/>
    <mergeCell ref="AE233:AF233"/>
    <mergeCell ref="AG231:AH231"/>
    <mergeCell ref="A232:B232"/>
    <mergeCell ref="C232:N232"/>
    <mergeCell ref="O232:Z232"/>
    <mergeCell ref="AA232:AB232"/>
    <mergeCell ref="AC232:AD232"/>
    <mergeCell ref="AE232:AF232"/>
    <mergeCell ref="AG232:AH232"/>
    <mergeCell ref="A231:B231"/>
    <mergeCell ref="C231:N231"/>
    <mergeCell ref="O231:Z231"/>
    <mergeCell ref="AA231:AB231"/>
    <mergeCell ref="AC231:AD231"/>
    <mergeCell ref="AE231:AF231"/>
    <mergeCell ref="B241:C241"/>
    <mergeCell ref="E241:L241"/>
    <mergeCell ref="N241:W241"/>
    <mergeCell ref="A245:AH245"/>
    <mergeCell ref="AG235:AH235"/>
    <mergeCell ref="A236:B236"/>
    <mergeCell ref="C236:N236"/>
    <mergeCell ref="O236:Z236"/>
    <mergeCell ref="AA236:AB236"/>
    <mergeCell ref="AC236:AD236"/>
    <mergeCell ref="AE236:AF236"/>
    <mergeCell ref="AG236:AH236"/>
    <mergeCell ref="A235:B235"/>
    <mergeCell ref="C235:N235"/>
    <mergeCell ref="O235:Z235"/>
    <mergeCell ref="AA235:AB235"/>
    <mergeCell ref="AC235:AD235"/>
    <mergeCell ref="AE235:AF235"/>
    <mergeCell ref="A251:AH251"/>
    <mergeCell ref="A254:AH254"/>
    <mergeCell ref="B256:C256"/>
    <mergeCell ref="E256:I256"/>
    <mergeCell ref="J256:T256"/>
    <mergeCell ref="C2:F2"/>
    <mergeCell ref="G2:Q2"/>
    <mergeCell ref="C3:F3"/>
    <mergeCell ref="A249:AH249"/>
    <mergeCell ref="A250:B250"/>
    <mergeCell ref="C250:N250"/>
    <mergeCell ref="O250:Z250"/>
    <mergeCell ref="AA250:AB250"/>
    <mergeCell ref="AC250:AD250"/>
    <mergeCell ref="AE250:AF250"/>
    <mergeCell ref="AG250:AH250"/>
    <mergeCell ref="AG247:AH247"/>
    <mergeCell ref="A248:B248"/>
    <mergeCell ref="C248:N248"/>
    <mergeCell ref="O248:Z248"/>
    <mergeCell ref="AA248:AB248"/>
    <mergeCell ref="AC248:AD248"/>
    <mergeCell ref="AE248:AF248"/>
    <mergeCell ref="AG248:AH248"/>
    <mergeCell ref="A247:B247"/>
    <mergeCell ref="C247:N247"/>
    <mergeCell ref="O247:Z247"/>
    <mergeCell ref="AA247:AB247"/>
    <mergeCell ref="AC247:AD247"/>
    <mergeCell ref="AE247:AF247"/>
    <mergeCell ref="A237:AH237"/>
    <mergeCell ref="A239:AH239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2"/>
  <sheetViews>
    <sheetView workbookViewId="0" topLeftCell="A22">
      <selection activeCell="J44" sqref="J44"/>
    </sheetView>
  </sheetViews>
  <sheetFormatPr defaultColWidth="9.140625" defaultRowHeight="12.75"/>
  <cols>
    <col min="1" max="1" width="6.421875" style="225" customWidth="1"/>
    <col min="2" max="2" width="12.140625" style="226" customWidth="1"/>
    <col min="3" max="3" width="49.28125" style="227" customWidth="1"/>
    <col min="4" max="4" width="10.7109375" style="228" customWidth="1"/>
    <col min="5" max="5" width="3.57421875" style="228" customWidth="1"/>
    <col min="6" max="6" width="5.7109375" style="229" customWidth="1"/>
    <col min="7" max="7" width="9.28125" style="230" customWidth="1"/>
    <col min="8" max="8" width="11.421875" style="230" customWidth="1"/>
    <col min="9" max="9" width="9.28125" style="230" customWidth="1"/>
    <col min="10" max="11" width="11.421875" style="230" customWidth="1"/>
    <col min="12" max="256" width="9.140625" style="231" customWidth="1"/>
    <col min="257" max="257" width="6.421875" style="231" customWidth="1"/>
    <col min="258" max="258" width="12.140625" style="231" customWidth="1"/>
    <col min="259" max="259" width="49.28125" style="231" customWidth="1"/>
    <col min="260" max="260" width="10.7109375" style="231" customWidth="1"/>
    <col min="261" max="261" width="3.57421875" style="231" customWidth="1"/>
    <col min="262" max="262" width="5.7109375" style="231" customWidth="1"/>
    <col min="263" max="263" width="9.28125" style="231" customWidth="1"/>
    <col min="264" max="264" width="11.421875" style="231" customWidth="1"/>
    <col min="265" max="265" width="9.28125" style="231" customWidth="1"/>
    <col min="266" max="267" width="11.421875" style="231" customWidth="1"/>
    <col min="268" max="512" width="9.140625" style="231" customWidth="1"/>
    <col min="513" max="513" width="6.421875" style="231" customWidth="1"/>
    <col min="514" max="514" width="12.140625" style="231" customWidth="1"/>
    <col min="515" max="515" width="49.28125" style="231" customWidth="1"/>
    <col min="516" max="516" width="10.7109375" style="231" customWidth="1"/>
    <col min="517" max="517" width="3.57421875" style="231" customWidth="1"/>
    <col min="518" max="518" width="5.7109375" style="231" customWidth="1"/>
    <col min="519" max="519" width="9.28125" style="231" customWidth="1"/>
    <col min="520" max="520" width="11.421875" style="231" customWidth="1"/>
    <col min="521" max="521" width="9.28125" style="231" customWidth="1"/>
    <col min="522" max="523" width="11.421875" style="231" customWidth="1"/>
    <col min="524" max="768" width="9.140625" style="231" customWidth="1"/>
    <col min="769" max="769" width="6.421875" style="231" customWidth="1"/>
    <col min="770" max="770" width="12.140625" style="231" customWidth="1"/>
    <col min="771" max="771" width="49.28125" style="231" customWidth="1"/>
    <col min="772" max="772" width="10.7109375" style="231" customWidth="1"/>
    <col min="773" max="773" width="3.57421875" style="231" customWidth="1"/>
    <col min="774" max="774" width="5.7109375" style="231" customWidth="1"/>
    <col min="775" max="775" width="9.28125" style="231" customWidth="1"/>
    <col min="776" max="776" width="11.421875" style="231" customWidth="1"/>
    <col min="777" max="777" width="9.28125" style="231" customWidth="1"/>
    <col min="778" max="779" width="11.421875" style="231" customWidth="1"/>
    <col min="780" max="1024" width="9.140625" style="231" customWidth="1"/>
    <col min="1025" max="1025" width="6.421875" style="231" customWidth="1"/>
    <col min="1026" max="1026" width="12.140625" style="231" customWidth="1"/>
    <col min="1027" max="1027" width="49.28125" style="231" customWidth="1"/>
    <col min="1028" max="1028" width="10.7109375" style="231" customWidth="1"/>
    <col min="1029" max="1029" width="3.57421875" style="231" customWidth="1"/>
    <col min="1030" max="1030" width="5.7109375" style="231" customWidth="1"/>
    <col min="1031" max="1031" width="9.28125" style="231" customWidth="1"/>
    <col min="1032" max="1032" width="11.421875" style="231" customWidth="1"/>
    <col min="1033" max="1033" width="9.28125" style="231" customWidth="1"/>
    <col min="1034" max="1035" width="11.421875" style="231" customWidth="1"/>
    <col min="1036" max="1280" width="9.140625" style="231" customWidth="1"/>
    <col min="1281" max="1281" width="6.421875" style="231" customWidth="1"/>
    <col min="1282" max="1282" width="12.140625" style="231" customWidth="1"/>
    <col min="1283" max="1283" width="49.28125" style="231" customWidth="1"/>
    <col min="1284" max="1284" width="10.7109375" style="231" customWidth="1"/>
    <col min="1285" max="1285" width="3.57421875" style="231" customWidth="1"/>
    <col min="1286" max="1286" width="5.7109375" style="231" customWidth="1"/>
    <col min="1287" max="1287" width="9.28125" style="231" customWidth="1"/>
    <col min="1288" max="1288" width="11.421875" style="231" customWidth="1"/>
    <col min="1289" max="1289" width="9.28125" style="231" customWidth="1"/>
    <col min="1290" max="1291" width="11.421875" style="231" customWidth="1"/>
    <col min="1292" max="1536" width="9.140625" style="231" customWidth="1"/>
    <col min="1537" max="1537" width="6.421875" style="231" customWidth="1"/>
    <col min="1538" max="1538" width="12.140625" style="231" customWidth="1"/>
    <col min="1539" max="1539" width="49.28125" style="231" customWidth="1"/>
    <col min="1540" max="1540" width="10.7109375" style="231" customWidth="1"/>
    <col min="1541" max="1541" width="3.57421875" style="231" customWidth="1"/>
    <col min="1542" max="1542" width="5.7109375" style="231" customWidth="1"/>
    <col min="1543" max="1543" width="9.28125" style="231" customWidth="1"/>
    <col min="1544" max="1544" width="11.421875" style="231" customWidth="1"/>
    <col min="1545" max="1545" width="9.28125" style="231" customWidth="1"/>
    <col min="1546" max="1547" width="11.421875" style="231" customWidth="1"/>
    <col min="1548" max="1792" width="9.140625" style="231" customWidth="1"/>
    <col min="1793" max="1793" width="6.421875" style="231" customWidth="1"/>
    <col min="1794" max="1794" width="12.140625" style="231" customWidth="1"/>
    <col min="1795" max="1795" width="49.28125" style="231" customWidth="1"/>
    <col min="1796" max="1796" width="10.7109375" style="231" customWidth="1"/>
    <col min="1797" max="1797" width="3.57421875" style="231" customWidth="1"/>
    <col min="1798" max="1798" width="5.7109375" style="231" customWidth="1"/>
    <col min="1799" max="1799" width="9.28125" style="231" customWidth="1"/>
    <col min="1800" max="1800" width="11.421875" style="231" customWidth="1"/>
    <col min="1801" max="1801" width="9.28125" style="231" customWidth="1"/>
    <col min="1802" max="1803" width="11.421875" style="231" customWidth="1"/>
    <col min="1804" max="2048" width="9.140625" style="231" customWidth="1"/>
    <col min="2049" max="2049" width="6.421875" style="231" customWidth="1"/>
    <col min="2050" max="2050" width="12.140625" style="231" customWidth="1"/>
    <col min="2051" max="2051" width="49.28125" style="231" customWidth="1"/>
    <col min="2052" max="2052" width="10.7109375" style="231" customWidth="1"/>
    <col min="2053" max="2053" width="3.57421875" style="231" customWidth="1"/>
    <col min="2054" max="2054" width="5.7109375" style="231" customWidth="1"/>
    <col min="2055" max="2055" width="9.28125" style="231" customWidth="1"/>
    <col min="2056" max="2056" width="11.421875" style="231" customWidth="1"/>
    <col min="2057" max="2057" width="9.28125" style="231" customWidth="1"/>
    <col min="2058" max="2059" width="11.421875" style="231" customWidth="1"/>
    <col min="2060" max="2304" width="9.140625" style="231" customWidth="1"/>
    <col min="2305" max="2305" width="6.421875" style="231" customWidth="1"/>
    <col min="2306" max="2306" width="12.140625" style="231" customWidth="1"/>
    <col min="2307" max="2307" width="49.28125" style="231" customWidth="1"/>
    <col min="2308" max="2308" width="10.7109375" style="231" customWidth="1"/>
    <col min="2309" max="2309" width="3.57421875" style="231" customWidth="1"/>
    <col min="2310" max="2310" width="5.7109375" style="231" customWidth="1"/>
    <col min="2311" max="2311" width="9.28125" style="231" customWidth="1"/>
    <col min="2312" max="2312" width="11.421875" style="231" customWidth="1"/>
    <col min="2313" max="2313" width="9.28125" style="231" customWidth="1"/>
    <col min="2314" max="2315" width="11.421875" style="231" customWidth="1"/>
    <col min="2316" max="2560" width="9.140625" style="231" customWidth="1"/>
    <col min="2561" max="2561" width="6.421875" style="231" customWidth="1"/>
    <col min="2562" max="2562" width="12.140625" style="231" customWidth="1"/>
    <col min="2563" max="2563" width="49.28125" style="231" customWidth="1"/>
    <col min="2564" max="2564" width="10.7109375" style="231" customWidth="1"/>
    <col min="2565" max="2565" width="3.57421875" style="231" customWidth="1"/>
    <col min="2566" max="2566" width="5.7109375" style="231" customWidth="1"/>
    <col min="2567" max="2567" width="9.28125" style="231" customWidth="1"/>
    <col min="2568" max="2568" width="11.421875" style="231" customWidth="1"/>
    <col min="2569" max="2569" width="9.28125" style="231" customWidth="1"/>
    <col min="2570" max="2571" width="11.421875" style="231" customWidth="1"/>
    <col min="2572" max="2816" width="9.140625" style="231" customWidth="1"/>
    <col min="2817" max="2817" width="6.421875" style="231" customWidth="1"/>
    <col min="2818" max="2818" width="12.140625" style="231" customWidth="1"/>
    <col min="2819" max="2819" width="49.28125" style="231" customWidth="1"/>
    <col min="2820" max="2820" width="10.7109375" style="231" customWidth="1"/>
    <col min="2821" max="2821" width="3.57421875" style="231" customWidth="1"/>
    <col min="2822" max="2822" width="5.7109375" style="231" customWidth="1"/>
    <col min="2823" max="2823" width="9.28125" style="231" customWidth="1"/>
    <col min="2824" max="2824" width="11.421875" style="231" customWidth="1"/>
    <col min="2825" max="2825" width="9.28125" style="231" customWidth="1"/>
    <col min="2826" max="2827" width="11.421875" style="231" customWidth="1"/>
    <col min="2828" max="3072" width="9.140625" style="231" customWidth="1"/>
    <col min="3073" max="3073" width="6.421875" style="231" customWidth="1"/>
    <col min="3074" max="3074" width="12.140625" style="231" customWidth="1"/>
    <col min="3075" max="3075" width="49.28125" style="231" customWidth="1"/>
    <col min="3076" max="3076" width="10.7109375" style="231" customWidth="1"/>
    <col min="3077" max="3077" width="3.57421875" style="231" customWidth="1"/>
    <col min="3078" max="3078" width="5.7109375" style="231" customWidth="1"/>
    <col min="3079" max="3079" width="9.28125" style="231" customWidth="1"/>
    <col min="3080" max="3080" width="11.421875" style="231" customWidth="1"/>
    <col min="3081" max="3081" width="9.28125" style="231" customWidth="1"/>
    <col min="3082" max="3083" width="11.421875" style="231" customWidth="1"/>
    <col min="3084" max="3328" width="9.140625" style="231" customWidth="1"/>
    <col min="3329" max="3329" width="6.421875" style="231" customWidth="1"/>
    <col min="3330" max="3330" width="12.140625" style="231" customWidth="1"/>
    <col min="3331" max="3331" width="49.28125" style="231" customWidth="1"/>
    <col min="3332" max="3332" width="10.7109375" style="231" customWidth="1"/>
    <col min="3333" max="3333" width="3.57421875" style="231" customWidth="1"/>
    <col min="3334" max="3334" width="5.7109375" style="231" customWidth="1"/>
    <col min="3335" max="3335" width="9.28125" style="231" customWidth="1"/>
    <col min="3336" max="3336" width="11.421875" style="231" customWidth="1"/>
    <col min="3337" max="3337" width="9.28125" style="231" customWidth="1"/>
    <col min="3338" max="3339" width="11.421875" style="231" customWidth="1"/>
    <col min="3340" max="3584" width="9.140625" style="231" customWidth="1"/>
    <col min="3585" max="3585" width="6.421875" style="231" customWidth="1"/>
    <col min="3586" max="3586" width="12.140625" style="231" customWidth="1"/>
    <col min="3587" max="3587" width="49.28125" style="231" customWidth="1"/>
    <col min="3588" max="3588" width="10.7109375" style="231" customWidth="1"/>
    <col min="3589" max="3589" width="3.57421875" style="231" customWidth="1"/>
    <col min="3590" max="3590" width="5.7109375" style="231" customWidth="1"/>
    <col min="3591" max="3591" width="9.28125" style="231" customWidth="1"/>
    <col min="3592" max="3592" width="11.421875" style="231" customWidth="1"/>
    <col min="3593" max="3593" width="9.28125" style="231" customWidth="1"/>
    <col min="3594" max="3595" width="11.421875" style="231" customWidth="1"/>
    <col min="3596" max="3840" width="9.140625" style="231" customWidth="1"/>
    <col min="3841" max="3841" width="6.421875" style="231" customWidth="1"/>
    <col min="3842" max="3842" width="12.140625" style="231" customWidth="1"/>
    <col min="3843" max="3843" width="49.28125" style="231" customWidth="1"/>
    <col min="3844" max="3844" width="10.7109375" style="231" customWidth="1"/>
    <col min="3845" max="3845" width="3.57421875" style="231" customWidth="1"/>
    <col min="3846" max="3846" width="5.7109375" style="231" customWidth="1"/>
    <col min="3847" max="3847" width="9.28125" style="231" customWidth="1"/>
    <col min="3848" max="3848" width="11.421875" style="231" customWidth="1"/>
    <col min="3849" max="3849" width="9.28125" style="231" customWidth="1"/>
    <col min="3850" max="3851" width="11.421875" style="231" customWidth="1"/>
    <col min="3852" max="4096" width="9.140625" style="231" customWidth="1"/>
    <col min="4097" max="4097" width="6.421875" style="231" customWidth="1"/>
    <col min="4098" max="4098" width="12.140625" style="231" customWidth="1"/>
    <col min="4099" max="4099" width="49.28125" style="231" customWidth="1"/>
    <col min="4100" max="4100" width="10.7109375" style="231" customWidth="1"/>
    <col min="4101" max="4101" width="3.57421875" style="231" customWidth="1"/>
    <col min="4102" max="4102" width="5.7109375" style="231" customWidth="1"/>
    <col min="4103" max="4103" width="9.28125" style="231" customWidth="1"/>
    <col min="4104" max="4104" width="11.421875" style="231" customWidth="1"/>
    <col min="4105" max="4105" width="9.28125" style="231" customWidth="1"/>
    <col min="4106" max="4107" width="11.421875" style="231" customWidth="1"/>
    <col min="4108" max="4352" width="9.140625" style="231" customWidth="1"/>
    <col min="4353" max="4353" width="6.421875" style="231" customWidth="1"/>
    <col min="4354" max="4354" width="12.140625" style="231" customWidth="1"/>
    <col min="4355" max="4355" width="49.28125" style="231" customWidth="1"/>
    <col min="4356" max="4356" width="10.7109375" style="231" customWidth="1"/>
    <col min="4357" max="4357" width="3.57421875" style="231" customWidth="1"/>
    <col min="4358" max="4358" width="5.7109375" style="231" customWidth="1"/>
    <col min="4359" max="4359" width="9.28125" style="231" customWidth="1"/>
    <col min="4360" max="4360" width="11.421875" style="231" customWidth="1"/>
    <col min="4361" max="4361" width="9.28125" style="231" customWidth="1"/>
    <col min="4362" max="4363" width="11.421875" style="231" customWidth="1"/>
    <col min="4364" max="4608" width="9.140625" style="231" customWidth="1"/>
    <col min="4609" max="4609" width="6.421875" style="231" customWidth="1"/>
    <col min="4610" max="4610" width="12.140625" style="231" customWidth="1"/>
    <col min="4611" max="4611" width="49.28125" style="231" customWidth="1"/>
    <col min="4612" max="4612" width="10.7109375" style="231" customWidth="1"/>
    <col min="4613" max="4613" width="3.57421875" style="231" customWidth="1"/>
    <col min="4614" max="4614" width="5.7109375" style="231" customWidth="1"/>
    <col min="4615" max="4615" width="9.28125" style="231" customWidth="1"/>
    <col min="4616" max="4616" width="11.421875" style="231" customWidth="1"/>
    <col min="4617" max="4617" width="9.28125" style="231" customWidth="1"/>
    <col min="4618" max="4619" width="11.421875" style="231" customWidth="1"/>
    <col min="4620" max="4864" width="9.140625" style="231" customWidth="1"/>
    <col min="4865" max="4865" width="6.421875" style="231" customWidth="1"/>
    <col min="4866" max="4866" width="12.140625" style="231" customWidth="1"/>
    <col min="4867" max="4867" width="49.28125" style="231" customWidth="1"/>
    <col min="4868" max="4868" width="10.7109375" style="231" customWidth="1"/>
    <col min="4869" max="4869" width="3.57421875" style="231" customWidth="1"/>
    <col min="4870" max="4870" width="5.7109375" style="231" customWidth="1"/>
    <col min="4871" max="4871" width="9.28125" style="231" customWidth="1"/>
    <col min="4872" max="4872" width="11.421875" style="231" customWidth="1"/>
    <col min="4873" max="4873" width="9.28125" style="231" customWidth="1"/>
    <col min="4874" max="4875" width="11.421875" style="231" customWidth="1"/>
    <col min="4876" max="5120" width="9.140625" style="231" customWidth="1"/>
    <col min="5121" max="5121" width="6.421875" style="231" customWidth="1"/>
    <col min="5122" max="5122" width="12.140625" style="231" customWidth="1"/>
    <col min="5123" max="5123" width="49.28125" style="231" customWidth="1"/>
    <col min="5124" max="5124" width="10.7109375" style="231" customWidth="1"/>
    <col min="5125" max="5125" width="3.57421875" style="231" customWidth="1"/>
    <col min="5126" max="5126" width="5.7109375" style="231" customWidth="1"/>
    <col min="5127" max="5127" width="9.28125" style="231" customWidth="1"/>
    <col min="5128" max="5128" width="11.421875" style="231" customWidth="1"/>
    <col min="5129" max="5129" width="9.28125" style="231" customWidth="1"/>
    <col min="5130" max="5131" width="11.421875" style="231" customWidth="1"/>
    <col min="5132" max="5376" width="9.140625" style="231" customWidth="1"/>
    <col min="5377" max="5377" width="6.421875" style="231" customWidth="1"/>
    <col min="5378" max="5378" width="12.140625" style="231" customWidth="1"/>
    <col min="5379" max="5379" width="49.28125" style="231" customWidth="1"/>
    <col min="5380" max="5380" width="10.7109375" style="231" customWidth="1"/>
    <col min="5381" max="5381" width="3.57421875" style="231" customWidth="1"/>
    <col min="5382" max="5382" width="5.7109375" style="231" customWidth="1"/>
    <col min="5383" max="5383" width="9.28125" style="231" customWidth="1"/>
    <col min="5384" max="5384" width="11.421875" style="231" customWidth="1"/>
    <col min="5385" max="5385" width="9.28125" style="231" customWidth="1"/>
    <col min="5386" max="5387" width="11.421875" style="231" customWidth="1"/>
    <col min="5388" max="5632" width="9.140625" style="231" customWidth="1"/>
    <col min="5633" max="5633" width="6.421875" style="231" customWidth="1"/>
    <col min="5634" max="5634" width="12.140625" style="231" customWidth="1"/>
    <col min="5635" max="5635" width="49.28125" style="231" customWidth="1"/>
    <col min="5636" max="5636" width="10.7109375" style="231" customWidth="1"/>
    <col min="5637" max="5637" width="3.57421875" style="231" customWidth="1"/>
    <col min="5638" max="5638" width="5.7109375" style="231" customWidth="1"/>
    <col min="5639" max="5639" width="9.28125" style="231" customWidth="1"/>
    <col min="5640" max="5640" width="11.421875" style="231" customWidth="1"/>
    <col min="5641" max="5641" width="9.28125" style="231" customWidth="1"/>
    <col min="5642" max="5643" width="11.421875" style="231" customWidth="1"/>
    <col min="5644" max="5888" width="9.140625" style="231" customWidth="1"/>
    <col min="5889" max="5889" width="6.421875" style="231" customWidth="1"/>
    <col min="5890" max="5890" width="12.140625" style="231" customWidth="1"/>
    <col min="5891" max="5891" width="49.28125" style="231" customWidth="1"/>
    <col min="5892" max="5892" width="10.7109375" style="231" customWidth="1"/>
    <col min="5893" max="5893" width="3.57421875" style="231" customWidth="1"/>
    <col min="5894" max="5894" width="5.7109375" style="231" customWidth="1"/>
    <col min="5895" max="5895" width="9.28125" style="231" customWidth="1"/>
    <col min="5896" max="5896" width="11.421875" style="231" customWidth="1"/>
    <col min="5897" max="5897" width="9.28125" style="231" customWidth="1"/>
    <col min="5898" max="5899" width="11.421875" style="231" customWidth="1"/>
    <col min="5900" max="6144" width="9.140625" style="231" customWidth="1"/>
    <col min="6145" max="6145" width="6.421875" style="231" customWidth="1"/>
    <col min="6146" max="6146" width="12.140625" style="231" customWidth="1"/>
    <col min="6147" max="6147" width="49.28125" style="231" customWidth="1"/>
    <col min="6148" max="6148" width="10.7109375" style="231" customWidth="1"/>
    <col min="6149" max="6149" width="3.57421875" style="231" customWidth="1"/>
    <col min="6150" max="6150" width="5.7109375" style="231" customWidth="1"/>
    <col min="6151" max="6151" width="9.28125" style="231" customWidth="1"/>
    <col min="6152" max="6152" width="11.421875" style="231" customWidth="1"/>
    <col min="6153" max="6153" width="9.28125" style="231" customWidth="1"/>
    <col min="6154" max="6155" width="11.421875" style="231" customWidth="1"/>
    <col min="6156" max="6400" width="9.140625" style="231" customWidth="1"/>
    <col min="6401" max="6401" width="6.421875" style="231" customWidth="1"/>
    <col min="6402" max="6402" width="12.140625" style="231" customWidth="1"/>
    <col min="6403" max="6403" width="49.28125" style="231" customWidth="1"/>
    <col min="6404" max="6404" width="10.7109375" style="231" customWidth="1"/>
    <col min="6405" max="6405" width="3.57421875" style="231" customWidth="1"/>
    <col min="6406" max="6406" width="5.7109375" style="231" customWidth="1"/>
    <col min="6407" max="6407" width="9.28125" style="231" customWidth="1"/>
    <col min="6408" max="6408" width="11.421875" style="231" customWidth="1"/>
    <col min="6409" max="6409" width="9.28125" style="231" customWidth="1"/>
    <col min="6410" max="6411" width="11.421875" style="231" customWidth="1"/>
    <col min="6412" max="6656" width="9.140625" style="231" customWidth="1"/>
    <col min="6657" max="6657" width="6.421875" style="231" customWidth="1"/>
    <col min="6658" max="6658" width="12.140625" style="231" customWidth="1"/>
    <col min="6659" max="6659" width="49.28125" style="231" customWidth="1"/>
    <col min="6660" max="6660" width="10.7109375" style="231" customWidth="1"/>
    <col min="6661" max="6661" width="3.57421875" style="231" customWidth="1"/>
    <col min="6662" max="6662" width="5.7109375" style="231" customWidth="1"/>
    <col min="6663" max="6663" width="9.28125" style="231" customWidth="1"/>
    <col min="6664" max="6664" width="11.421875" style="231" customWidth="1"/>
    <col min="6665" max="6665" width="9.28125" style="231" customWidth="1"/>
    <col min="6666" max="6667" width="11.421875" style="231" customWidth="1"/>
    <col min="6668" max="6912" width="9.140625" style="231" customWidth="1"/>
    <col min="6913" max="6913" width="6.421875" style="231" customWidth="1"/>
    <col min="6914" max="6914" width="12.140625" style="231" customWidth="1"/>
    <col min="6915" max="6915" width="49.28125" style="231" customWidth="1"/>
    <col min="6916" max="6916" width="10.7109375" style="231" customWidth="1"/>
    <col min="6917" max="6917" width="3.57421875" style="231" customWidth="1"/>
    <col min="6918" max="6918" width="5.7109375" style="231" customWidth="1"/>
    <col min="6919" max="6919" width="9.28125" style="231" customWidth="1"/>
    <col min="6920" max="6920" width="11.421875" style="231" customWidth="1"/>
    <col min="6921" max="6921" width="9.28125" style="231" customWidth="1"/>
    <col min="6922" max="6923" width="11.421875" style="231" customWidth="1"/>
    <col min="6924" max="7168" width="9.140625" style="231" customWidth="1"/>
    <col min="7169" max="7169" width="6.421875" style="231" customWidth="1"/>
    <col min="7170" max="7170" width="12.140625" style="231" customWidth="1"/>
    <col min="7171" max="7171" width="49.28125" style="231" customWidth="1"/>
    <col min="7172" max="7172" width="10.7109375" style="231" customWidth="1"/>
    <col min="7173" max="7173" width="3.57421875" style="231" customWidth="1"/>
    <col min="7174" max="7174" width="5.7109375" style="231" customWidth="1"/>
    <col min="7175" max="7175" width="9.28125" style="231" customWidth="1"/>
    <col min="7176" max="7176" width="11.421875" style="231" customWidth="1"/>
    <col min="7177" max="7177" width="9.28125" style="231" customWidth="1"/>
    <col min="7178" max="7179" width="11.421875" style="231" customWidth="1"/>
    <col min="7180" max="7424" width="9.140625" style="231" customWidth="1"/>
    <col min="7425" max="7425" width="6.421875" style="231" customWidth="1"/>
    <col min="7426" max="7426" width="12.140625" style="231" customWidth="1"/>
    <col min="7427" max="7427" width="49.28125" style="231" customWidth="1"/>
    <col min="7428" max="7428" width="10.7109375" style="231" customWidth="1"/>
    <col min="7429" max="7429" width="3.57421875" style="231" customWidth="1"/>
    <col min="7430" max="7430" width="5.7109375" style="231" customWidth="1"/>
    <col min="7431" max="7431" width="9.28125" style="231" customWidth="1"/>
    <col min="7432" max="7432" width="11.421875" style="231" customWidth="1"/>
    <col min="7433" max="7433" width="9.28125" style="231" customWidth="1"/>
    <col min="7434" max="7435" width="11.421875" style="231" customWidth="1"/>
    <col min="7436" max="7680" width="9.140625" style="231" customWidth="1"/>
    <col min="7681" max="7681" width="6.421875" style="231" customWidth="1"/>
    <col min="7682" max="7682" width="12.140625" style="231" customWidth="1"/>
    <col min="7683" max="7683" width="49.28125" style="231" customWidth="1"/>
    <col min="7684" max="7684" width="10.7109375" style="231" customWidth="1"/>
    <col min="7685" max="7685" width="3.57421875" style="231" customWidth="1"/>
    <col min="7686" max="7686" width="5.7109375" style="231" customWidth="1"/>
    <col min="7687" max="7687" width="9.28125" style="231" customWidth="1"/>
    <col min="7688" max="7688" width="11.421875" style="231" customWidth="1"/>
    <col min="7689" max="7689" width="9.28125" style="231" customWidth="1"/>
    <col min="7690" max="7691" width="11.421875" style="231" customWidth="1"/>
    <col min="7692" max="7936" width="9.140625" style="231" customWidth="1"/>
    <col min="7937" max="7937" width="6.421875" style="231" customWidth="1"/>
    <col min="7938" max="7938" width="12.140625" style="231" customWidth="1"/>
    <col min="7939" max="7939" width="49.28125" style="231" customWidth="1"/>
    <col min="7940" max="7940" width="10.7109375" style="231" customWidth="1"/>
    <col min="7941" max="7941" width="3.57421875" style="231" customWidth="1"/>
    <col min="7942" max="7942" width="5.7109375" style="231" customWidth="1"/>
    <col min="7943" max="7943" width="9.28125" style="231" customWidth="1"/>
    <col min="7944" max="7944" width="11.421875" style="231" customWidth="1"/>
    <col min="7945" max="7945" width="9.28125" style="231" customWidth="1"/>
    <col min="7946" max="7947" width="11.421875" style="231" customWidth="1"/>
    <col min="7948" max="8192" width="9.140625" style="231" customWidth="1"/>
    <col min="8193" max="8193" width="6.421875" style="231" customWidth="1"/>
    <col min="8194" max="8194" width="12.140625" style="231" customWidth="1"/>
    <col min="8195" max="8195" width="49.28125" style="231" customWidth="1"/>
    <col min="8196" max="8196" width="10.7109375" style="231" customWidth="1"/>
    <col min="8197" max="8197" width="3.57421875" style="231" customWidth="1"/>
    <col min="8198" max="8198" width="5.7109375" style="231" customWidth="1"/>
    <col min="8199" max="8199" width="9.28125" style="231" customWidth="1"/>
    <col min="8200" max="8200" width="11.421875" style="231" customWidth="1"/>
    <col min="8201" max="8201" width="9.28125" style="231" customWidth="1"/>
    <col min="8202" max="8203" width="11.421875" style="231" customWidth="1"/>
    <col min="8204" max="8448" width="9.140625" style="231" customWidth="1"/>
    <col min="8449" max="8449" width="6.421875" style="231" customWidth="1"/>
    <col min="8450" max="8450" width="12.140625" style="231" customWidth="1"/>
    <col min="8451" max="8451" width="49.28125" style="231" customWidth="1"/>
    <col min="8452" max="8452" width="10.7109375" style="231" customWidth="1"/>
    <col min="8453" max="8453" width="3.57421875" style="231" customWidth="1"/>
    <col min="8454" max="8454" width="5.7109375" style="231" customWidth="1"/>
    <col min="8455" max="8455" width="9.28125" style="231" customWidth="1"/>
    <col min="8456" max="8456" width="11.421875" style="231" customWidth="1"/>
    <col min="8457" max="8457" width="9.28125" style="231" customWidth="1"/>
    <col min="8458" max="8459" width="11.421875" style="231" customWidth="1"/>
    <col min="8460" max="8704" width="9.140625" style="231" customWidth="1"/>
    <col min="8705" max="8705" width="6.421875" style="231" customWidth="1"/>
    <col min="8706" max="8706" width="12.140625" style="231" customWidth="1"/>
    <col min="8707" max="8707" width="49.28125" style="231" customWidth="1"/>
    <col min="8708" max="8708" width="10.7109375" style="231" customWidth="1"/>
    <col min="8709" max="8709" width="3.57421875" style="231" customWidth="1"/>
    <col min="8710" max="8710" width="5.7109375" style="231" customWidth="1"/>
    <col min="8711" max="8711" width="9.28125" style="231" customWidth="1"/>
    <col min="8712" max="8712" width="11.421875" style="231" customWidth="1"/>
    <col min="8713" max="8713" width="9.28125" style="231" customWidth="1"/>
    <col min="8714" max="8715" width="11.421875" style="231" customWidth="1"/>
    <col min="8716" max="8960" width="9.140625" style="231" customWidth="1"/>
    <col min="8961" max="8961" width="6.421875" style="231" customWidth="1"/>
    <col min="8962" max="8962" width="12.140625" style="231" customWidth="1"/>
    <col min="8963" max="8963" width="49.28125" style="231" customWidth="1"/>
    <col min="8964" max="8964" width="10.7109375" style="231" customWidth="1"/>
    <col min="8965" max="8965" width="3.57421875" style="231" customWidth="1"/>
    <col min="8966" max="8966" width="5.7109375" style="231" customWidth="1"/>
    <col min="8967" max="8967" width="9.28125" style="231" customWidth="1"/>
    <col min="8968" max="8968" width="11.421875" style="231" customWidth="1"/>
    <col min="8969" max="8969" width="9.28125" style="231" customWidth="1"/>
    <col min="8970" max="8971" width="11.421875" style="231" customWidth="1"/>
    <col min="8972" max="9216" width="9.140625" style="231" customWidth="1"/>
    <col min="9217" max="9217" width="6.421875" style="231" customWidth="1"/>
    <col min="9218" max="9218" width="12.140625" style="231" customWidth="1"/>
    <col min="9219" max="9219" width="49.28125" style="231" customWidth="1"/>
    <col min="9220" max="9220" width="10.7109375" style="231" customWidth="1"/>
    <col min="9221" max="9221" width="3.57421875" style="231" customWidth="1"/>
    <col min="9222" max="9222" width="5.7109375" style="231" customWidth="1"/>
    <col min="9223" max="9223" width="9.28125" style="231" customWidth="1"/>
    <col min="9224" max="9224" width="11.421875" style="231" customWidth="1"/>
    <col min="9225" max="9225" width="9.28125" style="231" customWidth="1"/>
    <col min="9226" max="9227" width="11.421875" style="231" customWidth="1"/>
    <col min="9228" max="9472" width="9.140625" style="231" customWidth="1"/>
    <col min="9473" max="9473" width="6.421875" style="231" customWidth="1"/>
    <col min="9474" max="9474" width="12.140625" style="231" customWidth="1"/>
    <col min="9475" max="9475" width="49.28125" style="231" customWidth="1"/>
    <col min="9476" max="9476" width="10.7109375" style="231" customWidth="1"/>
    <col min="9477" max="9477" width="3.57421875" style="231" customWidth="1"/>
    <col min="9478" max="9478" width="5.7109375" style="231" customWidth="1"/>
    <col min="9479" max="9479" width="9.28125" style="231" customWidth="1"/>
    <col min="9480" max="9480" width="11.421875" style="231" customWidth="1"/>
    <col min="9481" max="9481" width="9.28125" style="231" customWidth="1"/>
    <col min="9482" max="9483" width="11.421875" style="231" customWidth="1"/>
    <col min="9484" max="9728" width="9.140625" style="231" customWidth="1"/>
    <col min="9729" max="9729" width="6.421875" style="231" customWidth="1"/>
    <col min="9730" max="9730" width="12.140625" style="231" customWidth="1"/>
    <col min="9731" max="9731" width="49.28125" style="231" customWidth="1"/>
    <col min="9732" max="9732" width="10.7109375" style="231" customWidth="1"/>
    <col min="9733" max="9733" width="3.57421875" style="231" customWidth="1"/>
    <col min="9734" max="9734" width="5.7109375" style="231" customWidth="1"/>
    <col min="9735" max="9735" width="9.28125" style="231" customWidth="1"/>
    <col min="9736" max="9736" width="11.421875" style="231" customWidth="1"/>
    <col min="9737" max="9737" width="9.28125" style="231" customWidth="1"/>
    <col min="9738" max="9739" width="11.421875" style="231" customWidth="1"/>
    <col min="9740" max="9984" width="9.140625" style="231" customWidth="1"/>
    <col min="9985" max="9985" width="6.421875" style="231" customWidth="1"/>
    <col min="9986" max="9986" width="12.140625" style="231" customWidth="1"/>
    <col min="9987" max="9987" width="49.28125" style="231" customWidth="1"/>
    <col min="9988" max="9988" width="10.7109375" style="231" customWidth="1"/>
    <col min="9989" max="9989" width="3.57421875" style="231" customWidth="1"/>
    <col min="9990" max="9990" width="5.7109375" style="231" customWidth="1"/>
    <col min="9991" max="9991" width="9.28125" style="231" customWidth="1"/>
    <col min="9992" max="9992" width="11.421875" style="231" customWidth="1"/>
    <col min="9993" max="9993" width="9.28125" style="231" customWidth="1"/>
    <col min="9994" max="9995" width="11.421875" style="231" customWidth="1"/>
    <col min="9996" max="10240" width="9.140625" style="231" customWidth="1"/>
    <col min="10241" max="10241" width="6.421875" style="231" customWidth="1"/>
    <col min="10242" max="10242" width="12.140625" style="231" customWidth="1"/>
    <col min="10243" max="10243" width="49.28125" style="231" customWidth="1"/>
    <col min="10244" max="10244" width="10.7109375" style="231" customWidth="1"/>
    <col min="10245" max="10245" width="3.57421875" style="231" customWidth="1"/>
    <col min="10246" max="10246" width="5.7109375" style="231" customWidth="1"/>
    <col min="10247" max="10247" width="9.28125" style="231" customWidth="1"/>
    <col min="10248" max="10248" width="11.421875" style="231" customWidth="1"/>
    <col min="10249" max="10249" width="9.28125" style="231" customWidth="1"/>
    <col min="10250" max="10251" width="11.421875" style="231" customWidth="1"/>
    <col min="10252" max="10496" width="9.140625" style="231" customWidth="1"/>
    <col min="10497" max="10497" width="6.421875" style="231" customWidth="1"/>
    <col min="10498" max="10498" width="12.140625" style="231" customWidth="1"/>
    <col min="10499" max="10499" width="49.28125" style="231" customWidth="1"/>
    <col min="10500" max="10500" width="10.7109375" style="231" customWidth="1"/>
    <col min="10501" max="10501" width="3.57421875" style="231" customWidth="1"/>
    <col min="10502" max="10502" width="5.7109375" style="231" customWidth="1"/>
    <col min="10503" max="10503" width="9.28125" style="231" customWidth="1"/>
    <col min="10504" max="10504" width="11.421875" style="231" customWidth="1"/>
    <col min="10505" max="10505" width="9.28125" style="231" customWidth="1"/>
    <col min="10506" max="10507" width="11.421875" style="231" customWidth="1"/>
    <col min="10508" max="10752" width="9.140625" style="231" customWidth="1"/>
    <col min="10753" max="10753" width="6.421875" style="231" customWidth="1"/>
    <col min="10754" max="10754" width="12.140625" style="231" customWidth="1"/>
    <col min="10755" max="10755" width="49.28125" style="231" customWidth="1"/>
    <col min="10756" max="10756" width="10.7109375" style="231" customWidth="1"/>
    <col min="10757" max="10757" width="3.57421875" style="231" customWidth="1"/>
    <col min="10758" max="10758" width="5.7109375" style="231" customWidth="1"/>
    <col min="10759" max="10759" width="9.28125" style="231" customWidth="1"/>
    <col min="10760" max="10760" width="11.421875" style="231" customWidth="1"/>
    <col min="10761" max="10761" width="9.28125" style="231" customWidth="1"/>
    <col min="10762" max="10763" width="11.421875" style="231" customWidth="1"/>
    <col min="10764" max="11008" width="9.140625" style="231" customWidth="1"/>
    <col min="11009" max="11009" width="6.421875" style="231" customWidth="1"/>
    <col min="11010" max="11010" width="12.140625" style="231" customWidth="1"/>
    <col min="11011" max="11011" width="49.28125" style="231" customWidth="1"/>
    <col min="11012" max="11012" width="10.7109375" style="231" customWidth="1"/>
    <col min="11013" max="11013" width="3.57421875" style="231" customWidth="1"/>
    <col min="11014" max="11014" width="5.7109375" style="231" customWidth="1"/>
    <col min="11015" max="11015" width="9.28125" style="231" customWidth="1"/>
    <col min="11016" max="11016" width="11.421875" style="231" customWidth="1"/>
    <col min="11017" max="11017" width="9.28125" style="231" customWidth="1"/>
    <col min="11018" max="11019" width="11.421875" style="231" customWidth="1"/>
    <col min="11020" max="11264" width="9.140625" style="231" customWidth="1"/>
    <col min="11265" max="11265" width="6.421875" style="231" customWidth="1"/>
    <col min="11266" max="11266" width="12.140625" style="231" customWidth="1"/>
    <col min="11267" max="11267" width="49.28125" style="231" customWidth="1"/>
    <col min="11268" max="11268" width="10.7109375" style="231" customWidth="1"/>
    <col min="11269" max="11269" width="3.57421875" style="231" customWidth="1"/>
    <col min="11270" max="11270" width="5.7109375" style="231" customWidth="1"/>
    <col min="11271" max="11271" width="9.28125" style="231" customWidth="1"/>
    <col min="11272" max="11272" width="11.421875" style="231" customWidth="1"/>
    <col min="11273" max="11273" width="9.28125" style="231" customWidth="1"/>
    <col min="11274" max="11275" width="11.421875" style="231" customWidth="1"/>
    <col min="11276" max="11520" width="9.140625" style="231" customWidth="1"/>
    <col min="11521" max="11521" width="6.421875" style="231" customWidth="1"/>
    <col min="11522" max="11522" width="12.140625" style="231" customWidth="1"/>
    <col min="11523" max="11523" width="49.28125" style="231" customWidth="1"/>
    <col min="11524" max="11524" width="10.7109375" style="231" customWidth="1"/>
    <col min="11525" max="11525" width="3.57421875" style="231" customWidth="1"/>
    <col min="11526" max="11526" width="5.7109375" style="231" customWidth="1"/>
    <col min="11527" max="11527" width="9.28125" style="231" customWidth="1"/>
    <col min="11528" max="11528" width="11.421875" style="231" customWidth="1"/>
    <col min="11529" max="11529" width="9.28125" style="231" customWidth="1"/>
    <col min="11530" max="11531" width="11.421875" style="231" customWidth="1"/>
    <col min="11532" max="11776" width="9.140625" style="231" customWidth="1"/>
    <col min="11777" max="11777" width="6.421875" style="231" customWidth="1"/>
    <col min="11778" max="11778" width="12.140625" style="231" customWidth="1"/>
    <col min="11779" max="11779" width="49.28125" style="231" customWidth="1"/>
    <col min="11780" max="11780" width="10.7109375" style="231" customWidth="1"/>
    <col min="11781" max="11781" width="3.57421875" style="231" customWidth="1"/>
    <col min="11782" max="11782" width="5.7109375" style="231" customWidth="1"/>
    <col min="11783" max="11783" width="9.28125" style="231" customWidth="1"/>
    <col min="11784" max="11784" width="11.421875" style="231" customWidth="1"/>
    <col min="11785" max="11785" width="9.28125" style="231" customWidth="1"/>
    <col min="11786" max="11787" width="11.421875" style="231" customWidth="1"/>
    <col min="11788" max="12032" width="9.140625" style="231" customWidth="1"/>
    <col min="12033" max="12033" width="6.421875" style="231" customWidth="1"/>
    <col min="12034" max="12034" width="12.140625" style="231" customWidth="1"/>
    <col min="12035" max="12035" width="49.28125" style="231" customWidth="1"/>
    <col min="12036" max="12036" width="10.7109375" style="231" customWidth="1"/>
    <col min="12037" max="12037" width="3.57421875" style="231" customWidth="1"/>
    <col min="12038" max="12038" width="5.7109375" style="231" customWidth="1"/>
    <col min="12039" max="12039" width="9.28125" style="231" customWidth="1"/>
    <col min="12040" max="12040" width="11.421875" style="231" customWidth="1"/>
    <col min="12041" max="12041" width="9.28125" style="231" customWidth="1"/>
    <col min="12042" max="12043" width="11.421875" style="231" customWidth="1"/>
    <col min="12044" max="12288" width="9.140625" style="231" customWidth="1"/>
    <col min="12289" max="12289" width="6.421875" style="231" customWidth="1"/>
    <col min="12290" max="12290" width="12.140625" style="231" customWidth="1"/>
    <col min="12291" max="12291" width="49.28125" style="231" customWidth="1"/>
    <col min="12292" max="12292" width="10.7109375" style="231" customWidth="1"/>
    <col min="12293" max="12293" width="3.57421875" style="231" customWidth="1"/>
    <col min="12294" max="12294" width="5.7109375" style="231" customWidth="1"/>
    <col min="12295" max="12295" width="9.28125" style="231" customWidth="1"/>
    <col min="12296" max="12296" width="11.421875" style="231" customWidth="1"/>
    <col min="12297" max="12297" width="9.28125" style="231" customWidth="1"/>
    <col min="12298" max="12299" width="11.421875" style="231" customWidth="1"/>
    <col min="12300" max="12544" width="9.140625" style="231" customWidth="1"/>
    <col min="12545" max="12545" width="6.421875" style="231" customWidth="1"/>
    <col min="12546" max="12546" width="12.140625" style="231" customWidth="1"/>
    <col min="12547" max="12547" width="49.28125" style="231" customWidth="1"/>
    <col min="12548" max="12548" width="10.7109375" style="231" customWidth="1"/>
    <col min="12549" max="12549" width="3.57421875" style="231" customWidth="1"/>
    <col min="12550" max="12550" width="5.7109375" style="231" customWidth="1"/>
    <col min="12551" max="12551" width="9.28125" style="231" customWidth="1"/>
    <col min="12552" max="12552" width="11.421875" style="231" customWidth="1"/>
    <col min="12553" max="12553" width="9.28125" style="231" customWidth="1"/>
    <col min="12554" max="12555" width="11.421875" style="231" customWidth="1"/>
    <col min="12556" max="12800" width="9.140625" style="231" customWidth="1"/>
    <col min="12801" max="12801" width="6.421875" style="231" customWidth="1"/>
    <col min="12802" max="12802" width="12.140625" style="231" customWidth="1"/>
    <col min="12803" max="12803" width="49.28125" style="231" customWidth="1"/>
    <col min="12804" max="12804" width="10.7109375" style="231" customWidth="1"/>
    <col min="12805" max="12805" width="3.57421875" style="231" customWidth="1"/>
    <col min="12806" max="12806" width="5.7109375" style="231" customWidth="1"/>
    <col min="12807" max="12807" width="9.28125" style="231" customWidth="1"/>
    <col min="12808" max="12808" width="11.421875" style="231" customWidth="1"/>
    <col min="12809" max="12809" width="9.28125" style="231" customWidth="1"/>
    <col min="12810" max="12811" width="11.421875" style="231" customWidth="1"/>
    <col min="12812" max="13056" width="9.140625" style="231" customWidth="1"/>
    <col min="13057" max="13057" width="6.421875" style="231" customWidth="1"/>
    <col min="13058" max="13058" width="12.140625" style="231" customWidth="1"/>
    <col min="13059" max="13059" width="49.28125" style="231" customWidth="1"/>
    <col min="13060" max="13060" width="10.7109375" style="231" customWidth="1"/>
    <col min="13061" max="13061" width="3.57421875" style="231" customWidth="1"/>
    <col min="13062" max="13062" width="5.7109375" style="231" customWidth="1"/>
    <col min="13063" max="13063" width="9.28125" style="231" customWidth="1"/>
    <col min="13064" max="13064" width="11.421875" style="231" customWidth="1"/>
    <col min="13065" max="13065" width="9.28125" style="231" customWidth="1"/>
    <col min="13066" max="13067" width="11.421875" style="231" customWidth="1"/>
    <col min="13068" max="13312" width="9.140625" style="231" customWidth="1"/>
    <col min="13313" max="13313" width="6.421875" style="231" customWidth="1"/>
    <col min="13314" max="13314" width="12.140625" style="231" customWidth="1"/>
    <col min="13315" max="13315" width="49.28125" style="231" customWidth="1"/>
    <col min="13316" max="13316" width="10.7109375" style="231" customWidth="1"/>
    <col min="13317" max="13317" width="3.57421875" style="231" customWidth="1"/>
    <col min="13318" max="13318" width="5.7109375" style="231" customWidth="1"/>
    <col min="13319" max="13319" width="9.28125" style="231" customWidth="1"/>
    <col min="13320" max="13320" width="11.421875" style="231" customWidth="1"/>
    <col min="13321" max="13321" width="9.28125" style="231" customWidth="1"/>
    <col min="13322" max="13323" width="11.421875" style="231" customWidth="1"/>
    <col min="13324" max="13568" width="9.140625" style="231" customWidth="1"/>
    <col min="13569" max="13569" width="6.421875" style="231" customWidth="1"/>
    <col min="13570" max="13570" width="12.140625" style="231" customWidth="1"/>
    <col min="13571" max="13571" width="49.28125" style="231" customWidth="1"/>
    <col min="13572" max="13572" width="10.7109375" style="231" customWidth="1"/>
    <col min="13573" max="13573" width="3.57421875" style="231" customWidth="1"/>
    <col min="13574" max="13574" width="5.7109375" style="231" customWidth="1"/>
    <col min="13575" max="13575" width="9.28125" style="231" customWidth="1"/>
    <col min="13576" max="13576" width="11.421875" style="231" customWidth="1"/>
    <col min="13577" max="13577" width="9.28125" style="231" customWidth="1"/>
    <col min="13578" max="13579" width="11.421875" style="231" customWidth="1"/>
    <col min="13580" max="13824" width="9.140625" style="231" customWidth="1"/>
    <col min="13825" max="13825" width="6.421875" style="231" customWidth="1"/>
    <col min="13826" max="13826" width="12.140625" style="231" customWidth="1"/>
    <col min="13827" max="13827" width="49.28125" style="231" customWidth="1"/>
    <col min="13828" max="13828" width="10.7109375" style="231" customWidth="1"/>
    <col min="13829" max="13829" width="3.57421875" style="231" customWidth="1"/>
    <col min="13830" max="13830" width="5.7109375" style="231" customWidth="1"/>
    <col min="13831" max="13831" width="9.28125" style="231" customWidth="1"/>
    <col min="13832" max="13832" width="11.421875" style="231" customWidth="1"/>
    <col min="13833" max="13833" width="9.28125" style="231" customWidth="1"/>
    <col min="13834" max="13835" width="11.421875" style="231" customWidth="1"/>
    <col min="13836" max="14080" width="9.140625" style="231" customWidth="1"/>
    <col min="14081" max="14081" width="6.421875" style="231" customWidth="1"/>
    <col min="14082" max="14082" width="12.140625" style="231" customWidth="1"/>
    <col min="14083" max="14083" width="49.28125" style="231" customWidth="1"/>
    <col min="14084" max="14084" width="10.7109375" style="231" customWidth="1"/>
    <col min="14085" max="14085" width="3.57421875" style="231" customWidth="1"/>
    <col min="14086" max="14086" width="5.7109375" style="231" customWidth="1"/>
    <col min="14087" max="14087" width="9.28125" style="231" customWidth="1"/>
    <col min="14088" max="14088" width="11.421875" style="231" customWidth="1"/>
    <col min="14089" max="14089" width="9.28125" style="231" customWidth="1"/>
    <col min="14090" max="14091" width="11.421875" style="231" customWidth="1"/>
    <col min="14092" max="14336" width="9.140625" style="231" customWidth="1"/>
    <col min="14337" max="14337" width="6.421875" style="231" customWidth="1"/>
    <col min="14338" max="14338" width="12.140625" style="231" customWidth="1"/>
    <col min="14339" max="14339" width="49.28125" style="231" customWidth="1"/>
    <col min="14340" max="14340" width="10.7109375" style="231" customWidth="1"/>
    <col min="14341" max="14341" width="3.57421875" style="231" customWidth="1"/>
    <col min="14342" max="14342" width="5.7109375" style="231" customWidth="1"/>
    <col min="14343" max="14343" width="9.28125" style="231" customWidth="1"/>
    <col min="14344" max="14344" width="11.421875" style="231" customWidth="1"/>
    <col min="14345" max="14345" width="9.28125" style="231" customWidth="1"/>
    <col min="14346" max="14347" width="11.421875" style="231" customWidth="1"/>
    <col min="14348" max="14592" width="9.140625" style="231" customWidth="1"/>
    <col min="14593" max="14593" width="6.421875" style="231" customWidth="1"/>
    <col min="14594" max="14594" width="12.140625" style="231" customWidth="1"/>
    <col min="14595" max="14595" width="49.28125" style="231" customWidth="1"/>
    <col min="14596" max="14596" width="10.7109375" style="231" customWidth="1"/>
    <col min="14597" max="14597" width="3.57421875" style="231" customWidth="1"/>
    <col min="14598" max="14598" width="5.7109375" style="231" customWidth="1"/>
    <col min="14599" max="14599" width="9.28125" style="231" customWidth="1"/>
    <col min="14600" max="14600" width="11.421875" style="231" customWidth="1"/>
    <col min="14601" max="14601" width="9.28125" style="231" customWidth="1"/>
    <col min="14602" max="14603" width="11.421875" style="231" customWidth="1"/>
    <col min="14604" max="14848" width="9.140625" style="231" customWidth="1"/>
    <col min="14849" max="14849" width="6.421875" style="231" customWidth="1"/>
    <col min="14850" max="14850" width="12.140625" style="231" customWidth="1"/>
    <col min="14851" max="14851" width="49.28125" style="231" customWidth="1"/>
    <col min="14852" max="14852" width="10.7109375" style="231" customWidth="1"/>
    <col min="14853" max="14853" width="3.57421875" style="231" customWidth="1"/>
    <col min="14854" max="14854" width="5.7109375" style="231" customWidth="1"/>
    <col min="14855" max="14855" width="9.28125" style="231" customWidth="1"/>
    <col min="14856" max="14856" width="11.421875" style="231" customWidth="1"/>
    <col min="14857" max="14857" width="9.28125" style="231" customWidth="1"/>
    <col min="14858" max="14859" width="11.421875" style="231" customWidth="1"/>
    <col min="14860" max="15104" width="9.140625" style="231" customWidth="1"/>
    <col min="15105" max="15105" width="6.421875" style="231" customWidth="1"/>
    <col min="15106" max="15106" width="12.140625" style="231" customWidth="1"/>
    <col min="15107" max="15107" width="49.28125" style="231" customWidth="1"/>
    <col min="15108" max="15108" width="10.7109375" style="231" customWidth="1"/>
    <col min="15109" max="15109" width="3.57421875" style="231" customWidth="1"/>
    <col min="15110" max="15110" width="5.7109375" style="231" customWidth="1"/>
    <col min="15111" max="15111" width="9.28125" style="231" customWidth="1"/>
    <col min="15112" max="15112" width="11.421875" style="231" customWidth="1"/>
    <col min="15113" max="15113" width="9.28125" style="231" customWidth="1"/>
    <col min="15114" max="15115" width="11.421875" style="231" customWidth="1"/>
    <col min="15116" max="15360" width="9.140625" style="231" customWidth="1"/>
    <col min="15361" max="15361" width="6.421875" style="231" customWidth="1"/>
    <col min="15362" max="15362" width="12.140625" style="231" customWidth="1"/>
    <col min="15363" max="15363" width="49.28125" style="231" customWidth="1"/>
    <col min="15364" max="15364" width="10.7109375" style="231" customWidth="1"/>
    <col min="15365" max="15365" width="3.57421875" style="231" customWidth="1"/>
    <col min="15366" max="15366" width="5.7109375" style="231" customWidth="1"/>
    <col min="15367" max="15367" width="9.28125" style="231" customWidth="1"/>
    <col min="15368" max="15368" width="11.421875" style="231" customWidth="1"/>
    <col min="15369" max="15369" width="9.28125" style="231" customWidth="1"/>
    <col min="15370" max="15371" width="11.421875" style="231" customWidth="1"/>
    <col min="15372" max="15616" width="9.140625" style="231" customWidth="1"/>
    <col min="15617" max="15617" width="6.421875" style="231" customWidth="1"/>
    <col min="15618" max="15618" width="12.140625" style="231" customWidth="1"/>
    <col min="15619" max="15619" width="49.28125" style="231" customWidth="1"/>
    <col min="15620" max="15620" width="10.7109375" style="231" customWidth="1"/>
    <col min="15621" max="15621" width="3.57421875" style="231" customWidth="1"/>
    <col min="15622" max="15622" width="5.7109375" style="231" customWidth="1"/>
    <col min="15623" max="15623" width="9.28125" style="231" customWidth="1"/>
    <col min="15624" max="15624" width="11.421875" style="231" customWidth="1"/>
    <col min="15625" max="15625" width="9.28125" style="231" customWidth="1"/>
    <col min="15626" max="15627" width="11.421875" style="231" customWidth="1"/>
    <col min="15628" max="15872" width="9.140625" style="231" customWidth="1"/>
    <col min="15873" max="15873" width="6.421875" style="231" customWidth="1"/>
    <col min="15874" max="15874" width="12.140625" style="231" customWidth="1"/>
    <col min="15875" max="15875" width="49.28125" style="231" customWidth="1"/>
    <col min="15876" max="15876" width="10.7109375" style="231" customWidth="1"/>
    <col min="15877" max="15877" width="3.57421875" style="231" customWidth="1"/>
    <col min="15878" max="15878" width="5.7109375" style="231" customWidth="1"/>
    <col min="15879" max="15879" width="9.28125" style="231" customWidth="1"/>
    <col min="15880" max="15880" width="11.421875" style="231" customWidth="1"/>
    <col min="15881" max="15881" width="9.28125" style="231" customWidth="1"/>
    <col min="15882" max="15883" width="11.421875" style="231" customWidth="1"/>
    <col min="15884" max="16128" width="9.140625" style="231" customWidth="1"/>
    <col min="16129" max="16129" width="6.421875" style="231" customWidth="1"/>
    <col min="16130" max="16130" width="12.140625" style="231" customWidth="1"/>
    <col min="16131" max="16131" width="49.28125" style="231" customWidth="1"/>
    <col min="16132" max="16132" width="10.7109375" style="231" customWidth="1"/>
    <col min="16133" max="16133" width="3.57421875" style="231" customWidth="1"/>
    <col min="16134" max="16134" width="5.7109375" style="231" customWidth="1"/>
    <col min="16135" max="16135" width="9.28125" style="231" customWidth="1"/>
    <col min="16136" max="16136" width="11.421875" style="231" customWidth="1"/>
    <col min="16137" max="16137" width="9.28125" style="231" customWidth="1"/>
    <col min="16138" max="16139" width="11.421875" style="231" customWidth="1"/>
    <col min="16140" max="16384" width="9.140625" style="231" customWidth="1"/>
  </cols>
  <sheetData>
    <row r="4" spans="1:11" s="236" customFormat="1" ht="18">
      <c r="A4" s="232" t="s">
        <v>2889</v>
      </c>
      <c r="B4" s="233"/>
      <c r="C4" s="233"/>
      <c r="D4" s="233"/>
      <c r="E4" s="233"/>
      <c r="F4" s="234"/>
      <c r="G4" s="235"/>
      <c r="H4" s="235"/>
      <c r="I4" s="235"/>
      <c r="J4" s="235"/>
      <c r="K4" s="235"/>
    </row>
    <row r="5" spans="1:11" s="241" customFormat="1" ht="11.25">
      <c r="A5" s="237" t="s">
        <v>2890</v>
      </c>
      <c r="B5" s="237"/>
      <c r="C5" s="237" t="s">
        <v>2891</v>
      </c>
      <c r="D5" s="238"/>
      <c r="E5" s="238"/>
      <c r="F5" s="239"/>
      <c r="G5" s="240"/>
      <c r="H5" s="240"/>
      <c r="I5" s="240"/>
      <c r="J5" s="240"/>
      <c r="K5" s="240"/>
    </row>
    <row r="6" spans="1:11" s="241" customFormat="1" ht="11.25">
      <c r="A6" s="237" t="s">
        <v>2892</v>
      </c>
      <c r="B6" s="237"/>
      <c r="C6" s="237"/>
      <c r="D6" s="238"/>
      <c r="E6" s="238"/>
      <c r="F6" s="242" t="s">
        <v>17</v>
      </c>
      <c r="G6" s="240"/>
      <c r="H6" s="240"/>
      <c r="I6" s="240"/>
      <c r="J6" s="240"/>
      <c r="K6" s="240"/>
    </row>
    <row r="7" spans="1:11" s="241" customFormat="1" ht="11.25" customHeight="1">
      <c r="A7" s="237" t="s">
        <v>2893</v>
      </c>
      <c r="B7" s="237"/>
      <c r="C7" s="237" t="s">
        <v>2894</v>
      </c>
      <c r="D7" s="238"/>
      <c r="E7" s="238"/>
      <c r="F7" s="514" t="s">
        <v>2895</v>
      </c>
      <c r="G7" s="515"/>
      <c r="H7" s="515"/>
      <c r="I7" s="515"/>
      <c r="J7" s="515"/>
      <c r="K7" s="515"/>
    </row>
    <row r="8" spans="1:11" s="241" customFormat="1" ht="11.25" customHeight="1">
      <c r="A8" s="238" t="s">
        <v>2</v>
      </c>
      <c r="B8" s="238"/>
      <c r="C8" s="238"/>
      <c r="D8" s="238"/>
      <c r="E8" s="238"/>
      <c r="F8" s="243" t="s">
        <v>18</v>
      </c>
      <c r="G8" s="240"/>
      <c r="H8" s="240"/>
      <c r="I8" s="240"/>
      <c r="J8" s="240"/>
      <c r="K8" s="240"/>
    </row>
    <row r="9" spans="1:11" s="241" customFormat="1" ht="11.25" customHeight="1">
      <c r="A9" s="238" t="s">
        <v>2896</v>
      </c>
      <c r="B9" s="238"/>
      <c r="C9" s="238"/>
      <c r="D9" s="238"/>
      <c r="E9" s="244"/>
      <c r="F9" s="516">
        <v>43896</v>
      </c>
      <c r="G9" s="517"/>
      <c r="H9" s="517"/>
      <c r="I9" s="517"/>
      <c r="J9" s="517"/>
      <c r="K9" s="517"/>
    </row>
    <row r="10" spans="1:11" s="241" customFormat="1" ht="11.25">
      <c r="A10" s="245"/>
      <c r="B10" s="245"/>
      <c r="C10" s="245"/>
      <c r="D10" s="245"/>
      <c r="E10" s="245"/>
      <c r="F10" s="246"/>
      <c r="G10" s="247"/>
      <c r="H10" s="247"/>
      <c r="I10" s="247"/>
      <c r="J10" s="247"/>
      <c r="K10" s="247"/>
    </row>
    <row r="11" spans="1:11" s="248" customFormat="1" ht="11.25" customHeight="1">
      <c r="A11" s="518"/>
      <c r="B11" s="519"/>
      <c r="C11" s="519"/>
      <c r="D11" s="519"/>
      <c r="E11" s="519"/>
      <c r="F11" s="519"/>
      <c r="G11" s="520"/>
      <c r="H11" s="519"/>
      <c r="I11" s="520"/>
      <c r="J11" s="519"/>
      <c r="K11" s="520"/>
    </row>
    <row r="12" spans="1:11" s="249" customFormat="1" ht="15" customHeight="1">
      <c r="A12" s="521" t="s">
        <v>2338</v>
      </c>
      <c r="B12" s="523" t="s">
        <v>2897</v>
      </c>
      <c r="C12" s="525" t="s">
        <v>2898</v>
      </c>
      <c r="D12" s="526" t="s">
        <v>2899</v>
      </c>
      <c r="E12" s="525" t="s">
        <v>65</v>
      </c>
      <c r="F12" s="528" t="s">
        <v>2900</v>
      </c>
      <c r="G12" s="510" t="s">
        <v>2901</v>
      </c>
      <c r="H12" s="531"/>
      <c r="I12" s="510" t="s">
        <v>2902</v>
      </c>
      <c r="J12" s="511"/>
      <c r="K12" s="512" t="s">
        <v>73</v>
      </c>
    </row>
    <row r="13" spans="1:11" s="249" customFormat="1" ht="15" customHeight="1">
      <c r="A13" s="521"/>
      <c r="B13" s="523"/>
      <c r="C13" s="525"/>
      <c r="D13" s="526"/>
      <c r="E13" s="525"/>
      <c r="F13" s="529"/>
      <c r="G13" s="250" t="s">
        <v>2903</v>
      </c>
      <c r="H13" s="251" t="s">
        <v>73</v>
      </c>
      <c r="I13" s="250" t="s">
        <v>2903</v>
      </c>
      <c r="J13" s="251" t="s">
        <v>73</v>
      </c>
      <c r="K13" s="513"/>
    </row>
    <row r="14" spans="1:11" s="249" customFormat="1" ht="15" customHeight="1">
      <c r="A14" s="522"/>
      <c r="B14" s="524"/>
      <c r="C14" s="524"/>
      <c r="D14" s="527"/>
      <c r="E14" s="524"/>
      <c r="F14" s="530"/>
      <c r="G14" s="251" t="s">
        <v>2904</v>
      </c>
      <c r="H14" s="251" t="s">
        <v>1764</v>
      </c>
      <c r="I14" s="251" t="s">
        <v>2904</v>
      </c>
      <c r="J14" s="251" t="s">
        <v>1764</v>
      </c>
      <c r="K14" s="252" t="s">
        <v>1764</v>
      </c>
    </row>
    <row r="15" spans="1:11" ht="12.75">
      <c r="A15" s="253"/>
      <c r="B15" s="254" t="s">
        <v>50</v>
      </c>
      <c r="C15" s="255" t="s">
        <v>2905</v>
      </c>
      <c r="D15" s="256"/>
      <c r="E15" s="257"/>
      <c r="F15" s="258"/>
      <c r="G15" s="258"/>
      <c r="H15" s="258"/>
      <c r="I15" s="258"/>
      <c r="J15" s="258"/>
      <c r="K15" s="258"/>
    </row>
    <row r="16" spans="1:11" ht="12.75">
      <c r="A16" s="253"/>
      <c r="B16" s="254" t="s">
        <v>50</v>
      </c>
      <c r="C16" s="255" t="s">
        <v>2906</v>
      </c>
      <c r="D16" s="256"/>
      <c r="E16" s="257"/>
      <c r="F16" s="258"/>
      <c r="G16" s="258"/>
      <c r="H16" s="258"/>
      <c r="I16" s="258"/>
      <c r="J16" s="258"/>
      <c r="K16" s="258"/>
    </row>
    <row r="17" spans="1:11" ht="12.75">
      <c r="A17" s="253"/>
      <c r="B17" s="254" t="s">
        <v>50</v>
      </c>
      <c r="C17" s="255" t="s">
        <v>2907</v>
      </c>
      <c r="D17" s="256"/>
      <c r="E17" s="257"/>
      <c r="F17" s="258"/>
      <c r="G17" s="258"/>
      <c r="H17" s="258"/>
      <c r="I17" s="258"/>
      <c r="J17" s="258"/>
      <c r="K17" s="258"/>
    </row>
    <row r="18" spans="1:11" ht="12.75">
      <c r="A18" s="253"/>
      <c r="B18" s="254" t="s">
        <v>50</v>
      </c>
      <c r="C18" s="255" t="s">
        <v>2908</v>
      </c>
      <c r="D18" s="256"/>
      <c r="E18" s="257"/>
      <c r="F18" s="258"/>
      <c r="G18" s="258"/>
      <c r="H18" s="258"/>
      <c r="I18" s="258"/>
      <c r="J18" s="258"/>
      <c r="K18" s="258"/>
    </row>
    <row r="19" spans="1:11" s="241" customFormat="1" ht="6" customHeight="1">
      <c r="A19" s="259"/>
      <c r="B19" s="260"/>
      <c r="C19" s="260"/>
      <c r="D19" s="260"/>
      <c r="E19" s="261"/>
      <c r="F19" s="262"/>
      <c r="G19" s="262"/>
      <c r="H19" s="262"/>
      <c r="I19" s="262"/>
      <c r="J19" s="262"/>
      <c r="K19" s="262"/>
    </row>
    <row r="20" spans="1:11" s="266" customFormat="1" ht="12.75">
      <c r="A20" s="263"/>
      <c r="B20" s="263"/>
      <c r="C20" s="264" t="s">
        <v>2909</v>
      </c>
      <c r="D20" s="263"/>
      <c r="E20" s="263"/>
      <c r="F20" s="263"/>
      <c r="G20" s="263"/>
      <c r="H20" s="265">
        <f>SUM(H21:H27)</f>
        <v>37490.207142857136</v>
      </c>
      <c r="I20" s="263"/>
      <c r="J20" s="265">
        <f>SUM(J21:J27)</f>
        <v>3600</v>
      </c>
      <c r="K20" s="265">
        <f>SUM(K21:K27)</f>
        <v>41090.207142857136</v>
      </c>
    </row>
    <row r="21" spans="1:11" s="274" customFormat="1" ht="22.5">
      <c r="A21" s="267"/>
      <c r="B21" s="268" t="s">
        <v>2910</v>
      </c>
      <c r="C21" s="269" t="s">
        <v>2911</v>
      </c>
      <c r="D21" s="267" t="s">
        <v>2912</v>
      </c>
      <c r="E21" s="270" t="s">
        <v>2107</v>
      </c>
      <c r="F21" s="271">
        <v>1</v>
      </c>
      <c r="G21" s="272">
        <v>2910.882857142857</v>
      </c>
      <c r="H21" s="272">
        <f>F21*G21</f>
        <v>2910.882857142857</v>
      </c>
      <c r="I21" s="272">
        <v>1000</v>
      </c>
      <c r="J21" s="272">
        <f>F21*I21</f>
        <v>1000</v>
      </c>
      <c r="K21" s="273">
        <f>H21+J21</f>
        <v>3910.882857142857</v>
      </c>
    </row>
    <row r="22" spans="1:11" s="274" customFormat="1" ht="22.5">
      <c r="A22" s="267"/>
      <c r="B22" s="268" t="s">
        <v>2913</v>
      </c>
      <c r="C22" s="269" t="s">
        <v>2914</v>
      </c>
      <c r="D22" s="267" t="s">
        <v>2915</v>
      </c>
      <c r="E22" s="270" t="s">
        <v>2107</v>
      </c>
      <c r="F22" s="271">
        <v>1</v>
      </c>
      <c r="G22" s="272">
        <v>676.7357142857144</v>
      </c>
      <c r="H22" s="272">
        <f aca="true" t="shared" si="0" ref="H22:H27">F22*G22</f>
        <v>676.7357142857144</v>
      </c>
      <c r="I22" s="272">
        <v>400</v>
      </c>
      <c r="J22" s="272">
        <f aca="true" t="shared" si="1" ref="J22:J27">F22*I22</f>
        <v>400</v>
      </c>
      <c r="K22" s="273">
        <f aca="true" t="shared" si="2" ref="K22:K27">H22+J22</f>
        <v>1076.7357142857145</v>
      </c>
    </row>
    <row r="23" spans="1:11" s="274" customFormat="1" ht="22.5">
      <c r="A23" s="267"/>
      <c r="B23" s="268" t="s">
        <v>2916</v>
      </c>
      <c r="C23" s="269" t="s">
        <v>2917</v>
      </c>
      <c r="D23" s="267" t="s">
        <v>2918</v>
      </c>
      <c r="E23" s="270" t="s">
        <v>2107</v>
      </c>
      <c r="F23" s="271">
        <v>1</v>
      </c>
      <c r="G23" s="272">
        <v>857.9314285714286</v>
      </c>
      <c r="H23" s="272">
        <f t="shared" si="0"/>
        <v>857.9314285714286</v>
      </c>
      <c r="I23" s="272">
        <v>800</v>
      </c>
      <c r="J23" s="272">
        <f t="shared" si="1"/>
        <v>800</v>
      </c>
      <c r="K23" s="273">
        <f t="shared" si="2"/>
        <v>1657.9314285714286</v>
      </c>
    </row>
    <row r="24" spans="1:11" s="274" customFormat="1" ht="22.5">
      <c r="A24" s="267"/>
      <c r="B24" s="268" t="s">
        <v>2919</v>
      </c>
      <c r="C24" s="269" t="s">
        <v>2920</v>
      </c>
      <c r="D24" s="267" t="s">
        <v>2912</v>
      </c>
      <c r="E24" s="270" t="s">
        <v>2107</v>
      </c>
      <c r="F24" s="271">
        <v>1</v>
      </c>
      <c r="G24" s="272">
        <v>201.36857142857144</v>
      </c>
      <c r="H24" s="272">
        <f t="shared" si="0"/>
        <v>201.36857142857144</v>
      </c>
      <c r="I24" s="272">
        <v>0</v>
      </c>
      <c r="J24" s="272">
        <f t="shared" si="1"/>
        <v>0</v>
      </c>
      <c r="K24" s="273">
        <f t="shared" si="2"/>
        <v>201.36857142857144</v>
      </c>
    </row>
    <row r="25" spans="1:11" s="274" customFormat="1" ht="22.5">
      <c r="A25" s="267"/>
      <c r="B25" s="268" t="s">
        <v>2921</v>
      </c>
      <c r="C25" s="269" t="s">
        <v>2922</v>
      </c>
      <c r="D25" s="267" t="s">
        <v>2923</v>
      </c>
      <c r="E25" s="270" t="s">
        <v>2107</v>
      </c>
      <c r="F25" s="271">
        <v>1</v>
      </c>
      <c r="G25" s="272">
        <v>2535.4285714285716</v>
      </c>
      <c r="H25" s="272">
        <f t="shared" si="0"/>
        <v>2535.4285714285716</v>
      </c>
      <c r="I25" s="272">
        <v>400</v>
      </c>
      <c r="J25" s="272">
        <f t="shared" si="1"/>
        <v>400</v>
      </c>
      <c r="K25" s="273">
        <f t="shared" si="2"/>
        <v>2935.4285714285716</v>
      </c>
    </row>
    <row r="26" spans="1:11" s="274" customFormat="1" ht="11.25">
      <c r="A26" s="267"/>
      <c r="B26" s="268" t="s">
        <v>2924</v>
      </c>
      <c r="C26" s="269" t="s">
        <v>2925</v>
      </c>
      <c r="D26" s="267" t="s">
        <v>2918</v>
      </c>
      <c r="E26" s="270" t="s">
        <v>2107</v>
      </c>
      <c r="F26" s="271">
        <v>6</v>
      </c>
      <c r="G26" s="272">
        <v>18.810000000000002</v>
      </c>
      <c r="H26" s="272">
        <f t="shared" si="0"/>
        <v>112.86000000000001</v>
      </c>
      <c r="I26" s="272">
        <v>0</v>
      </c>
      <c r="J26" s="272">
        <f t="shared" si="1"/>
        <v>0</v>
      </c>
      <c r="K26" s="273">
        <f t="shared" si="2"/>
        <v>112.86000000000001</v>
      </c>
    </row>
    <row r="27" spans="1:11" s="274" customFormat="1" ht="78.75">
      <c r="A27" s="267"/>
      <c r="B27" s="268" t="s">
        <v>2926</v>
      </c>
      <c r="C27" s="269" t="s">
        <v>2927</v>
      </c>
      <c r="D27" s="267" t="s">
        <v>2928</v>
      </c>
      <c r="E27" s="270" t="s">
        <v>2107</v>
      </c>
      <c r="F27" s="271">
        <v>5</v>
      </c>
      <c r="G27" s="272">
        <v>6038.999999999999</v>
      </c>
      <c r="H27" s="272">
        <f t="shared" si="0"/>
        <v>30194.999999999996</v>
      </c>
      <c r="I27" s="272">
        <v>200</v>
      </c>
      <c r="J27" s="272">
        <f t="shared" si="1"/>
        <v>1000</v>
      </c>
      <c r="K27" s="273">
        <f t="shared" si="2"/>
        <v>31194.999999999996</v>
      </c>
    </row>
    <row r="28" spans="1:11" s="241" customFormat="1" ht="6" customHeight="1">
      <c r="A28" s="259"/>
      <c r="B28" s="260"/>
      <c r="C28" s="260"/>
      <c r="D28" s="260"/>
      <c r="E28" s="261"/>
      <c r="F28" s="262"/>
      <c r="G28" s="262"/>
      <c r="H28" s="262"/>
      <c r="I28" s="262"/>
      <c r="J28" s="262"/>
      <c r="K28" s="262"/>
    </row>
    <row r="29" spans="1:11" s="266" customFormat="1" ht="12.75">
      <c r="A29" s="263"/>
      <c r="B29" s="263"/>
      <c r="C29" s="264" t="s">
        <v>2929</v>
      </c>
      <c r="D29" s="263"/>
      <c r="E29" s="263"/>
      <c r="F29" s="263"/>
      <c r="G29" s="263"/>
      <c r="H29" s="265">
        <f>SUM(H30:H32)</f>
        <v>7659.200000000002</v>
      </c>
      <c r="I29" s="263"/>
      <c r="J29" s="265">
        <f>SUM(J30:J32)</f>
        <v>18450</v>
      </c>
      <c r="K29" s="265">
        <f>SUM(K30:K32)</f>
        <v>26109.2</v>
      </c>
    </row>
    <row r="30" spans="1:11" s="274" customFormat="1" ht="33.75">
      <c r="A30" s="267"/>
      <c r="B30" s="268" t="s">
        <v>2930</v>
      </c>
      <c r="C30" s="269" t="s">
        <v>2931</v>
      </c>
      <c r="D30" s="267" t="s">
        <v>2918</v>
      </c>
      <c r="E30" s="270" t="s">
        <v>395</v>
      </c>
      <c r="F30" s="271">
        <v>400</v>
      </c>
      <c r="G30" s="272">
        <v>7.719428571428573</v>
      </c>
      <c r="H30" s="272">
        <f>F30*G30</f>
        <v>3087.771428571429</v>
      </c>
      <c r="I30" s="272">
        <v>15</v>
      </c>
      <c r="J30" s="272">
        <f>F30*I30</f>
        <v>6000</v>
      </c>
      <c r="K30" s="273">
        <f>H30+J30</f>
        <v>9087.771428571428</v>
      </c>
    </row>
    <row r="31" spans="1:11" s="274" customFormat="1" ht="22.5">
      <c r="A31" s="267"/>
      <c r="B31" s="268"/>
      <c r="C31" s="269" t="s">
        <v>2932</v>
      </c>
      <c r="D31" s="267"/>
      <c r="E31" s="270" t="s">
        <v>395</v>
      </c>
      <c r="F31" s="271">
        <v>250</v>
      </c>
      <c r="G31" s="272">
        <v>18.28571428571429</v>
      </c>
      <c r="H31" s="272">
        <f>F31*G31</f>
        <v>4571.4285714285725</v>
      </c>
      <c r="I31" s="272">
        <v>45</v>
      </c>
      <c r="J31" s="272">
        <f>F31*I31</f>
        <v>11250</v>
      </c>
      <c r="K31" s="273">
        <f>H31+J31</f>
        <v>15821.428571428572</v>
      </c>
    </row>
    <row r="32" spans="1:11" s="274" customFormat="1" ht="11.25">
      <c r="A32" s="267"/>
      <c r="B32" s="268"/>
      <c r="C32" s="269" t="s">
        <v>2933</v>
      </c>
      <c r="D32" s="267"/>
      <c r="E32" s="270" t="s">
        <v>2107</v>
      </c>
      <c r="F32" s="271">
        <v>3</v>
      </c>
      <c r="G32" s="272">
        <v>0</v>
      </c>
      <c r="H32" s="272">
        <f>F32*G32</f>
        <v>0</v>
      </c>
      <c r="I32" s="272">
        <v>400</v>
      </c>
      <c r="J32" s="272">
        <f>F32*I32</f>
        <v>1200</v>
      </c>
      <c r="K32" s="273">
        <f>H32+J32</f>
        <v>1200</v>
      </c>
    </row>
    <row r="33" spans="1:11" s="241" customFormat="1" ht="6" customHeight="1">
      <c r="A33" s="259"/>
      <c r="B33" s="260"/>
      <c r="C33" s="260"/>
      <c r="D33" s="260"/>
      <c r="E33" s="261"/>
      <c r="F33" s="262"/>
      <c r="G33" s="262"/>
      <c r="H33" s="262"/>
      <c r="I33" s="262"/>
      <c r="J33" s="262"/>
      <c r="K33" s="262"/>
    </row>
    <row r="34" spans="1:11" s="266" customFormat="1" ht="12.75">
      <c r="A34" s="263"/>
      <c r="B34" s="263"/>
      <c r="C34" s="264" t="s">
        <v>2934</v>
      </c>
      <c r="D34" s="263"/>
      <c r="E34" s="263"/>
      <c r="F34" s="263"/>
      <c r="G34" s="263"/>
      <c r="H34" s="265">
        <f>SUM(H35:H39)</f>
        <v>0</v>
      </c>
      <c r="I34" s="263"/>
      <c r="J34" s="265">
        <f>SUM(J35:J39)</f>
        <v>8400</v>
      </c>
      <c r="K34" s="265">
        <f>SUM(K35:K39)</f>
        <v>8400</v>
      </c>
    </row>
    <row r="35" spans="1:11" s="274" customFormat="1" ht="11.25">
      <c r="A35" s="267"/>
      <c r="B35" s="268"/>
      <c r="C35" s="269" t="s">
        <v>2935</v>
      </c>
      <c r="D35" s="267"/>
      <c r="E35" s="270" t="s">
        <v>2064</v>
      </c>
      <c r="F35" s="271">
        <v>1</v>
      </c>
      <c r="G35" s="272">
        <v>0</v>
      </c>
      <c r="H35" s="272">
        <f>F35*G35</f>
        <v>0</v>
      </c>
      <c r="I35" s="272">
        <v>4000</v>
      </c>
      <c r="J35" s="272">
        <f>F35*I35</f>
        <v>4000</v>
      </c>
      <c r="K35" s="273">
        <f>H35+J35</f>
        <v>4000</v>
      </c>
    </row>
    <row r="36" spans="1:11" s="274" customFormat="1" ht="11.25">
      <c r="A36" s="267"/>
      <c r="B36" s="268"/>
      <c r="C36" s="269" t="s">
        <v>2936</v>
      </c>
      <c r="D36" s="267"/>
      <c r="E36" s="270" t="s">
        <v>93</v>
      </c>
      <c r="F36" s="271">
        <v>2</v>
      </c>
      <c r="G36" s="272">
        <v>0</v>
      </c>
      <c r="H36" s="272">
        <f>F36*G36</f>
        <v>0</v>
      </c>
      <c r="I36" s="272">
        <v>400</v>
      </c>
      <c r="J36" s="272">
        <f>F36*I36</f>
        <v>800</v>
      </c>
      <c r="K36" s="273">
        <f>H36+J36</f>
        <v>800</v>
      </c>
    </row>
    <row r="37" spans="1:11" s="274" customFormat="1" ht="11.25">
      <c r="A37" s="267"/>
      <c r="B37" s="268"/>
      <c r="C37" s="269" t="s">
        <v>2937</v>
      </c>
      <c r="D37" s="267"/>
      <c r="E37" s="270" t="s">
        <v>93</v>
      </c>
      <c r="F37" s="271">
        <v>2</v>
      </c>
      <c r="G37" s="272">
        <v>0</v>
      </c>
      <c r="H37" s="272">
        <f>F37*G37</f>
        <v>0</v>
      </c>
      <c r="I37" s="272">
        <v>400</v>
      </c>
      <c r="J37" s="272">
        <f>F37*I37</f>
        <v>800</v>
      </c>
      <c r="K37" s="273">
        <f>H37+J37</f>
        <v>800</v>
      </c>
    </row>
    <row r="38" spans="1:11" s="274" customFormat="1" ht="11.25">
      <c r="A38" s="267"/>
      <c r="B38" s="268"/>
      <c r="C38" s="269" t="s">
        <v>2938</v>
      </c>
      <c r="D38" s="267"/>
      <c r="E38" s="270" t="s">
        <v>2064</v>
      </c>
      <c r="F38" s="271">
        <v>1</v>
      </c>
      <c r="G38" s="272">
        <v>0</v>
      </c>
      <c r="H38" s="272">
        <f>F38*G38</f>
        <v>0</v>
      </c>
      <c r="I38" s="272">
        <v>800</v>
      </c>
      <c r="J38" s="272">
        <f>F38*I38</f>
        <v>800</v>
      </c>
      <c r="K38" s="273">
        <f>H38+J38</f>
        <v>800</v>
      </c>
    </row>
    <row r="39" spans="1:11" s="274" customFormat="1" ht="11.25">
      <c r="A39" s="267"/>
      <c r="B39" s="268"/>
      <c r="C39" s="269" t="s">
        <v>2939</v>
      </c>
      <c r="D39" s="267"/>
      <c r="E39" s="270" t="s">
        <v>2064</v>
      </c>
      <c r="F39" s="271">
        <v>1</v>
      </c>
      <c r="G39" s="272">
        <v>0</v>
      </c>
      <c r="H39" s="272">
        <f>F39*G39</f>
        <v>0</v>
      </c>
      <c r="I39" s="272">
        <v>2000</v>
      </c>
      <c r="J39" s="272">
        <f>F39*I39</f>
        <v>2000</v>
      </c>
      <c r="K39" s="273">
        <f>H39+J39</f>
        <v>2000</v>
      </c>
    </row>
    <row r="40" spans="1:11" s="241" customFormat="1" ht="6" customHeight="1">
      <c r="A40" s="259"/>
      <c r="B40" s="275"/>
      <c r="C40" s="275"/>
      <c r="D40" s="275"/>
      <c r="E40" s="276"/>
      <c r="F40" s="262"/>
      <c r="G40" s="262"/>
      <c r="H40" s="262"/>
      <c r="I40" s="262"/>
      <c r="J40" s="262"/>
      <c r="K40" s="262"/>
    </row>
    <row r="42" spans="3:11" ht="12.75">
      <c r="C42" s="277" t="s">
        <v>42</v>
      </c>
      <c r="H42" s="278">
        <f>SUM(H34+H29+H20)</f>
        <v>45149.40714285714</v>
      </c>
      <c r="I42" s="278"/>
      <c r="J42" s="278">
        <f>SUM(J34+J29+J20)</f>
        <v>30450</v>
      </c>
      <c r="K42" s="278">
        <f>SUM(K34+K29+K20)</f>
        <v>75599.40714285713</v>
      </c>
    </row>
  </sheetData>
  <mergeCells count="12">
    <mergeCell ref="I12:J12"/>
    <mergeCell ref="K12:K13"/>
    <mergeCell ref="F7:K7"/>
    <mergeCell ref="F9:K9"/>
    <mergeCell ref="A11:K11"/>
    <mergeCell ref="A12:A14"/>
    <mergeCell ref="B12:B14"/>
    <mergeCell ref="C12:C14"/>
    <mergeCell ref="D12:D14"/>
    <mergeCell ref="E12:E14"/>
    <mergeCell ref="F12:F14"/>
    <mergeCell ref="G12:H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Pavlína Tůmová</cp:lastModifiedBy>
  <cp:lastPrinted>2020-03-11T20:33:23Z</cp:lastPrinted>
  <dcterms:created xsi:type="dcterms:W3CDTF">2020-03-11T20:32:49Z</dcterms:created>
  <dcterms:modified xsi:type="dcterms:W3CDTF">2020-03-13T08:03:05Z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