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80" windowHeight="11070" activeTab="1"/>
  </bookViews>
  <sheets>
    <sheet name="Krycí list rozpočtu" sheetId="1" r:id="rId1"/>
    <sheet name="Stavební rozpočet" sheetId="2" r:id="rId2"/>
    <sheet name="VORN" sheetId="3" r:id="rId3"/>
  </sheets>
  <definedNames>
    <definedName name="_xlnm.Print_Titles" localSheetId="1">'Stavební rozpočet'!$10:$11</definedName>
    <definedName name="_xlnm.Print_Area" localSheetId="0">'Krycí list rozpočtu'!$A$1:$J$99</definedName>
    <definedName name="vorn_sum">'VORN'!$I$21:$I$21</definedName>
  </definedNames>
  <calcPr fullCalcOnLoad="1"/>
</workbook>
</file>

<file path=xl/sharedStrings.xml><?xml version="1.0" encoding="utf-8"?>
<sst xmlns="http://schemas.openxmlformats.org/spreadsheetml/2006/main" count="2265" uniqueCount="803">
  <si>
    <t>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</si>
  <si>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</si>
  <si>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</si>
  <si>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</si>
  <si>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</si>
  <si>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</si>
  <si>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</si>
  <si>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</si>
  <si>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</si>
  <si>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</si>
  <si>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</si>
  <si>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</si>
  <si>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</si>
  <si>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</si>
  <si>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</si>
  <si>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</si>
  <si>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</si>
  <si>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</si>
  <si>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</si>
  <si>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</si>
  <si>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</si>
  <si>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</si>
  <si>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</si>
  <si>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</si>
  <si>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</si>
  <si>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</si>
  <si>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</si>
  <si>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</si>
  <si>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</si>
  <si>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</si>
  <si>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</si>
  <si>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</si>
  <si>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</si>
  <si>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</si>
  <si>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</si>
  <si>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</si>
  <si>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</si>
  <si>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</si>
  <si>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</si>
  <si>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</si>
  <si>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</si>
  <si>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</si>
  <si>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</si>
  <si>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</si>
  <si>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</si>
  <si>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</si>
  <si>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</si>
  <si>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</si>
  <si>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</si>
  <si>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</si>
  <si>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</si>
  <si>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</si>
  <si>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</si>
  <si>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</si>
  <si>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</si>
  <si>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</si>
  <si>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</si>
  <si>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</si>
  <si>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</si>
  <si>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</si>
  <si>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</si>
  <si>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</si>
  <si>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</si>
  <si>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</si>
  <si>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</si>
  <si>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</si>
  <si>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</si>
  <si>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</si>
  <si>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</si>
  <si>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</si>
  <si>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</si>
  <si>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</si>
  <si>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</si>
  <si>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</si>
  <si>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</si>
  <si>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</si>
  <si>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</si>
  <si>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</si>
  <si>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</si>
  <si>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</si>
  <si>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</si>
  <si>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</si>
  <si>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</si>
  <si>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</si>
  <si>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</si>
  <si>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</si>
  <si>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</si>
  <si>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</si>
  <si>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</si>
  <si>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</si>
  <si>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</si>
  <si>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</si>
  <si>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</si>
  <si>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</si>
  <si>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</si>
  <si>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</si>
  <si>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</si>
  <si>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</si>
  <si>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</si>
  <si>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</si>
  <si>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</si>
  <si>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</si>
  <si>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</si>
  <si>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</si>
  <si>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</si>
  <si>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</si>
  <si>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</si>
  <si>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</si>
  <si>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</si>
  <si>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</si>
  <si>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</si>
  <si>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</si>
  <si>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</si>
  <si>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</si>
  <si>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</si>
  <si>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</si>
  <si>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</si>
  <si>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</si>
  <si>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</si>
  <si>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</si>
  <si>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</si>
  <si>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</si>
  <si>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</si>
  <si>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</si>
  <si>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</si>
  <si>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</si>
  <si>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</si>
  <si>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</si>
  <si>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</si>
  <si>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</si>
  <si>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</si>
  <si>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</si>
  <si>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</si>
  <si>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</si>
  <si>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</si>
  <si>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</si>
  <si>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</si>
  <si>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</si>
  <si>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</si>
  <si>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</si>
  <si>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</si>
  <si>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</si>
  <si>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</si>
  <si>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</si>
  <si>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</si>
  <si>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</si>
  <si>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</si>
  <si>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</si>
  <si>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</si>
  <si>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</si>
  <si>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</si>
  <si>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</si>
  <si>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</si>
  <si>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</si>
  <si>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</si>
  <si>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</si>
  <si>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Poznámka:</t>
  </si>
  <si>
    <t>Objekt</t>
  </si>
  <si>
    <t>SO.03A</t>
  </si>
  <si>
    <t>SO.03B</t>
  </si>
  <si>
    <t>Kód</t>
  </si>
  <si>
    <t>115101301R00</t>
  </si>
  <si>
    <t>121101103R00</t>
  </si>
  <si>
    <t>122301102R00</t>
  </si>
  <si>
    <t>122301109R00</t>
  </si>
  <si>
    <t>131301112R00</t>
  </si>
  <si>
    <t>131301119R00</t>
  </si>
  <si>
    <t>132301110R00</t>
  </si>
  <si>
    <t>132301119R00</t>
  </si>
  <si>
    <t>132301210R00</t>
  </si>
  <si>
    <t>132301219R00</t>
  </si>
  <si>
    <t>139601103R00</t>
  </si>
  <si>
    <t>162301101R00</t>
  </si>
  <si>
    <t>167101102R00</t>
  </si>
  <si>
    <t>162701105R00</t>
  </si>
  <si>
    <t>162701109R00</t>
  </si>
  <si>
    <t>171101101R00</t>
  </si>
  <si>
    <t>175101201R00</t>
  </si>
  <si>
    <t>175101209R00</t>
  </si>
  <si>
    <t>199000002R00</t>
  </si>
  <si>
    <t>215901101RT5</t>
  </si>
  <si>
    <t>211561111R00</t>
  </si>
  <si>
    <t>211971110R00</t>
  </si>
  <si>
    <t>69366199</t>
  </si>
  <si>
    <t>212753114R00</t>
  </si>
  <si>
    <t>3457115975</t>
  </si>
  <si>
    <t>274272140RT4</t>
  </si>
  <si>
    <t>274313621R00</t>
  </si>
  <si>
    <t>274351215R00</t>
  </si>
  <si>
    <t>274351216R00</t>
  </si>
  <si>
    <t>274361721R00</t>
  </si>
  <si>
    <t>274354043R00</t>
  </si>
  <si>
    <t>311112130RT3</t>
  </si>
  <si>
    <t>311361721R00</t>
  </si>
  <si>
    <t>317941123RT3</t>
  </si>
  <si>
    <t>317941123RT5</t>
  </si>
  <si>
    <t>317234410RT2</t>
  </si>
  <si>
    <t>311271177R00</t>
  </si>
  <si>
    <t>346244381RT2</t>
  </si>
  <si>
    <t>413321519IK</t>
  </si>
  <si>
    <t>411133902R00</t>
  </si>
  <si>
    <t>59346810</t>
  </si>
  <si>
    <t>411361721R00</t>
  </si>
  <si>
    <t>411354175R00</t>
  </si>
  <si>
    <t>411354176R00</t>
  </si>
  <si>
    <t>417321315R00</t>
  </si>
  <si>
    <t>417351111R00</t>
  </si>
  <si>
    <t>417351113R00</t>
  </si>
  <si>
    <t>417351115R00</t>
  </si>
  <si>
    <t>417351116R00</t>
  </si>
  <si>
    <t>417361721R00</t>
  </si>
  <si>
    <t>411941001R00</t>
  </si>
  <si>
    <t>602016193R00</t>
  </si>
  <si>
    <t>610991111R00</t>
  </si>
  <si>
    <t>612481211RT2</t>
  </si>
  <si>
    <t>612475111RT3</t>
  </si>
  <si>
    <t>611475111RT3</t>
  </si>
  <si>
    <t>612425921R00</t>
  </si>
  <si>
    <t>620991121R00</t>
  </si>
  <si>
    <t>622481211RT2</t>
  </si>
  <si>
    <t>622421143R00</t>
  </si>
  <si>
    <t>622412301R00</t>
  </si>
  <si>
    <t>622412312R00</t>
  </si>
  <si>
    <t>631313611R00</t>
  </si>
  <si>
    <t>631313621R00</t>
  </si>
  <si>
    <t>631317210R00</t>
  </si>
  <si>
    <t>631319153R00</t>
  </si>
  <si>
    <t>631319163R00</t>
  </si>
  <si>
    <t>631319173R00</t>
  </si>
  <si>
    <t>631361921RT4</t>
  </si>
  <si>
    <t>631351101R00</t>
  </si>
  <si>
    <t>631351102R00</t>
  </si>
  <si>
    <t>632456289IK</t>
  </si>
  <si>
    <t>631345823R00</t>
  </si>
  <si>
    <t>631319155R00</t>
  </si>
  <si>
    <t>631319185R00</t>
  </si>
  <si>
    <t>941941041R00</t>
  </si>
  <si>
    <t>941941291R00</t>
  </si>
  <si>
    <t>941941841R00</t>
  </si>
  <si>
    <t>944944011R00</t>
  </si>
  <si>
    <t>944944031R00</t>
  </si>
  <si>
    <t>944944081R00</t>
  </si>
  <si>
    <t>941955001R00</t>
  </si>
  <si>
    <t>941955002R00</t>
  </si>
  <si>
    <t>952901111R00</t>
  </si>
  <si>
    <t>979</t>
  </si>
  <si>
    <t>979081111R00</t>
  </si>
  <si>
    <t>979081121R00</t>
  </si>
  <si>
    <t>979082111R00</t>
  </si>
  <si>
    <t>979082121R00</t>
  </si>
  <si>
    <t>979093111R00</t>
  </si>
  <si>
    <t>979087313R00</t>
  </si>
  <si>
    <t>979990107R00</t>
  </si>
  <si>
    <t>998</t>
  </si>
  <si>
    <t>998012021R00</t>
  </si>
  <si>
    <t>711</t>
  </si>
  <si>
    <t>711111001RZ1</t>
  </si>
  <si>
    <t>711112001RZ1</t>
  </si>
  <si>
    <t>711141559RZ2</t>
  </si>
  <si>
    <t>711142559RZ2</t>
  </si>
  <si>
    <t>711482001RZ1</t>
  </si>
  <si>
    <t>998711101R00</t>
  </si>
  <si>
    <t>712</t>
  </si>
  <si>
    <t>712311101RZ1</t>
  </si>
  <si>
    <t>712341559RZ4</t>
  </si>
  <si>
    <t>998712101R00</t>
  </si>
  <si>
    <t>720</t>
  </si>
  <si>
    <t>721231119IK</t>
  </si>
  <si>
    <t>721176115R00</t>
  </si>
  <si>
    <t>721176225R00</t>
  </si>
  <si>
    <t>998721101R00</t>
  </si>
  <si>
    <t>764</t>
  </si>
  <si>
    <t>764410230RT2</t>
  </si>
  <si>
    <t>764430240RT2</t>
  </si>
  <si>
    <t>764818119IK</t>
  </si>
  <si>
    <t>998764102R00</t>
  </si>
  <si>
    <t>766</t>
  </si>
  <si>
    <t>766629399IK</t>
  </si>
  <si>
    <t>766601216RT1</t>
  </si>
  <si>
    <t>766694113R00</t>
  </si>
  <si>
    <t>60775433</t>
  </si>
  <si>
    <t>998766101R00</t>
  </si>
  <si>
    <t>767</t>
  </si>
  <si>
    <t>767995189IK</t>
  </si>
  <si>
    <t>767995199IK</t>
  </si>
  <si>
    <t>767995109IK</t>
  </si>
  <si>
    <t>767657230R00</t>
  </si>
  <si>
    <t>5534451399IK</t>
  </si>
  <si>
    <t>998767102R00</t>
  </si>
  <si>
    <t>783</t>
  </si>
  <si>
    <t>783851223R00</t>
  </si>
  <si>
    <t>783852211R00</t>
  </si>
  <si>
    <t>784</t>
  </si>
  <si>
    <t>784191201R00</t>
  </si>
  <si>
    <t>784195212R00</t>
  </si>
  <si>
    <t>271531114R00</t>
  </si>
  <si>
    <t>327216249IK</t>
  </si>
  <si>
    <t>998152111R00</t>
  </si>
  <si>
    <t>Zázemí atletického oválu SO.03A - Sklad a SO.03B Opěrná stěna</t>
  </si>
  <si>
    <t>Novostavba objektu</t>
  </si>
  <si>
    <t>Hráského 1913, 256 01 Benešov</t>
  </si>
  <si>
    <t>Zkrácený popis</t>
  </si>
  <si>
    <t>Rozměry</t>
  </si>
  <si>
    <t>Sklad atletického oválu</t>
  </si>
  <si>
    <t>Přípravné a přidružené práce</t>
  </si>
  <si>
    <t>Pohotovost čerp.soupravy, výška 10 m, přítok 500 l</t>
  </si>
  <si>
    <t>15   </t>
  </si>
  <si>
    <t>Odkopávky a prokopávky</t>
  </si>
  <si>
    <t>Sejmutí ornice s přemístěním přes 100 do 250 m</t>
  </si>
  <si>
    <t>(17,50*9,40)*0,2   </t>
  </si>
  <si>
    <t>Odkopávky nezapažené v hor. 4 do 1000 m3</t>
  </si>
  <si>
    <t>17,50*9,40*1,70*0,5   </t>
  </si>
  <si>
    <t>Příplatek za lepivost - odkopávky v hor. 4</t>
  </si>
  <si>
    <t>Hloubené vykopávky</t>
  </si>
  <si>
    <t>Hloubení nezapaž. jam hor.4 do 1000 m3, STROJNĚ</t>
  </si>
  <si>
    <t>17,50*8,64*0,9*0,95   </t>
  </si>
  <si>
    <t>Příplatek za lepivost - hloubení nezap.jam v hor.4</t>
  </si>
  <si>
    <t>17,50*8,64*0,9   </t>
  </si>
  <si>
    <t>Hloubení rýh š.do 60 cm v hor.4 do 50 m3,STROJNĚ</t>
  </si>
  <si>
    <t>(16,05+7,05)*2*0,60*0,30*0,95   </t>
  </si>
  <si>
    <t>12,475*0,60*0,10*0,95   </t>
  </si>
  <si>
    <t>Přípl.za lepivost,hloubení rýh 60 cm,hor.4,STROJNĚ</t>
  </si>
  <si>
    <t>(16,05+7,05)*2*0,60*0,30   </t>
  </si>
  <si>
    <t>12,475*0,60*0,10   </t>
  </si>
  <si>
    <t>Hloubení rýh š.do 200 cm hor.4 do 50 m3, STROJNĚ</t>
  </si>
  <si>
    <t>(17,50+8,50)*2*1,50*0,50*0,95   </t>
  </si>
  <si>
    <t>(9,475+3,00)*1,80*1,25*0,95   </t>
  </si>
  <si>
    <t>Přípl.za lepivost,hloubení rýh 200cm,hor.4,STROJNĚ</t>
  </si>
  <si>
    <t>(17,50+8,50)*2*1,50*0,50   </t>
  </si>
  <si>
    <t>(9,475+3,00)*1,80*1,25   </t>
  </si>
  <si>
    <t>Ruční výkop jam, rýh a šachet v hornině tř. 4</t>
  </si>
  <si>
    <t>(136,080+9,065+67,069)*0,05   začištění základové spáry</t>
  </si>
  <si>
    <t>Přemístění výkopku</t>
  </si>
  <si>
    <t>Vodorovné přemístění výkopku z hor.1-4 do 500 m</t>
  </si>
  <si>
    <t>129,276+8,611+63,715+10,611+162,452   </t>
  </si>
  <si>
    <t>Nakládání výkopku z hor.1-4 v množství nad 100 m3</t>
  </si>
  <si>
    <t>(129,276+8,611+63,715+10,611)*2   </t>
  </si>
  <si>
    <t>Vodorovné přemístění výkopku z hor.1-4 do 10000 m</t>
  </si>
  <si>
    <t>(129,276+8,611+63,715+10,611)-162,452   </t>
  </si>
  <si>
    <t>Příplatek k vod. přemístění hor.1-4 za další 1 km</t>
  </si>
  <si>
    <t>49,761*10   </t>
  </si>
  <si>
    <t>Konstrukce ze zemin</t>
  </si>
  <si>
    <t>Uložení sypaniny do násypů zhutněných na 95% PS</t>
  </si>
  <si>
    <t>129,276+8,611+63,715+10,611   meziskládka na stavbě</t>
  </si>
  <si>
    <t>(129,276+8,611+63,715+10,611)-162,452   skládka zeminy</t>
  </si>
  <si>
    <t>Obsyp objektu bez prohození sypaniny</t>
  </si>
  <si>
    <t>(16,05+6,05)*2*0,5*0,7+12,475*1,25*1,20+17,50*2,46*1,80   </t>
  </si>
  <si>
    <t>17,50*1,50*0,90+9,475*1,20*0,90+8,55*1,50*0,90   </t>
  </si>
  <si>
    <t>8,55*0,50*0,50+3,00*1,20*0,90   </t>
  </si>
  <si>
    <t>Příplatek za prohození sypaniny pro obsyp objektu</t>
  </si>
  <si>
    <t>Hloubení pro podzemní stěny, ražení a hloubení důlní</t>
  </si>
  <si>
    <t>Poplatek za skládku horniny 1- 4</t>
  </si>
  <si>
    <t>Úprava podloží a základové spáry</t>
  </si>
  <si>
    <t>Zhutnění podloží z hornin nesoudržných do 92% PS</t>
  </si>
  <si>
    <t>15,90*6,90   plocha objektu</t>
  </si>
  <si>
    <t>Výplň odvodňovacích žeber kam. hrubě drcen. 16-32 mm</t>
  </si>
  <si>
    <t>16,20*0,50*0,50   lože drenáže</t>
  </si>
  <si>
    <t>Opláštění žeber z geotextilie o sklonu do 1 : 2,5</t>
  </si>
  <si>
    <t>0,5*4*1,2*16,20   lože drenáže</t>
  </si>
  <si>
    <t>2*3,14*0,075*16,20*1,2   drenážní trubka</t>
  </si>
  <si>
    <t>Geotextilie FILTEK 500 g/m2 š. 200cm 100% PP</t>
  </si>
  <si>
    <t>0,5*4*1,2*16,20*1,1   lože drenáže</t>
  </si>
  <si>
    <t>2*3,14*0,075*16,20*1,2*1,1   drenážní trubka</t>
  </si>
  <si>
    <t>Montáž ohebné dren. trubky do rýhy DN 100,bez lože</t>
  </si>
  <si>
    <t>16,20   </t>
  </si>
  <si>
    <t>Trubka drenážní KOPODREN 160</t>
  </si>
  <si>
    <t>16,20*1,10   </t>
  </si>
  <si>
    <t>Základy</t>
  </si>
  <si>
    <t>Zdivo základové z bednicích tvárnic, tl. 30 cm, výplň tvárnic betonem C 20/25</t>
  </si>
  <si>
    <t>(15,90+6,90+6,425+0,40)*0,50+(0,60+1,0+7,475)*0,75   tribuna</t>
  </si>
  <si>
    <t>(1,0+1,0+0,60)*0,75+(0,4+4,05)*0,50   </t>
  </si>
  <si>
    <t>Beton základových pasů prostý C 20/25</t>
  </si>
  <si>
    <t>(16,05+7,20+4,05+6,575)*0,60*0,30+0,40*0,70*0,55+0,60*0,70*0,30   </t>
  </si>
  <si>
    <t>1,0*0,70*0,65+7,475*0,60*1,40+0,40*0,60*1,40+1,00*0,60*0,65   </t>
  </si>
  <si>
    <t>0,60*0,60*0,30+0,40*0,60*0,30   </t>
  </si>
  <si>
    <t>Bednění stěn základových pasů - zřízení</t>
  </si>
  <si>
    <t>(7,475+1,00)*1,0*2   </t>
  </si>
  <si>
    <t>Bednění stěn základových pasů - odstranění</t>
  </si>
  <si>
    <t>Výztuž základových pasů z oceli BSt 500 S</t>
  </si>
  <si>
    <t>25,794*0,30*0,050   zděná část základů</t>
  </si>
  <si>
    <t>Bednění prostupu základem do 0,10 m2, do dl.1,0 m</t>
  </si>
  <si>
    <t>2   prostup 250/250 mm</t>
  </si>
  <si>
    <t>Zdi podpěrné a volné</t>
  </si>
  <si>
    <t>Stěna z tvárnic ztraceného bednění, tl. 30 cm, zalití tvárnic betonem C 20/25</t>
  </si>
  <si>
    <t>(15,90+6,90)*2*3,25   stěny objektu</t>
  </si>
  <si>
    <t>(15,90+6,90)*2*0,25   atika objektu</t>
  </si>
  <si>
    <t>-3,60*2,90-1,40*2,20-1,80*1,00   odpočet otvorů</t>
  </si>
  <si>
    <t>Výztuž nadzákladových zdí z ocel BSt 500 S</t>
  </si>
  <si>
    <t>144,280*0,30*0,050   výztuž zdiva z bednících tvárnic</t>
  </si>
  <si>
    <t>Osazení ocelových válcovaných nosníků  č.14-22, včetně dodávky profilu I č.16</t>
  </si>
  <si>
    <t>3*1,70*0,0179   P.1 překlad</t>
  </si>
  <si>
    <t>3*2,10*0,0179   P.2 překlad</t>
  </si>
  <si>
    <t>Osazení ocelových válcovaných nosníků  č.14-22, včetně dodávky profilu I č.20</t>
  </si>
  <si>
    <t>3*3,90*0,0262   P.3 překlad</t>
  </si>
  <si>
    <t>Vyzdívka mezi nosníky cihlami pálenými na MC</t>
  </si>
  <si>
    <t>(1,70+2,10+3,90)*0,30*0,25   překlady</t>
  </si>
  <si>
    <t>Zdivo z tvárnic Ytong hladkých tl. 30 cm</t>
  </si>
  <si>
    <t>1,40*2,20   zazdívka stavebního otvoru</t>
  </si>
  <si>
    <t>Stěny a příčky</t>
  </si>
  <si>
    <t>Plentování ocelových nosníků výšky do 20 cm</t>
  </si>
  <si>
    <t>(1,70*2+2,10*2)*0,16+3,90*2*0,20   překlady</t>
  </si>
  <si>
    <t>Stropy a stropní konstrukce (pro pozemní stavby)</t>
  </si>
  <si>
    <t>Dobetonování styčné spáry panelů C 30/37</t>
  </si>
  <si>
    <t>79,20*0,22*0,05   styčná spára</t>
  </si>
  <si>
    <t>Montáž str.panelů z př.bet.Spiroll, H do 18 m, 3 t</t>
  </si>
  <si>
    <t>12+1   stropní panely</t>
  </si>
  <si>
    <t>Panel stropní Spiroll H 250 mm</t>
  </si>
  <si>
    <t>15,30*6,60   stropní panely</t>
  </si>
  <si>
    <t>Výztuž stropů z oceli Bst 500 S</t>
  </si>
  <si>
    <t>12*6,60*0,00098   spárová výztuž</t>
  </si>
  <si>
    <t>Podpěrná konstr. stropů do 20 kPa - zřízení</t>
  </si>
  <si>
    <t>15,30*6,60*0,5   </t>
  </si>
  <si>
    <t>Podpěrná konstr. stropů do 20 kPa - odstranění</t>
  </si>
  <si>
    <t>Ztužující pásy a věnce z betonu železového C 20/25</t>
  </si>
  <si>
    <t>6,90*2*0,30*0,25+15,90*2*0,15*0,25   úroveň stropu</t>
  </si>
  <si>
    <t>(15,90+6,90)*2*0,30*0,25   úroveň atiky</t>
  </si>
  <si>
    <t>Bednění ztužujících věnců, obě strany - zřízení</t>
  </si>
  <si>
    <t>(15,90+6,90)*2*0,35*2   úroveň atiky</t>
  </si>
  <si>
    <t>Bednění ztužujících věnců, obě strany - odstranění</t>
  </si>
  <si>
    <t>Bednění ztužujících pásů a věnců - zřízení</t>
  </si>
  <si>
    <t>(15,90+6,90)*2*0,35   úroveň stropu</t>
  </si>
  <si>
    <t>Bednění ztužujících pásů a věnců - odstranění</t>
  </si>
  <si>
    <t>Výztuž ztuž. pásů a věnců, ocel BSt 500 S</t>
  </si>
  <si>
    <t>(2,2275+3,420)*0,120   </t>
  </si>
  <si>
    <t>Nosné svary stropní konstrukce plošné tl. do 10 mm</t>
  </si>
  <si>
    <t>4*2*6*0,074+5*2*6*0,074+9*2*6*0,090   </t>
  </si>
  <si>
    <t>Úprava povrchů vnitřní</t>
  </si>
  <si>
    <t>Penetrace hloubková stěn PROFI Akryl-Tiefengrund</t>
  </si>
  <si>
    <t>(15,30+6,30)*2*3,150-1,80*1,0-3,60*2,90   stěny</t>
  </si>
  <si>
    <t>96,39   strop</t>
  </si>
  <si>
    <t>3,96   ostění a nadpraží</t>
  </si>
  <si>
    <t>Zakrývání výplní vnitřních otvorů</t>
  </si>
  <si>
    <t>(3,6*2,9+1,8*1,0)*1,2   vrata a okno</t>
  </si>
  <si>
    <t>Montáž výztužné sítě(perlinky)do stěrky-vnit.stěny, včetně výztužné sítě a stěrkového tmelu Baumit</t>
  </si>
  <si>
    <t>1,40*2,20*1,25   úprava porobetonu vnitřní</t>
  </si>
  <si>
    <t>Omítka vnitřních stěn Hasit vápenocem. jednovrstvá,  tloušťka vrstvy 15 mm</t>
  </si>
  <si>
    <t>(15,30+6,30)*2*3,150-1,80*1,0-3,60*2,90   </t>
  </si>
  <si>
    <t>Omítka vnitřní stropů Hasit vápenocem. jednovrstvá, tloušťka vrstvy 15 mm</t>
  </si>
  <si>
    <t>96,39   </t>
  </si>
  <si>
    <t>Omítka vápenná vnitřního ostění - hladká</t>
  </si>
  <si>
    <t>(1,8+1,0*2+3,60+2,90*2)*0,30   </t>
  </si>
  <si>
    <t>Úprava povrchů vnější</t>
  </si>
  <si>
    <t>(15,90+6,90)*2*3,85-3,6*2,9-1,8-1,0-80,00   podhledová fasáda objektu</t>
  </si>
  <si>
    <t>Zakrývání výplní vnějších otvorů z lešení</t>
  </si>
  <si>
    <t>Montáž výztužné sítě(perlinky)do stěrky-vněj.stěny, včetně výztužné sítě a stěrkového tmelu Baumit</t>
  </si>
  <si>
    <t>1,40*2,20*1,25   úprava porobetonu vnější</t>
  </si>
  <si>
    <t>Omítka vnější stěn, MVC, štuková, složitost 1-2</t>
  </si>
  <si>
    <t>Penetrační nátěr savých podkladů, slož.1-2, Weber</t>
  </si>
  <si>
    <t>Nátěr stěn vnějších, slož.1-2 , Weber, minerální</t>
  </si>
  <si>
    <t>Podlahy a podlahové konstrukce</t>
  </si>
  <si>
    <t>Mazanina betonová tl. 8 - 12 cm C 16/20</t>
  </si>
  <si>
    <t>15,90*6,90*0,10   podkladní beton podlahy</t>
  </si>
  <si>
    <t>Mazanina betonová tl. 8 - 12 cm C 20/25</t>
  </si>
  <si>
    <t>96,39*0,10   podlaha V.1</t>
  </si>
  <si>
    <t>Řezání dilatační spáry hl. 0-100 mm, železobeton</t>
  </si>
  <si>
    <t>6,3*3   </t>
  </si>
  <si>
    <t>Příplatek za přehlaz. mazanin pod povlaky tl. 12cm</t>
  </si>
  <si>
    <t>Příplatek za konečnou úpravu mazanin tl. 12 cm</t>
  </si>
  <si>
    <t>Příplatek za stržení povrchu mazaniny tl. 12 cm</t>
  </si>
  <si>
    <t>Výztuž mazanin svařovanou sítí, průměr drátu  6,0, oka 100/100 mm KH30</t>
  </si>
  <si>
    <t>15,90*6,90*0,0044*1,15   podkladní beton podlahy</t>
  </si>
  <si>
    <t>96,39*0,0044*1,15   podlahový beton</t>
  </si>
  <si>
    <t>Bednění stěn, rýh a otvorů v podlahách - zřízení</t>
  </si>
  <si>
    <t>(15,90+6,90)*2*0,3   bednění čela podklad.betonu</t>
  </si>
  <si>
    <t>Bednění stěn, rýh a otvorů v podlahách -odstranění</t>
  </si>
  <si>
    <t>Potěr píscem.hlazený oc.hladítkem, do tl.30 mm, lože oc.nosníků</t>
  </si>
  <si>
    <t>0,15*0,30*6   lože nosníků</t>
  </si>
  <si>
    <t>Mazanina z polystyrenbetonu tl. 24 cm, 0,5 MPa</t>
  </si>
  <si>
    <t>96,39*0,21   V.2 střecha</t>
  </si>
  <si>
    <t>Příplatek za přehlaz. mazanin pod povlaky tl. 24cm</t>
  </si>
  <si>
    <t>Příplatek za sklon mazaniny 15°-35°  tl.12 - 24 cm</t>
  </si>
  <si>
    <t>Lešení a stavební výtahy</t>
  </si>
  <si>
    <t>Montáž lešení leh.řad.s podlahami,š.1,2 m, H 10 m</t>
  </si>
  <si>
    <t>(17,9+6,9)*2*4,0   </t>
  </si>
  <si>
    <t>Příplatek za každý měsíc použití lešení k pol.1041</t>
  </si>
  <si>
    <t>(17,9+6,9)*2*4,0*2   </t>
  </si>
  <si>
    <t>Demontáž lešení leh.řad.s podlahami,š.1,2 m,H 10 m</t>
  </si>
  <si>
    <t>Montáž ochranné sítě z umělých vláken</t>
  </si>
  <si>
    <t>Příplatek za každý měsíc použití sítí k pol. 4011</t>
  </si>
  <si>
    <t>Demontáž ochranné sítě z umělých vláken</t>
  </si>
  <si>
    <t>Lešení lehké pomocné, výška podlahy do 1,2 m</t>
  </si>
  <si>
    <t>50   </t>
  </si>
  <si>
    <t>Lešení lehké pomocné, výška podlahy do 1,9 m</t>
  </si>
  <si>
    <t>10   </t>
  </si>
  <si>
    <t>Různé dokončovací konstrukce a práce na pozemních stavbách</t>
  </si>
  <si>
    <t>Vyčištění budov o výšce podlaží do 4 m</t>
  </si>
  <si>
    <t>Přesuny sutí</t>
  </si>
  <si>
    <t>Odvoz suti a vybour. hmot na skládku do 1 km</t>
  </si>
  <si>
    <t>7,00   stavební odpad, obaly</t>
  </si>
  <si>
    <t>Příplatek k odvozu za každý další 1 km</t>
  </si>
  <si>
    <t>7,00*20   </t>
  </si>
  <si>
    <t>Vnitrostaveništní doprava suti do 10 m</t>
  </si>
  <si>
    <t>7,00   </t>
  </si>
  <si>
    <t>Příplatek k vnitrost. dopravě suti za dalších 5 m</t>
  </si>
  <si>
    <t>7,00*10   </t>
  </si>
  <si>
    <t>Uložení suti na skládku bez zhutnění</t>
  </si>
  <si>
    <t>Nakládání vybouraných trub na dopravní prostředek</t>
  </si>
  <si>
    <t>Poplatek za skládku suti - směs betonu,cihel,dřeva</t>
  </si>
  <si>
    <t>Přesun hmot pro HSV</t>
  </si>
  <si>
    <t>Přesun hmot pro budovy monolitické výšky do 6 m</t>
  </si>
  <si>
    <t>6,76+55,56+115,88+0,44+73,17+5,05+4,44+62,19+4,13+0,01   </t>
  </si>
  <si>
    <t>Izolace proti vodě</t>
  </si>
  <si>
    <t>Izolace proti vlhkosti vodor. nátěr ALP za studena, 1x nátěr - včetně dodávky penetračního laku ALP</t>
  </si>
  <si>
    <t>15,90*6,90   podlaha V.1</t>
  </si>
  <si>
    <t>Izolace proti vlhkosti svis. nátěr ALP, za studena,1x nátěr - včetně dodávky asfaltového laku</t>
  </si>
  <si>
    <t>15,90*3,85+6,90*1,50+15,90*0,90+(6,90-3,60)*0,60   skladba S.1</t>
  </si>
  <si>
    <t>Izolace proti vlhk. vodorovná pásy přitavením, 2 vrstvy - včetně dodávky Bitubitagit S 35</t>
  </si>
  <si>
    <t>109,71   podlaha V.1</t>
  </si>
  <si>
    <t>Izolace proti vlhkosti svislá pásy přitavením, 2 vrstvy - včetně dodávky Bitubitagit S 35</t>
  </si>
  <si>
    <t>87,855   skladba S.1</t>
  </si>
  <si>
    <t>Izolační systém Tefond, jednoduchý spoj, svisle, včetně dodávky fólie Tefond a spojovacích prvků</t>
  </si>
  <si>
    <t>80,00   S.1 stěna</t>
  </si>
  <si>
    <t>Přesun hmot pro izolace proti vodě, výšky do 6 m</t>
  </si>
  <si>
    <t>2,13   </t>
  </si>
  <si>
    <t>Izolace střech (živičné krytiny)</t>
  </si>
  <si>
    <t>Povlaková krytina střech do 10°, za studena ALP, 1 x nátěr - včetně dodávky ALP</t>
  </si>
  <si>
    <t>96,39   V.2 střecha</t>
  </si>
  <si>
    <t>43,00*0,5   V.2 atika</t>
  </si>
  <si>
    <t>Povlaková krytina střech do 10°, NAIP přitavením, 2 vrstvy - včetně dodávky Bitagit S</t>
  </si>
  <si>
    <t>96,39+(43,00*0,5)   V.2 střecha</t>
  </si>
  <si>
    <t>Přesun hmot pro povlakové krytiny, výšky do 6 m</t>
  </si>
  <si>
    <t>1,22   </t>
  </si>
  <si>
    <t>Zdravotechnické instalace</t>
  </si>
  <si>
    <t>Vtok střešní v povlakové krytině, průměr 100 mm, včetně výhřevného kabelu</t>
  </si>
  <si>
    <t>2   V.2 střecha</t>
  </si>
  <si>
    <t>Potrubí HT odpadní svislé D 110 x 2,7 mm</t>
  </si>
  <si>
    <t>4,25*2   dešťové svody vnitřní</t>
  </si>
  <si>
    <t>Potrubí KG svodné (ležaté) v zemi D 200 x 4,9 mm</t>
  </si>
  <si>
    <t>2,5+15,50+0,5*2+3,5   ležatý rozvod</t>
  </si>
  <si>
    <t>Přesun hmot pro vnitřní kanalizaci, výšky do 6 m</t>
  </si>
  <si>
    <t>0,11   </t>
  </si>
  <si>
    <t>Konstrukce klempířské</t>
  </si>
  <si>
    <t>Oplechování parapetů včetně rohů Pz, rš 200 mm</t>
  </si>
  <si>
    <t>1,80   K.2 lakovaný plech</t>
  </si>
  <si>
    <t>Oplechování zdí z Pz plechu, rš 500 mm</t>
  </si>
  <si>
    <t>43,00   K.1 lakovaný plech</t>
  </si>
  <si>
    <t>Balkónový chrlič z lak.Pz plechu, jednoduchý, průměu do 150 mm a délky do 500 mm.</t>
  </si>
  <si>
    <t>1   pojistný přepad střechy</t>
  </si>
  <si>
    <t>Přesun hmot pro klempířské konstr., výšky do 12 m</t>
  </si>
  <si>
    <t>0,20   </t>
  </si>
  <si>
    <t>Konstrukce truhlářské</t>
  </si>
  <si>
    <t>Výplně otvorů, okna plastová sklopná s izolačním dvojsklem Ug=1,1 W/m2K, bezpečnostní folie</t>
  </si>
  <si>
    <t>1,80*1,0   O.1 okno plastové</t>
  </si>
  <si>
    <t>Těsnění oken.spáry, ostění, PT folie + PP páska, folie š.  50 mm; páska tl. 8 mm, š. 20 mm</t>
  </si>
  <si>
    <t>1,80*2+1,0*2   O.1 okno plastové</t>
  </si>
  <si>
    <t>Montáž parapetních desek š.do 30 cm,dl.do 260 cm</t>
  </si>
  <si>
    <t>1   O.1 okno plastové</t>
  </si>
  <si>
    <t>Parapet interiér DTD šíře do 300 mm</t>
  </si>
  <si>
    <t>1,80   O.1 okno plastové</t>
  </si>
  <si>
    <t>Přesun hmot pro truhlářské konstr., výšky do 6 m</t>
  </si>
  <si>
    <t>0,07   </t>
  </si>
  <si>
    <t>Konstrukce doplňkové stavební (zámečnické)</t>
  </si>
  <si>
    <t>Výroba a montáž kov. atypických konstr. do 5 kg, včetně dodávky pásoviny 50/3 mm</t>
  </si>
  <si>
    <t>(4*0,30*2+5*0,30*2+9*0,30*2)*1,178   vzájemný spoj válc.nosníků</t>
  </si>
  <si>
    <t>Výroba a montáž kov. atypických konstr. do 20 kg, včetně pásoviny 50/4 mm, kotev a žárového zinku</t>
  </si>
  <si>
    <t>(1,5*4*1,57*1,1+0,8*4*1,57*1,1)*2   Z.1 ochrana ZTI potrubí</t>
  </si>
  <si>
    <t>Výroba a montáž kov. atypických konstr. do 20 kg, včetně dodávky L 60/60/6 mm, hrana vjezdu, zárový zinek</t>
  </si>
  <si>
    <t>3,60*5,42*1,1   hrana podlahy vjezdu</t>
  </si>
  <si>
    <t>Montáž vrat zvedacích, do oc. zárubně do 13 m2</t>
  </si>
  <si>
    <t>1   D.1 sekční vrata</t>
  </si>
  <si>
    <t>Vrata sekční průmyslová s pohonem, š 3600, h 2950 mm, integrované dveřní křídlo</t>
  </si>
  <si>
    <t>Přesun hmot pro zámečnické konstr., výšky do 12 m</t>
  </si>
  <si>
    <t>0,23   </t>
  </si>
  <si>
    <t>Nátěry</t>
  </si>
  <si>
    <t>Nátěr epoxidový betonových podlah Ekopox 640</t>
  </si>
  <si>
    <t>96,39   podlaha V.1</t>
  </si>
  <si>
    <t>Nátěr epoxidehtový stěn trojnásobný</t>
  </si>
  <si>
    <t>(6,30*2+15,3*2-3,60+0,2)*0,150   sokl podlahy</t>
  </si>
  <si>
    <t>Malby</t>
  </si>
  <si>
    <t>Penetrace podkladu hloubková Primalex 1x</t>
  </si>
  <si>
    <t>Malba Primalex Plus, bílá, bez penetrace, 2 x</t>
  </si>
  <si>
    <t>Opěrná stěna</t>
  </si>
  <si>
    <t>(2,15*11,00*2+2,15*15,00+2,05*11,00+2,00*20,90)*0,20   </t>
  </si>
  <si>
    <t>(2,50*5,585+2,05*3,147+2,05*2,438)*0,20   </t>
  </si>
  <si>
    <t>2,15*11,00*2,74+2,15*15,00*2,55+2,15*11,00*2,30+2,05*11,00*2,05   </t>
  </si>
  <si>
    <t>2,00*20,90*1,80+2,50*5,585*1,50+2,05*3,147*1,00+2,05*2,438*0,40   </t>
  </si>
  <si>
    <t>(2,15*0,80*11,0+2,15*0,8*15,00+2,15*0,8*11,00)*0,95   </t>
  </si>
  <si>
    <t>(2,05*0,8*11,00+2,00*0,80*20,90+2,50*1,65*5,585)*0,95   </t>
  </si>
  <si>
    <t>(2,05*1,45*3,147+2,05*1,45*2,438)*0,95   </t>
  </si>
  <si>
    <t>(2,15*0,80*11,0+2,15*0,8*15,00+2,15*0,8*11,00)   </t>
  </si>
  <si>
    <t>(2,05*0,8*11,00+2,00*0,80*20,90+2,50*1,65*5,585)   </t>
  </si>
  <si>
    <t>(2,05*1,45*3,147+2,05*1,45*2,438)   </t>
  </si>
  <si>
    <t>(2,15*0,80*11,0+2,15*0,8*15,00+2,15*0,8*11,00)*0,05   začištění základové spáry</t>
  </si>
  <si>
    <t>(2,05*0,8*11,00+2,00*0,80*20,90+2,50*1,65*5,585)*0,05   </t>
  </si>
  <si>
    <t>(2,05*1,45*3,147+2,05*1,45*2,438)*0,05   </t>
  </si>
  <si>
    <t>352,295+147,021+7,738+232,213   </t>
  </si>
  <si>
    <t>(352,295+147,021+7,738)*2   </t>
  </si>
  <si>
    <t>(352,295+147,021+7,738)-232,213   </t>
  </si>
  <si>
    <t>274,841*10   </t>
  </si>
  <si>
    <t>2,50*3,40*11,00*0,5+2,40*3,1*15,00*0,5+0,6*0,6*15,00*0,5   </t>
  </si>
  <si>
    <t>2,15*2,90*11,00*0,5+0,6*0,6*11,00*0,5+1,80*2,50*11,00*0,5   </t>
  </si>
  <si>
    <t>0,5*0,5*11,00*0,5+1,70*2,25*20,90*0,5+0,5*0,5*20,90*0,5   </t>
  </si>
  <si>
    <t>1,70*2,40*5,585*0,5+0,8*0,8*5,585*0,5+1,55*1,8*3,147*0,5   </t>
  </si>
  <si>
    <t>0,9*0,9*3,147*0,5+1,05*1,40*2,438*0,5+1,05*1,05*2,438*0,5   </t>
  </si>
  <si>
    <t>352,295+147,021+7,738   meziskládka na stavbě</t>
  </si>
  <si>
    <t>(352,295+147,021+7,738)-232,213   skládka zeminy</t>
  </si>
  <si>
    <t>1,90*11,00+1,90*15,00+1,90*11,00+1,65*11,00+1,65*20,90   plocha založení opěrných stěn</t>
  </si>
  <si>
    <t>1,65*5,585+1,65*3,147+1,45*2,438   plocha založení opěrných stěn</t>
  </si>
  <si>
    <t>232,213/0,4   hutnění obsypu objektu á 400 mm</t>
  </si>
  <si>
    <t>2*3,14*0,075*80,07*1,2   drenážní trubka</t>
  </si>
  <si>
    <t>4,25*11,00+3,75*15,00+3,75*11,00+3,0*11,00+2,2*20,9   gabionová stěna</t>
  </si>
  <si>
    <t>2,25*5,585+1,75*3,147+1,25*2,438   gabionová stěna</t>
  </si>
  <si>
    <t>2*3,14*0,075*80,07*1,2*1,10   drenážní trubka</t>
  </si>
  <si>
    <t>(4,25*11,00+3,75*15,00+3,75*11,00+3,0*11,00+2,2*20,9)*1,10   gabionová stěna</t>
  </si>
  <si>
    <t>(2,25*5,585+1,75*3,147+1,25*2,438)*1,10   gabionová stěna</t>
  </si>
  <si>
    <t>11,00*3+15,00+20,90+5,585+3,147+2,438   </t>
  </si>
  <si>
    <t>(11,00*3+15,00+20,90+5,585+3,147+2,438)*1,10   </t>
  </si>
  <si>
    <t>Polštář základu z kameniva drceného 8-16 mm</t>
  </si>
  <si>
    <t>(1,90*11,00+1,9*15,00+1,90*11,00+1,65*11,00+1,65*20,90)*0,22   </t>
  </si>
  <si>
    <t>(1,65*5,585+1,65*3,147+1,45*2,438)*0,22   </t>
  </si>
  <si>
    <t>Zdi přehradní a opěrné</t>
  </si>
  <si>
    <t>Opěr.zeď gabion.š.paty do 1,5m,v3,5m,vícevrst,oko100/100, včetně dodávky lomového kamene</t>
  </si>
  <si>
    <t>(1,5+1,25*2+1,0*2+0,75*2)*0,50*11,0   S1 úsek</t>
  </si>
  <si>
    <t>(1,5+1,25*2+1,0*2)*0,50*15,00+0,75*0,75*15,00   S2 úsek</t>
  </si>
  <si>
    <t>(1,5+1,25*2+1,0*2+0,75)*0,5*11,00   S3 úsek</t>
  </si>
  <si>
    <t>(1,25*2+1,0*2)*0,5*11,00+0,75*0,75*11,00   S4 úsek</t>
  </si>
  <si>
    <t>(1,25*2+1,0*2+0,75)*0,5*20,90   S5 úsek</t>
  </si>
  <si>
    <t>(1,25*2+1,0*2+0,75)*0,5*5,585   S6 úsek</t>
  </si>
  <si>
    <t>(1,25+1,0*2+0,75)*0,5*3,147   S7 úsek</t>
  </si>
  <si>
    <t>(1,0*2+0,75)*0,5*2,438   S8 úsek</t>
  </si>
  <si>
    <t>(11,00*3+15,00+20,90+5,585+3,147+2,438)*0,5   </t>
  </si>
  <si>
    <t>(11,00*3+15,00+20,90+5,585+3,147+2,438)*3,00   </t>
  </si>
  <si>
    <t>Přesun hmot, zdi a valy samostatné z dílců do 20 m</t>
  </si>
  <si>
    <t>630,39   </t>
  </si>
  <si>
    <t>Doba výstavby:</t>
  </si>
  <si>
    <t>Začátek výstavby:</t>
  </si>
  <si>
    <t>Konec výstavby:</t>
  </si>
  <si>
    <t>Zpracováno dne:</t>
  </si>
  <si>
    <t>MJ</t>
  </si>
  <si>
    <t>den</t>
  </si>
  <si>
    <t>m3</t>
  </si>
  <si>
    <t>m2</t>
  </si>
  <si>
    <t>m</t>
  </si>
  <si>
    <t>t</t>
  </si>
  <si>
    <t>kus</t>
  </si>
  <si>
    <t>kg</t>
  </si>
  <si>
    <t>Množství</t>
  </si>
  <si>
    <t>Cena/MJ</t>
  </si>
  <si>
    <t>(Kč)</t>
  </si>
  <si>
    <t>Objednatel:</t>
  </si>
  <si>
    <t>Projektant:</t>
  </si>
  <si>
    <t>Zhotovitel:</t>
  </si>
  <si>
    <t>Zpracoval:</t>
  </si>
  <si>
    <t>Náklady (Kč)</t>
  </si>
  <si>
    <t>Město Benešov</t>
  </si>
  <si>
    <t>Ing.arch Martin Kraus, atelier a-detail</t>
  </si>
  <si>
    <t> </t>
  </si>
  <si>
    <t>Ing. Pavel Markvart</t>
  </si>
  <si>
    <t>Celkem</t>
  </si>
  <si>
    <t>Hmotnost (t)</t>
  </si>
  <si>
    <t>Jednot.</t>
  </si>
  <si>
    <t>Cenová</t>
  </si>
  <si>
    <t>soustava</t>
  </si>
  <si>
    <t>RTS II / 2019</t>
  </si>
  <si>
    <t>KALK</t>
  </si>
  <si>
    <t>Přesuny</t>
  </si>
  <si>
    <t>Typ skupiny</t>
  </si>
  <si>
    <t>HSV mat</t>
  </si>
  <si>
    <t>HSV prac</t>
  </si>
  <si>
    <t>PSV mat</t>
  </si>
  <si>
    <t>PSV prac</t>
  </si>
  <si>
    <t>Mont mat</t>
  </si>
  <si>
    <t>Mont prac</t>
  </si>
  <si>
    <t>Ostatní mat.</t>
  </si>
  <si>
    <t>11_</t>
  </si>
  <si>
    <t>12_</t>
  </si>
  <si>
    <t>13_</t>
  </si>
  <si>
    <t>16_</t>
  </si>
  <si>
    <t>17_</t>
  </si>
  <si>
    <t>19_</t>
  </si>
  <si>
    <t>21_</t>
  </si>
  <si>
    <t>27_</t>
  </si>
  <si>
    <t>31_</t>
  </si>
  <si>
    <t>34_</t>
  </si>
  <si>
    <t>41_</t>
  </si>
  <si>
    <t>61_</t>
  </si>
  <si>
    <t>62_</t>
  </si>
  <si>
    <t>63_</t>
  </si>
  <si>
    <t>94_</t>
  </si>
  <si>
    <t>95_</t>
  </si>
  <si>
    <t>979_</t>
  </si>
  <si>
    <t>998_</t>
  </si>
  <si>
    <t>711_</t>
  </si>
  <si>
    <t>712_</t>
  </si>
  <si>
    <t>720_</t>
  </si>
  <si>
    <t>764_</t>
  </si>
  <si>
    <t>766_</t>
  </si>
  <si>
    <t>767_</t>
  </si>
  <si>
    <t>783_</t>
  </si>
  <si>
    <t>784_</t>
  </si>
  <si>
    <t>32_</t>
  </si>
  <si>
    <t>SO.03A_1_</t>
  </si>
  <si>
    <t>SO.03A_2_</t>
  </si>
  <si>
    <t>SO.03A_3_</t>
  </si>
  <si>
    <t>SO.03A_4_</t>
  </si>
  <si>
    <t>SO.03A_6_</t>
  </si>
  <si>
    <t>SO.03A_9_</t>
  </si>
  <si>
    <t>SO.03A_71_</t>
  </si>
  <si>
    <t>SO.03A_72_</t>
  </si>
  <si>
    <t>SO.03A_76_</t>
  </si>
  <si>
    <t>SO.03A_78_</t>
  </si>
  <si>
    <t>SO.03B_1_</t>
  </si>
  <si>
    <t>SO.03B_2_</t>
  </si>
  <si>
    <t>SO.03B_3_</t>
  </si>
  <si>
    <t>SO.03B_9_</t>
  </si>
  <si>
    <t>SO.03A_</t>
  </si>
  <si>
    <t>SO.03B_</t>
  </si>
  <si>
    <t>MAT</t>
  </si>
  <si>
    <t>WORK</t>
  </si>
  <si>
    <t>CELK</t>
  </si>
  <si>
    <t>Rozpočtové náklady v Kč</t>
  </si>
  <si>
    <t>A</t>
  </si>
  <si>
    <t>HSV</t>
  </si>
  <si>
    <t>PSV</t>
  </si>
  <si>
    <t>"M"</t>
  </si>
  <si>
    <t>Ostatní materiál</t>
  </si>
  <si>
    <t>Přesun hmot a sutí</t>
  </si>
  <si>
    <t>ZRN celkem</t>
  </si>
  <si>
    <t>Základ 15%</t>
  </si>
  <si>
    <t>Základ 21%</t>
  </si>
  <si>
    <t>Projektant</t>
  </si>
  <si>
    <t>Datum, razítko a podpis</t>
  </si>
  <si>
    <t>Základní rozpočtové náklady</t>
  </si>
  <si>
    <t>Krycí list rozpočtu</t>
  </si>
  <si>
    <t>B</t>
  </si>
  <si>
    <t>Práce přesčas</t>
  </si>
  <si>
    <t>Bez pevné podl.</t>
  </si>
  <si>
    <t>Kulturní památka</t>
  </si>
  <si>
    <t>DN celkem</t>
  </si>
  <si>
    <t>DPH 15%</t>
  </si>
  <si>
    <t>DPH 21%</t>
  </si>
  <si>
    <t>Objednatel</t>
  </si>
  <si>
    <t>Doplňkové náklady</t>
  </si>
  <si>
    <t>C</t>
  </si>
  <si>
    <t>Zařízení staveniště</t>
  </si>
  <si>
    <t>NUS z rozpočtu</t>
  </si>
  <si>
    <t>NUS celkem</t>
  </si>
  <si>
    <t>Celkem bez DPH</t>
  </si>
  <si>
    <t>Celkem včetně DPH</t>
  </si>
  <si>
    <t>Zhotovitel</t>
  </si>
  <si>
    <t>IČ/DIČ:</t>
  </si>
  <si>
    <t>Položek:</t>
  </si>
  <si>
    <t>Datum:</t>
  </si>
  <si>
    <t>Náklady na umístění stavby (NUS)</t>
  </si>
  <si>
    <t>231401/CZ00231401</t>
  </si>
  <si>
    <t>16683986/CZ6611221265</t>
  </si>
  <si>
    <t>Vedlejší rozpočtové náklady VRN</t>
  </si>
  <si>
    <t>Ostatní rozpočtové náklady ORN</t>
  </si>
  <si>
    <t>Ostatní rozpočtové náklady (ORN)</t>
  </si>
  <si>
    <t>Kompletařní činnost</t>
  </si>
  <si>
    <t>Geodetické práce</t>
  </si>
  <si>
    <t>Bezpečnost práce</t>
  </si>
  <si>
    <t>Projekt (výrobní, skut.prov)</t>
  </si>
  <si>
    <t>Celkem ORN</t>
  </si>
  <si>
    <t>Vedlejší a ostatní rozpočtové náklady</t>
  </si>
  <si>
    <t>Kč</t>
  </si>
  <si>
    <t>%</t>
  </si>
  <si>
    <t>Základna</t>
  </si>
  <si>
    <t>8015, Budovy pro tělovýchovu</t>
  </si>
  <si>
    <t>05.12.2019</t>
  </si>
  <si>
    <r>
      <t xml:space="preserve">Výkaz výměr tvoří výpočet či převzatá výměra z Technické zprávy projektové dokumentace a odkaz na specifický číselný kód TZ projektu s jednoduchým textovým popisem vypočtené či převzaté výměry. např.1,42*1,15*0,6 (výpočet výměry)   2.02 (číselný kód dle TZ) zazdívka otvorů, přístavek (textový popis).                                       </t>
    </r>
    <r>
      <rPr>
        <b/>
        <i/>
        <sz val="8"/>
        <color indexed="8"/>
        <rFont val="Arial"/>
        <family val="2"/>
      </rPr>
      <t xml:space="preserve">Pokyny pro vyplnění: </t>
    </r>
    <r>
      <rPr>
        <i/>
        <sz val="10"/>
        <color indexed="8"/>
        <rFont val="Arial"/>
        <family val="2"/>
      </rPr>
      <t>Ve všech listech tohoto souboru můžete měnit pouze tyto buňky:                                                                                                                                             1. Zhotovitel - údaje o firmě  2.Jednotkové ceny položek a VON (Jednot.cena Kč) zadané na maximálně dvě desetinná místa.</t>
    </r>
  </si>
  <si>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</si>
  <si>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</si>
  <si>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</si>
  <si>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</si>
  <si>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</si>
  <si>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</si>
  <si>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</si>
  <si>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</si>
  <si>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</si>
  <si>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</si>
  <si>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</si>
  <si>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</si>
  <si>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</si>
  <si>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</si>
  <si>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</si>
  <si>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</si>
  <si>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 xml:space="preserve">        Individuální položky</t>
  </si>
  <si>
    <t>Položky soupisu prací, které cenová soustava neobsahuje, jsou označeny popisem „IK individuální kalkulace“.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</si>
  <si>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</si>
  <si>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</si>
  <si>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</si>
  <si>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</si>
  <si>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</si>
  <si>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</si>
  <si>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</si>
  <si>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</si>
  <si>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</si>
  <si>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</si>
  <si>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</si>
  <si>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</si>
  <si>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</si>
  <si>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</si>
  <si>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</si>
  <si>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</si>
  <si>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</si>
  <si>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</si>
  <si>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</si>
  <si>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</si>
  <si>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</si>
  <si>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</si>
  <si>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Závěrečné ustanovení</t>
  </si>
  <si>
    <t>Ostatní podmínky vztahující se ke zpracování nabídkové ceny jsou uvedeny v zadávací dokumentaci.</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</si>
</sst>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dd/mm/yy"/>
    <numFmt numFmtId="167" formatCode="dd\.mmmm\.yy"/>
    <numFmt numFmtId="168" formatCode="#,##0.000"/>
    <numFmt numFmtId="169" formatCode="#,##0.0000"/>
  </numFmts>
  <fonts count="51">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63"/>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i/>
      <sz val="10"/>
      <color indexed="8"/>
      <name val="Arial"/>
      <family val="2"/>
    </font>
    <font>
      <b/>
      <i/>
      <sz val="8"/>
      <color indexed="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sz val="18"/>
      <color indexed="23"/>
      <name val="Calibri Light"/>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23"/>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top style="medium"/>
      <bottom style="thin"/>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thin"/>
      <top style="thin"/>
      <bottom style="thin"/>
    </border>
    <border>
      <left/>
      <right/>
      <top style="thin"/>
      <bottom style="medium"/>
    </border>
    <border>
      <left/>
      <right style="thin"/>
      <top style="thin"/>
      <bottom style="thin"/>
    </border>
    <border>
      <left/>
      <right/>
      <top/>
      <bottom style="medium"/>
    </border>
    <border>
      <left style="thin"/>
      <right style="thin"/>
      <top style="thin"/>
      <bottom style="medium"/>
    </border>
    <border>
      <left style="medium"/>
      <right style="medium"/>
      <top style="medium"/>
      <bottom style="mediu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right/>
      <top style="medium"/>
      <bottom style="medium"/>
    </border>
    <border>
      <left/>
      <right style="medium"/>
      <top style="medium"/>
      <bottom style="medium"/>
    </border>
    <border>
      <left style="thin"/>
      <right style="thin"/>
      <top style="medium"/>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medium"/>
      <top/>
      <bottom/>
    </border>
    <border>
      <left style="medium"/>
      <right/>
      <top/>
      <bottom style="medium"/>
    </border>
    <border>
      <left/>
      <right style="medium"/>
      <top/>
      <bottom style="medium"/>
    </border>
    <border>
      <left/>
      <right/>
      <top style="thin"/>
      <bottom style="thin"/>
    </border>
    <border>
      <left style="medium"/>
      <right/>
      <top style="medium"/>
      <bottom/>
    </border>
    <border>
      <left/>
      <right style="medium"/>
      <top style="medium"/>
      <bottom/>
    </border>
    <border>
      <left/>
      <right style="thin"/>
      <top/>
      <bottom/>
    </border>
    <border>
      <left/>
      <right style="medium"/>
      <top style="medium"/>
      <bottom style="thin"/>
    </border>
    <border>
      <left/>
      <right style="thin"/>
      <top/>
      <bottom style="medium"/>
    </border>
    <border>
      <left style="thin"/>
      <right/>
      <top/>
      <bottom style="medium"/>
    </border>
    <border>
      <left style="medium"/>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0" fontId="1" fillId="0" borderId="0">
      <alignment vertical="center"/>
      <protection locked="0"/>
    </xf>
    <xf numFmtId="0" fontId="37" fillId="20" borderId="2" applyNumberFormat="0" applyAlignment="0" applyProtection="0"/>
    <xf numFmtId="165" fontId="0" fillId="0" borderId="0" applyFont="0" applyFill="0" applyBorder="0" applyAlignment="0" applyProtection="0"/>
    <xf numFmtId="165"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22" borderId="6" applyNumberFormat="0" applyFont="0" applyAlignment="0" applyProtection="0"/>
    <xf numFmtId="165"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84">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9" fillId="33" borderId="12"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center"/>
      <protection/>
    </xf>
    <xf numFmtId="49" fontId="11" fillId="0" borderId="13"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right" vertical="center"/>
      <protection/>
    </xf>
    <xf numFmtId="49" fontId="10" fillId="34" borderId="0" xfId="0" applyNumberFormat="1" applyFont="1" applyFill="1" applyBorder="1" applyAlignment="1" applyProtection="1">
      <alignment horizontal="right" vertical="center"/>
      <protection/>
    </xf>
    <xf numFmtId="49" fontId="9"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9" fillId="33" borderId="12"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 fontId="9"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0" fontId="1" fillId="0" borderId="12" xfId="0" applyNumberFormat="1" applyFont="1" applyFill="1" applyBorder="1" applyAlignment="1" applyProtection="1">
      <alignment vertical="center"/>
      <protection/>
    </xf>
    <xf numFmtId="49" fontId="13" fillId="35" borderId="26" xfId="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vertical="center"/>
      <protection/>
    </xf>
    <xf numFmtId="49" fontId="8" fillId="0" borderId="12" xfId="0" applyNumberFormat="1" applyFont="1" applyFill="1" applyBorder="1" applyAlignment="1" applyProtection="1">
      <alignment horizontal="left" vertical="center"/>
      <protection/>
    </xf>
    <xf numFmtId="4" fontId="15" fillId="0" borderId="26" xfId="0" applyNumberFormat="1" applyFont="1" applyFill="1" applyBorder="1" applyAlignment="1" applyProtection="1">
      <alignment horizontal="right" vertical="center"/>
      <protection/>
    </xf>
    <xf numFmtId="49" fontId="15" fillId="0" borderId="26" xfId="0" applyNumberFormat="1" applyFont="1" applyFill="1" applyBorder="1" applyAlignment="1" applyProtection="1">
      <alignment horizontal="right" vertical="center"/>
      <protection/>
    </xf>
    <xf numFmtId="4" fontId="14" fillId="35" borderId="28" xfId="0" applyNumberFormat="1" applyFont="1" applyFill="1" applyBorder="1" applyAlignment="1" applyProtection="1">
      <alignment horizontal="right" vertical="center"/>
      <protection/>
    </xf>
    <xf numFmtId="0" fontId="1" fillId="0" borderId="29" xfId="0" applyNumberFormat="1" applyFont="1" applyFill="1" applyBorder="1" applyAlignment="1" applyProtection="1">
      <alignment vertical="center"/>
      <protection/>
    </xf>
    <xf numFmtId="4" fontId="1" fillId="0" borderId="26" xfId="0" applyNumberFormat="1" applyFont="1" applyFill="1" applyBorder="1" applyAlignment="1" applyProtection="1">
      <alignment horizontal="right" vertical="center"/>
      <protection/>
    </xf>
    <xf numFmtId="4" fontId="1" fillId="0" borderId="30" xfId="0" applyNumberFormat="1" applyFont="1" applyFill="1" applyBorder="1" applyAlignment="1" applyProtection="1">
      <alignment horizontal="right" vertical="center"/>
      <protection/>
    </xf>
    <xf numFmtId="49" fontId="3" fillId="0" borderId="31" xfId="0" applyNumberFormat="1" applyFont="1" applyFill="1" applyBorder="1" applyAlignment="1" applyProtection="1">
      <alignment horizontal="left" vertical="center"/>
      <protection/>
    </xf>
    <xf numFmtId="49" fontId="1" fillId="0" borderId="26" xfId="0" applyNumberFormat="1" applyFont="1" applyFill="1" applyBorder="1" applyAlignment="1" applyProtection="1">
      <alignment horizontal="left" vertical="center"/>
      <protection/>
    </xf>
    <xf numFmtId="49" fontId="1" fillId="0" borderId="30" xfId="0" applyNumberFormat="1" applyFont="1" applyFill="1" applyBorder="1" applyAlignment="1" applyProtection="1">
      <alignment horizontal="left" vertical="center"/>
      <protection/>
    </xf>
    <xf numFmtId="49" fontId="3" fillId="0" borderId="31" xfId="0" applyNumberFormat="1" applyFont="1" applyFill="1" applyBorder="1" applyAlignment="1" applyProtection="1">
      <alignment horizontal="right" vertical="center"/>
      <protection/>
    </xf>
    <xf numFmtId="4" fontId="3" fillId="0" borderId="31" xfId="0" applyNumberFormat="1" applyFont="1" applyFill="1" applyBorder="1" applyAlignment="1" applyProtection="1">
      <alignment horizontal="right" vertical="center"/>
      <protection/>
    </xf>
    <xf numFmtId="168" fontId="6" fillId="0" borderId="0" xfId="0" applyNumberFormat="1" applyFont="1" applyFill="1" applyBorder="1" applyAlignment="1" applyProtection="1">
      <alignment horizontal="right" vertical="center"/>
      <protection/>
    </xf>
    <xf numFmtId="168" fontId="11" fillId="0" borderId="0" xfId="0" applyNumberFormat="1" applyFont="1" applyFill="1" applyBorder="1" applyAlignment="1" applyProtection="1">
      <alignment horizontal="right" vertical="center"/>
      <protection/>
    </xf>
    <xf numFmtId="168" fontId="7" fillId="0" borderId="0" xfId="0" applyNumberFormat="1" applyFont="1" applyFill="1" applyBorder="1" applyAlignment="1" applyProtection="1">
      <alignment horizontal="right" vertical="center"/>
      <protection/>
    </xf>
    <xf numFmtId="168" fontId="11" fillId="0" borderId="13" xfId="0" applyNumberFormat="1" applyFont="1" applyFill="1" applyBorder="1" applyAlignment="1" applyProtection="1">
      <alignment horizontal="right" vertical="center"/>
      <protection/>
    </xf>
    <xf numFmtId="49" fontId="6" fillId="36" borderId="32" xfId="0" applyNumberFormat="1" applyFont="1" applyFill="1" applyBorder="1" applyAlignment="1" applyProtection="1">
      <alignment horizontal="right" vertical="center"/>
      <protection/>
    </xf>
    <xf numFmtId="0" fontId="0" fillId="36" borderId="32" xfId="1" applyNumberFormat="1" applyFill="1" applyBorder="1" applyAlignment="1" applyProtection="1">
      <alignment/>
      <protection/>
    </xf>
    <xf numFmtId="0" fontId="0" fillId="36" borderId="33" xfId="1" applyNumberFormat="1" applyFill="1" applyBorder="1" applyAlignment="1" applyProtection="1">
      <alignment/>
      <protection/>
    </xf>
    <xf numFmtId="49" fontId="6" fillId="36" borderId="34" xfId="0" applyNumberFormat="1" applyFont="1" applyFill="1" applyBorder="1" applyAlignment="1" applyProtection="1">
      <alignment horizontal="left" vertical="center"/>
      <protection/>
    </xf>
    <xf numFmtId="0" fontId="0" fillId="36" borderId="35" xfId="1" applyNumberFormat="1" applyFill="1" applyBorder="1" applyAlignment="1" applyProtection="1">
      <alignment/>
      <protection/>
    </xf>
    <xf numFmtId="49" fontId="11" fillId="36" borderId="35" xfId="0" applyNumberFormat="1" applyFont="1" applyFill="1" applyBorder="1" applyAlignment="1" applyProtection="1">
      <alignment horizontal="left" vertical="center"/>
      <protection/>
    </xf>
    <xf numFmtId="168" fontId="6" fillId="36" borderId="34" xfId="0" applyNumberFormat="1" applyFont="1" applyFill="1" applyBorder="1" applyAlignment="1" applyProtection="1">
      <alignment horizontal="right" vertical="center"/>
      <protection/>
    </xf>
    <xf numFmtId="4" fontId="6" fillId="36" borderId="34" xfId="0" applyNumberFormat="1" applyFont="1" applyFill="1" applyBorder="1" applyAlignment="1" applyProtection="1">
      <alignment horizontal="right" vertical="center"/>
      <protection/>
    </xf>
    <xf numFmtId="168" fontId="11" fillId="36" borderId="35" xfId="0" applyNumberFormat="1" applyFont="1" applyFill="1" applyBorder="1" applyAlignment="1" applyProtection="1">
      <alignment horizontal="right" vertical="center"/>
      <protection/>
    </xf>
    <xf numFmtId="0" fontId="0" fillId="36" borderId="34" xfId="1" applyNumberFormat="1" applyFill="1" applyBorder="1" applyAlignment="1" applyProtection="1">
      <alignment/>
      <protection/>
    </xf>
    <xf numFmtId="49" fontId="11" fillId="36" borderId="34" xfId="0" applyNumberFormat="1" applyFont="1" applyFill="1" applyBorder="1" applyAlignment="1" applyProtection="1">
      <alignment horizontal="left" vertical="center"/>
      <protection/>
    </xf>
    <xf numFmtId="168" fontId="11" fillId="36" borderId="34" xfId="0" applyNumberFormat="1" applyFont="1" applyFill="1" applyBorder="1" applyAlignment="1" applyProtection="1">
      <alignment horizontal="right" vertical="center"/>
      <protection/>
    </xf>
    <xf numFmtId="49" fontId="7" fillId="36" borderId="32" xfId="0" applyNumberFormat="1" applyFont="1" applyFill="1" applyBorder="1" applyAlignment="1" applyProtection="1">
      <alignment horizontal="right" vertical="center"/>
      <protection/>
    </xf>
    <xf numFmtId="49" fontId="7" fillId="36" borderId="34" xfId="0" applyNumberFormat="1" applyFont="1" applyFill="1" applyBorder="1" applyAlignment="1" applyProtection="1">
      <alignment horizontal="left" vertical="center"/>
      <protection/>
    </xf>
    <xf numFmtId="168" fontId="7" fillId="36" borderId="34" xfId="0" applyNumberFormat="1" applyFont="1" applyFill="1" applyBorder="1" applyAlignment="1" applyProtection="1">
      <alignment horizontal="right" vertical="center"/>
      <protection/>
    </xf>
    <xf numFmtId="4" fontId="7" fillId="36" borderId="34"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wrapText="1"/>
      <protection/>
    </xf>
    <xf numFmtId="169" fontId="9" fillId="33" borderId="12" xfId="0" applyNumberFormat="1" applyFont="1" applyFill="1" applyBorder="1" applyAlignment="1" applyProtection="1">
      <alignment horizontal="right" vertical="center"/>
      <protection/>
    </xf>
    <xf numFmtId="169" fontId="10" fillId="34" borderId="0" xfId="0" applyNumberFormat="1" applyFont="1" applyFill="1" applyBorder="1" applyAlignment="1" applyProtection="1">
      <alignment horizontal="right" vertical="center"/>
      <protection/>
    </xf>
    <xf numFmtId="169" fontId="6" fillId="36" borderId="34" xfId="0" applyNumberFormat="1" applyFont="1" applyFill="1" applyBorder="1" applyAlignment="1" applyProtection="1">
      <alignment horizontal="right" vertical="center"/>
      <protection/>
    </xf>
    <xf numFmtId="169" fontId="0" fillId="36" borderId="34" xfId="1" applyNumberFormat="1" applyFill="1" applyBorder="1" applyAlignment="1" applyProtection="1">
      <alignment/>
      <protection/>
    </xf>
    <xf numFmtId="169" fontId="0" fillId="36" borderId="35" xfId="1" applyNumberFormat="1" applyFill="1" applyBorder="1" applyAlignment="1" applyProtection="1">
      <alignment/>
      <protection/>
    </xf>
    <xf numFmtId="169" fontId="7" fillId="36" borderId="34" xfId="0" applyNumberFormat="1" applyFont="1" applyFill="1" applyBorder="1" applyAlignment="1" applyProtection="1">
      <alignment horizontal="right" vertical="center"/>
      <protection/>
    </xf>
    <xf numFmtId="169" fontId="9" fillId="33" borderId="0" xfId="0" applyNumberFormat="1" applyFont="1" applyFill="1" applyBorder="1" applyAlignment="1" applyProtection="1">
      <alignment horizontal="right" vertical="center"/>
      <protection/>
    </xf>
    <xf numFmtId="169" fontId="6" fillId="0" borderId="0" xfId="0" applyNumberFormat="1" applyFont="1" applyFill="1" applyBorder="1" applyAlignment="1" applyProtection="1">
      <alignment horizontal="right" vertical="center"/>
      <protection/>
    </xf>
    <xf numFmtId="169" fontId="1" fillId="0" borderId="0" xfId="0" applyNumberFormat="1" applyFont="1" applyAlignment="1">
      <alignment vertical="center"/>
    </xf>
    <xf numFmtId="169" fontId="7" fillId="0" borderId="0" xfId="0" applyNumberFormat="1" applyFont="1" applyFill="1" applyBorder="1" applyAlignment="1" applyProtection="1">
      <alignment horizontal="righ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9" fontId="3" fillId="0" borderId="38" xfId="0" applyNumberFormat="1" applyFont="1" applyFill="1" applyBorder="1" applyAlignment="1" applyProtection="1">
      <alignment horizontal="right" vertical="center"/>
      <protection/>
    </xf>
    <xf numFmtId="0" fontId="1" fillId="0" borderId="0" xfId="0" applyFont="1" applyAlignment="1">
      <alignment vertical="center"/>
    </xf>
    <xf numFmtId="0" fontId="0" fillId="0" borderId="0" xfId="0" applyAlignment="1">
      <alignment/>
    </xf>
    <xf numFmtId="0" fontId="0" fillId="0" borderId="0" xfId="0" applyAlignment="1">
      <alignment/>
    </xf>
    <xf numFmtId="49" fontId="5" fillId="37" borderId="34" xfId="0" applyNumberFormat="1" applyFont="1" applyFill="1" applyBorder="1" applyAlignment="1" applyProtection="1">
      <alignment horizontal="left" vertical="center"/>
      <protection/>
    </xf>
    <xf numFmtId="49" fontId="10" fillId="37" borderId="34" xfId="0" applyNumberFormat="1" applyFont="1" applyFill="1" applyBorder="1" applyAlignment="1" applyProtection="1">
      <alignment horizontal="left" vertical="center"/>
      <protection/>
    </xf>
    <xf numFmtId="4" fontId="10" fillId="37" borderId="34" xfId="0" applyNumberFormat="1" applyFont="1" applyFill="1" applyBorder="1" applyAlignment="1" applyProtection="1">
      <alignment horizontal="right" vertical="center"/>
      <protection/>
    </xf>
    <xf numFmtId="169" fontId="10" fillId="37" borderId="34" xfId="0" applyNumberFormat="1" applyFont="1" applyFill="1" applyBorder="1" applyAlignment="1" applyProtection="1">
      <alignment horizontal="right" vertical="center"/>
      <protection/>
    </xf>
    <xf numFmtId="49" fontId="10" fillId="37" borderId="32" xfId="0" applyNumberFormat="1" applyFont="1" applyFill="1" applyBorder="1" applyAlignment="1" applyProtection="1">
      <alignment horizontal="right" vertical="center"/>
      <protection/>
    </xf>
    <xf numFmtId="4" fontId="6" fillId="0" borderId="34" xfId="0" applyNumberFormat="1" applyFont="1" applyFill="1" applyBorder="1" applyAlignment="1" applyProtection="1">
      <alignment horizontal="right" vertical="center"/>
      <protection/>
    </xf>
    <xf numFmtId="0" fontId="0" fillId="0" borderId="34" xfId="1" applyNumberFormat="1" applyFill="1" applyBorder="1" applyAlignment="1" applyProtection="1">
      <alignment/>
      <protection/>
    </xf>
    <xf numFmtId="0" fontId="0" fillId="0" borderId="35" xfId="1" applyNumberFormat="1" applyFill="1" applyBorder="1" applyAlignment="1" applyProtection="1">
      <alignment/>
      <protection/>
    </xf>
    <xf numFmtId="4" fontId="7" fillId="0" borderId="34" xfId="0"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NumberFormat="1" applyAlignment="1">
      <alignment wrapText="1"/>
    </xf>
    <xf numFmtId="0" fontId="0" fillId="0" borderId="0" xfId="0" applyNumberFormat="1" applyAlignment="1">
      <alignment horizontal="left" wrapText="1"/>
    </xf>
    <xf numFmtId="0" fontId="0" fillId="0" borderId="0" xfId="0" applyNumberFormat="1" applyAlignment="1">
      <alignment horizontal="left" vertical="top" wrapText="1"/>
    </xf>
    <xf numFmtId="0" fontId="17" fillId="0" borderId="0" xfId="0" applyFont="1" applyAlignment="1">
      <alignment horizontal="left" vertical="top" wrapText="1"/>
    </xf>
    <xf numFmtId="0" fontId="2" fillId="0" borderId="13" xfId="0" applyNumberFormat="1" applyFont="1" applyFill="1" applyBorder="1" applyAlignment="1" applyProtection="1">
      <alignment horizontal="center" vertical="center" wrapText="1"/>
      <protection/>
    </xf>
    <xf numFmtId="49" fontId="14" fillId="0" borderId="39" xfId="0" applyNumberFormat="1" applyFont="1" applyFill="1" applyBorder="1" applyAlignment="1" applyProtection="1">
      <alignment horizontal="center" vertical="center"/>
      <protection/>
    </xf>
    <xf numFmtId="49" fontId="14" fillId="0" borderId="40" xfId="0" applyNumberFormat="1" applyFont="1" applyFill="1" applyBorder="1" applyAlignment="1" applyProtection="1">
      <alignment horizontal="center" vertical="center"/>
      <protection/>
    </xf>
    <xf numFmtId="49" fontId="14" fillId="0" borderId="41" xfId="0" applyNumberFormat="1" applyFont="1" applyFill="1" applyBorder="1" applyAlignment="1" applyProtection="1">
      <alignment horizontal="center" vertical="center"/>
      <protection/>
    </xf>
    <xf numFmtId="49" fontId="14" fillId="0" borderId="42" xfId="0" applyNumberFormat="1" applyFont="1" applyFill="1" applyBorder="1" applyAlignment="1" applyProtection="1">
      <alignment horizontal="center" vertical="center"/>
      <protection/>
    </xf>
    <xf numFmtId="4" fontId="15" fillId="0" borderId="43" xfId="0" applyNumberFormat="1" applyFont="1" applyFill="1" applyBorder="1" applyAlignment="1" applyProtection="1">
      <alignment horizontal="right" vertical="center"/>
      <protection/>
    </xf>
    <xf numFmtId="4" fontId="15" fillId="0" borderId="44" xfId="0" applyNumberFormat="1" applyFont="1" applyFill="1" applyBorder="1" applyAlignment="1" applyProtection="1">
      <alignment horizontal="right" vertical="center"/>
      <protection/>
    </xf>
    <xf numFmtId="49" fontId="15" fillId="0" borderId="45" xfId="0" applyNumberFormat="1" applyFont="1" applyFill="1" applyBorder="1" applyAlignment="1" applyProtection="1">
      <alignment horizontal="left" vertical="center"/>
      <protection/>
    </xf>
    <xf numFmtId="0" fontId="15" fillId="0" borderId="28" xfId="0" applyNumberFormat="1" applyFont="1" applyFill="1" applyBorder="1" applyAlignment="1" applyProtection="1">
      <alignment horizontal="left" vertical="center"/>
      <protection/>
    </xf>
    <xf numFmtId="49" fontId="15" fillId="0" borderId="25"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15" fillId="0" borderId="46" xfId="0" applyNumberFormat="1" applyFont="1" applyFill="1" applyBorder="1" applyAlignment="1" applyProtection="1">
      <alignment horizontal="left" vertical="center"/>
      <protection/>
    </xf>
    <xf numFmtId="49" fontId="15" fillId="0" borderId="47" xfId="0" applyNumberFormat="1" applyFont="1" applyFill="1" applyBorder="1" applyAlignment="1" applyProtection="1">
      <alignment horizontal="left" vertical="center"/>
      <protection/>
    </xf>
    <xf numFmtId="0" fontId="15" fillId="0" borderId="29" xfId="0" applyNumberFormat="1" applyFont="1" applyFill="1" applyBorder="1" applyAlignment="1" applyProtection="1">
      <alignment horizontal="left" vertical="center"/>
      <protection/>
    </xf>
    <xf numFmtId="0" fontId="15" fillId="0" borderId="48" xfId="0" applyNumberFormat="1" applyFont="1" applyFill="1" applyBorder="1" applyAlignment="1" applyProtection="1">
      <alignment horizontal="left" vertical="center"/>
      <protection/>
    </xf>
    <xf numFmtId="49" fontId="14" fillId="35" borderId="45" xfId="0" applyNumberFormat="1" applyFont="1" applyFill="1" applyBorder="1" applyAlignment="1" applyProtection="1">
      <alignment horizontal="left" vertical="center"/>
      <protection/>
    </xf>
    <xf numFmtId="0" fontId="14" fillId="35" borderId="49" xfId="0" applyNumberFormat="1" applyFont="1" applyFill="1" applyBorder="1" applyAlignment="1" applyProtection="1">
      <alignment horizontal="left" vertical="center"/>
      <protection/>
    </xf>
    <xf numFmtId="49" fontId="15" fillId="0" borderId="50"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horizontal="left" vertical="center"/>
      <protection/>
    </xf>
    <xf numFmtId="0" fontId="15" fillId="0" borderId="51" xfId="0" applyNumberFormat="1" applyFont="1" applyFill="1" applyBorder="1" applyAlignment="1" applyProtection="1">
      <alignment horizontal="left" vertical="center"/>
      <protection/>
    </xf>
    <xf numFmtId="49" fontId="14" fillId="0" borderId="45" xfId="0" applyNumberFormat="1" applyFont="1" applyFill="1" applyBorder="1" applyAlignment="1" applyProtection="1">
      <alignment horizontal="left" vertical="center"/>
      <protection/>
    </xf>
    <xf numFmtId="0" fontId="14" fillId="0" borderId="28" xfId="0" applyNumberFormat="1" applyFont="1" applyFill="1" applyBorder="1" applyAlignment="1" applyProtection="1">
      <alignment horizontal="left" vertical="center"/>
      <protection/>
    </xf>
    <xf numFmtId="0" fontId="15" fillId="0" borderId="45" xfId="0" applyNumberFormat="1" applyFont="1" applyFill="1" applyBorder="1" applyAlignment="1" applyProtection="1">
      <alignment horizontal="left" vertical="center"/>
      <protection/>
    </xf>
    <xf numFmtId="49" fontId="15" fillId="0" borderId="45" xfId="0" applyNumberFormat="1" applyFont="1" applyFill="1" applyBorder="1" applyAlignment="1" applyProtection="1">
      <alignment horizontal="left" vertical="center"/>
      <protection/>
    </xf>
    <xf numFmtId="49" fontId="12" fillId="0" borderId="49" xfId="0" applyNumberFormat="1" applyFont="1" applyFill="1" applyBorder="1" applyAlignment="1" applyProtection="1">
      <alignment horizontal="center" vertical="center"/>
      <protection/>
    </xf>
    <xf numFmtId="0" fontId="12" fillId="0" borderId="49" xfId="0" applyNumberFormat="1" applyFont="1" applyFill="1" applyBorder="1" applyAlignment="1" applyProtection="1">
      <alignment horizontal="center" vertical="center"/>
      <protection/>
    </xf>
    <xf numFmtId="49" fontId="16" fillId="0" borderId="45" xfId="0" applyNumberFormat="1" applyFont="1" applyFill="1" applyBorder="1" applyAlignment="1" applyProtection="1">
      <alignment horizontal="left" vertical="center"/>
      <protection/>
    </xf>
    <xf numFmtId="0" fontId="16" fillId="0" borderId="28"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52" xfId="0" applyNumberFormat="1" applyFont="1" applyFill="1" applyBorder="1" applyAlignment="1" applyProtection="1">
      <alignment horizontal="left" vertical="center" wrapText="1"/>
      <protection/>
    </xf>
    <xf numFmtId="0" fontId="1" fillId="0" borderId="42"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1" fillId="0" borderId="52" xfId="0" applyNumberFormat="1" applyFont="1" applyFill="1" applyBorder="1" applyAlignment="1" applyProtection="1">
      <alignment horizontal="left" vertical="center"/>
      <protection/>
    </xf>
    <xf numFmtId="0" fontId="1" fillId="0" borderId="52" xfId="0" applyNumberFormat="1" applyFont="1" applyFill="1" applyBorder="1" applyAlignment="1" applyProtection="1">
      <alignment horizontal="left" vertical="center"/>
      <protection/>
    </xf>
    <xf numFmtId="0" fontId="1" fillId="38" borderId="0" xfId="0" applyNumberFormat="1" applyFont="1" applyFill="1" applyBorder="1" applyAlignment="1" applyProtection="1">
      <alignment horizontal="left" vertical="center" wrapText="1"/>
      <protection/>
    </xf>
    <xf numFmtId="0" fontId="1" fillId="38" borderId="0" xfId="0" applyNumberFormat="1" applyFont="1" applyFill="1" applyBorder="1" applyAlignment="1" applyProtection="1">
      <alignment horizontal="left" vertical="center"/>
      <protection/>
    </xf>
    <xf numFmtId="49" fontId="1" fillId="38" borderId="52" xfId="0" applyNumberFormat="1" applyFont="1" applyFill="1" applyBorder="1" applyAlignment="1" applyProtection="1">
      <alignment horizontal="left" vertical="center"/>
      <protection/>
    </xf>
    <xf numFmtId="0" fontId="1" fillId="38" borderId="52"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49" fontId="1" fillId="0" borderId="40" xfId="0" applyNumberFormat="1" applyFont="1" applyFill="1" applyBorder="1" applyAlignment="1" applyProtection="1">
      <alignment horizontal="left" vertical="center"/>
      <protection/>
    </xf>
    <xf numFmtId="49" fontId="3" fillId="0" borderId="19" xfId="0" applyNumberFormat="1" applyFont="1" applyFill="1" applyBorder="1" applyAlignment="1" applyProtection="1">
      <alignment horizontal="center" vertical="center"/>
      <protection/>
    </xf>
    <xf numFmtId="0" fontId="3" fillId="0" borderId="53"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left" vertical="center" wrapText="1"/>
      <protection/>
    </xf>
    <xf numFmtId="0" fontId="1" fillId="0" borderId="29" xfId="0" applyNumberFormat="1" applyFont="1" applyFill="1" applyBorder="1" applyAlignment="1" applyProtection="1">
      <alignment horizontal="left" vertical="center" wrapText="1"/>
      <protection/>
    </xf>
    <xf numFmtId="0" fontId="1" fillId="0" borderId="54" xfId="0" applyNumberFormat="1" applyFont="1" applyFill="1" applyBorder="1" applyAlignment="1" applyProtection="1">
      <alignment horizontal="left" vertical="center" wrapText="1"/>
      <protection/>
    </xf>
    <xf numFmtId="0" fontId="1" fillId="0" borderId="55"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left" vertical="center"/>
      <protection/>
    </xf>
    <xf numFmtId="49" fontId="1" fillId="0" borderId="26" xfId="0" applyNumberFormat="1" applyFont="1" applyFill="1" applyBorder="1" applyAlignment="1" applyProtection="1">
      <alignment horizontal="left" vertical="center"/>
      <protection/>
    </xf>
    <xf numFmtId="0" fontId="1" fillId="0" borderId="26" xfId="0" applyNumberFormat="1" applyFont="1" applyFill="1" applyBorder="1" applyAlignment="1" applyProtection="1">
      <alignment horizontal="left" vertical="center"/>
      <protection/>
    </xf>
    <xf numFmtId="49" fontId="1" fillId="0" borderId="30"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0" fontId="3" fillId="0" borderId="36" xfId="0" applyNumberFormat="1" applyFont="1" applyFill="1" applyBorder="1" applyAlignment="1" applyProtection="1">
      <alignment horizontal="left" vertical="center"/>
      <protection/>
    </xf>
    <xf numFmtId="0" fontId="3" fillId="0" borderId="37" xfId="0" applyNumberFormat="1" applyFont="1" applyFill="1" applyBorder="1" applyAlignment="1" applyProtection="1">
      <alignment horizontal="left" vertical="center"/>
      <protection/>
    </xf>
    <xf numFmtId="49" fontId="14" fillId="0" borderId="56" xfId="0" applyNumberFormat="1" applyFont="1" applyFill="1" applyBorder="1" applyAlignment="1" applyProtection="1">
      <alignment horizontal="left" vertical="center"/>
      <protection/>
    </xf>
    <xf numFmtId="0" fontId="14" fillId="0" borderId="36" xfId="0" applyNumberFormat="1" applyFont="1" applyFill="1" applyBorder="1" applyAlignment="1" applyProtection="1">
      <alignment horizontal="left" vertical="center"/>
      <protection/>
    </xf>
    <xf numFmtId="49" fontId="3" fillId="0" borderId="38" xfId="0" applyNumberFormat="1" applyFont="1" applyFill="1" applyBorder="1" applyAlignment="1" applyProtection="1">
      <alignment horizontal="left" vertical="center"/>
      <protection/>
    </xf>
    <xf numFmtId="0" fontId="3" fillId="0" borderId="38" xfId="0" applyNumberFormat="1" applyFont="1" applyFill="1" applyBorder="1" applyAlignment="1" applyProtection="1">
      <alignment horizontal="left" vertical="center"/>
      <protection/>
    </xf>
    <xf numFmtId="49" fontId="14" fillId="0" borderId="29" xfId="0" applyNumberFormat="1" applyFont="1" applyFill="1" applyBorder="1" applyAlignment="1" applyProtection="1">
      <alignment horizontal="left" vertical="center"/>
      <protection/>
    </xf>
    <xf numFmtId="0" fontId="14" fillId="0" borderId="29"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000000"/>
      <rgbColor rgb="00000000"/>
      <rgbColor rgb="00DBDBDB"/>
      <rgbColor rgb="00000000"/>
      <rgbColor rgb="00FFFF8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workbookViewId="0" topLeftCell="A1">
      <selection activeCell="C2" sqref="C2:D3"/>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 min="10" max="10" width="0.85546875" style="0" customWidth="1"/>
  </cols>
  <sheetData>
    <row r="1" spans="1:9" ht="30" customHeight="1">
      <c r="A1" s="109" t="s">
        <v>723</v>
      </c>
      <c r="B1" s="109"/>
      <c r="C1" s="109"/>
      <c r="D1" s="109"/>
      <c r="E1" s="109"/>
      <c r="F1" s="109"/>
      <c r="G1" s="109"/>
      <c r="H1" s="109"/>
      <c r="I1" s="109"/>
    </row>
    <row r="2" spans="1:10" ht="12.75">
      <c r="A2" s="152" t="s">
        <v>1</v>
      </c>
      <c r="B2" s="153"/>
      <c r="C2" s="154" t="str">
        <f>'Stavební rozpočet'!D2</f>
        <v>Zázemí atletického oválu SO.03A - Sklad a SO.03B Opěrná stěna</v>
      </c>
      <c r="D2" s="155"/>
      <c r="E2" s="157" t="s">
        <v>639</v>
      </c>
      <c r="F2" s="157" t="str">
        <f>'Stavební rozpočet'!I2</f>
        <v>Město Benešov</v>
      </c>
      <c r="G2" s="153"/>
      <c r="H2" s="157" t="s">
        <v>740</v>
      </c>
      <c r="I2" s="158" t="s">
        <v>744</v>
      </c>
      <c r="J2" s="34"/>
    </row>
    <row r="3" spans="1:10" ht="12.75">
      <c r="A3" s="145"/>
      <c r="B3" s="138"/>
      <c r="C3" s="156"/>
      <c r="D3" s="156"/>
      <c r="E3" s="138"/>
      <c r="F3" s="138"/>
      <c r="G3" s="138"/>
      <c r="H3" s="138"/>
      <c r="I3" s="147"/>
      <c r="J3" s="34"/>
    </row>
    <row r="4" spans="1:10" ht="12.75">
      <c r="A4" s="137" t="s">
        <v>2</v>
      </c>
      <c r="B4" s="138"/>
      <c r="C4" s="141" t="str">
        <f>'Stavební rozpočet'!D4</f>
        <v>Novostavba objektu</v>
      </c>
      <c r="D4" s="138"/>
      <c r="E4" s="141" t="s">
        <v>640</v>
      </c>
      <c r="F4" s="141" t="str">
        <f>'Stavební rozpočet'!I4</f>
        <v>Ing.arch Martin Kraus, atelier a-detail</v>
      </c>
      <c r="G4" s="138"/>
      <c r="H4" s="141" t="s">
        <v>740</v>
      </c>
      <c r="I4" s="146" t="s">
        <v>745</v>
      </c>
      <c r="J4" s="34"/>
    </row>
    <row r="5" spans="1:10" ht="12.75">
      <c r="A5" s="145"/>
      <c r="B5" s="138"/>
      <c r="C5" s="138"/>
      <c r="D5" s="138"/>
      <c r="E5" s="138"/>
      <c r="F5" s="138"/>
      <c r="G5" s="138"/>
      <c r="H5" s="138"/>
      <c r="I5" s="147"/>
      <c r="J5" s="34"/>
    </row>
    <row r="6" spans="1:10" ht="12.75">
      <c r="A6" s="137" t="s">
        <v>3</v>
      </c>
      <c r="B6" s="138"/>
      <c r="C6" s="141" t="str">
        <f>'Stavební rozpočet'!D6</f>
        <v>Hráského 1913, 256 01 Benešov</v>
      </c>
      <c r="D6" s="138"/>
      <c r="E6" s="141" t="s">
        <v>641</v>
      </c>
      <c r="F6" s="148" t="str">
        <f>'Stavební rozpočet'!I6</f>
        <v> </v>
      </c>
      <c r="G6" s="149"/>
      <c r="H6" s="141" t="s">
        <v>740</v>
      </c>
      <c r="I6" s="150"/>
      <c r="J6" s="34"/>
    </row>
    <row r="7" spans="1:10" ht="12.75">
      <c r="A7" s="145"/>
      <c r="B7" s="138"/>
      <c r="C7" s="138"/>
      <c r="D7" s="138"/>
      <c r="E7" s="138"/>
      <c r="F7" s="149"/>
      <c r="G7" s="149"/>
      <c r="H7" s="138"/>
      <c r="I7" s="151"/>
      <c r="J7" s="34"/>
    </row>
    <row r="8" spans="1:10" ht="12.75">
      <c r="A8" s="137" t="s">
        <v>625</v>
      </c>
      <c r="B8" s="138"/>
      <c r="C8" s="141" t="str">
        <f>'Stavební rozpočet'!G4</f>
        <v> </v>
      </c>
      <c r="D8" s="138"/>
      <c r="E8" s="141" t="s">
        <v>626</v>
      </c>
      <c r="F8" s="141" t="str">
        <f>'Stavební rozpočet'!G6</f>
        <v> </v>
      </c>
      <c r="G8" s="138"/>
      <c r="H8" s="142" t="s">
        <v>741</v>
      </c>
      <c r="I8" s="146" t="s">
        <v>155</v>
      </c>
      <c r="J8" s="34"/>
    </row>
    <row r="9" spans="1:10" ht="12.75">
      <c r="A9" s="145"/>
      <c r="B9" s="138"/>
      <c r="C9" s="138"/>
      <c r="D9" s="138"/>
      <c r="E9" s="138"/>
      <c r="F9" s="138"/>
      <c r="G9" s="138"/>
      <c r="H9" s="138"/>
      <c r="I9" s="147"/>
      <c r="J9" s="34"/>
    </row>
    <row r="10" spans="1:10" ht="12.75">
      <c r="A10" s="137" t="s">
        <v>4</v>
      </c>
      <c r="B10" s="138"/>
      <c r="C10" s="141" t="str">
        <f>'Stavební rozpočet'!D8</f>
        <v>8015, Budovy pro tělovýchovu</v>
      </c>
      <c r="D10" s="138"/>
      <c r="E10" s="141" t="s">
        <v>642</v>
      </c>
      <c r="F10" s="141" t="str">
        <f>'Stavební rozpočet'!I8</f>
        <v>Ing. Pavel Markvart</v>
      </c>
      <c r="G10" s="138"/>
      <c r="H10" s="142" t="s">
        <v>742</v>
      </c>
      <c r="I10" s="143" t="str">
        <f>'Stavební rozpočet'!G8</f>
        <v>05.12.2019</v>
      </c>
      <c r="J10" s="34"/>
    </row>
    <row r="11" spans="1:10" ht="12.75">
      <c r="A11" s="139"/>
      <c r="B11" s="140"/>
      <c r="C11" s="140"/>
      <c r="D11" s="140"/>
      <c r="E11" s="140"/>
      <c r="F11" s="140"/>
      <c r="G11" s="140"/>
      <c r="H11" s="140"/>
      <c r="I11" s="144"/>
      <c r="J11" s="34"/>
    </row>
    <row r="12" spans="1:9" ht="23.25" customHeight="1">
      <c r="A12" s="133" t="s">
        <v>710</v>
      </c>
      <c r="B12" s="134"/>
      <c r="C12" s="134"/>
      <c r="D12" s="134"/>
      <c r="E12" s="134"/>
      <c r="F12" s="134"/>
      <c r="G12" s="134"/>
      <c r="H12" s="134"/>
      <c r="I12" s="134"/>
    </row>
    <row r="13" spans="1:10" ht="26.25" customHeight="1">
      <c r="A13" s="43" t="s">
        <v>711</v>
      </c>
      <c r="B13" s="135" t="s">
        <v>722</v>
      </c>
      <c r="C13" s="136"/>
      <c r="D13" s="43" t="s">
        <v>724</v>
      </c>
      <c r="E13" s="135" t="s">
        <v>732</v>
      </c>
      <c r="F13" s="136"/>
      <c r="G13" s="43" t="s">
        <v>733</v>
      </c>
      <c r="H13" s="135" t="s">
        <v>743</v>
      </c>
      <c r="I13" s="136"/>
      <c r="J13" s="34"/>
    </row>
    <row r="14" spans="1:10" ht="15" customHeight="1">
      <c r="A14" s="110" t="s">
        <v>712</v>
      </c>
      <c r="B14" s="111"/>
      <c r="C14" s="114">
        <f>'Stavební rozpočet'!H13+'Stavební rozpočet'!H16+'Stavební rozpočet'!H23+'Stavební rozpočet'!H42+'Stavební rozpočet'!H51+'Stavební rozpočet'!H63+'Stavební rozpočet'!H66+'Stavební rozpočet'!H81+'Stavební rozpočet'!H97+'Stavební rozpočet'!H113+'Stavební rozpočet'!H116+'Stavební rozpočet'!H144+'Stavební rozpočet'!H159+'Stavební rozpočet'!H172+'Stavební rozpočet'!H201+'Stavební rozpočet'!H218+'Stavební rozpočet'!H221+'Stavební rozpočet'!H317+'Stavební rozpočet'!H327+'Stavební rozpočet'!H340+'Stavební rozpočet'!H349+'Stavební rozpočet'!H365+'Stavební rozpočet'!H368+'Stavební rozpočet'!H385+'Stavební rozpočet'!H389+'Stavební rozpočet'!H399+'Stavební rozpočet'!H402</f>
        <v>0</v>
      </c>
      <c r="D14" s="116" t="s">
        <v>725</v>
      </c>
      <c r="E14" s="117"/>
      <c r="F14" s="46">
        <v>0</v>
      </c>
      <c r="G14" s="132" t="str">
        <f>VORN!A16</f>
        <v>Zařízení staveniště</v>
      </c>
      <c r="H14" s="117"/>
      <c r="I14" s="46">
        <f>VORN!I16</f>
        <v>0</v>
      </c>
      <c r="J14" s="34"/>
    </row>
    <row r="15" spans="1:10" ht="15" customHeight="1">
      <c r="A15" s="112"/>
      <c r="B15" s="113"/>
      <c r="C15" s="115"/>
      <c r="D15" s="116" t="s">
        <v>726</v>
      </c>
      <c r="E15" s="117"/>
      <c r="F15" s="46">
        <v>0</v>
      </c>
      <c r="G15" s="132" t="str">
        <f>VORN!A17</f>
        <v>Kompletařní činnost</v>
      </c>
      <c r="H15" s="117"/>
      <c r="I15" s="46">
        <f>VORN!I17</f>
        <v>0</v>
      </c>
      <c r="J15" s="34"/>
    </row>
    <row r="16" spans="1:10" ht="15" customHeight="1">
      <c r="A16" s="110" t="s">
        <v>713</v>
      </c>
      <c r="B16" s="111"/>
      <c r="C16" s="114">
        <f>'Stavební rozpočet'!H239+'Stavební rozpočet'!H252+'Stavební rozpočet'!H260+'Stavební rozpočet'!H269+'Stavební rozpočet'!H278+'Stavební rozpočet'!H289+'Stavební rozpočet'!H302+'Stavební rozpočet'!H307</f>
        <v>0</v>
      </c>
      <c r="D16" s="116" t="s">
        <v>727</v>
      </c>
      <c r="E16" s="117"/>
      <c r="F16" s="46">
        <v>0</v>
      </c>
      <c r="G16" s="116" t="str">
        <f>VORN!A18</f>
        <v>Geodetické práce</v>
      </c>
      <c r="H16" s="117"/>
      <c r="I16" s="46">
        <f>VORN!I18</f>
        <v>0</v>
      </c>
      <c r="J16" s="34"/>
    </row>
    <row r="17" spans="1:10" ht="15" customHeight="1">
      <c r="A17" s="112"/>
      <c r="B17" s="113"/>
      <c r="C17" s="115"/>
      <c r="D17" s="116"/>
      <c r="E17" s="117"/>
      <c r="F17" s="47"/>
      <c r="G17" s="116" t="str">
        <f>VORN!A19</f>
        <v>Bezpečnost práce</v>
      </c>
      <c r="H17" s="117"/>
      <c r="I17" s="46">
        <f>VORN!I19</f>
        <v>0</v>
      </c>
      <c r="J17" s="34"/>
    </row>
    <row r="18" spans="1:10" ht="15" customHeight="1">
      <c r="A18" s="110" t="s">
        <v>714</v>
      </c>
      <c r="B18" s="111"/>
      <c r="C18" s="114">
        <v>0</v>
      </c>
      <c r="D18" s="116"/>
      <c r="E18" s="117"/>
      <c r="F18" s="47"/>
      <c r="G18" s="116" t="str">
        <f>VORN!A20</f>
        <v>Projekt (výrobní, skut.prov)</v>
      </c>
      <c r="H18" s="117"/>
      <c r="I18" s="46">
        <f>VORN!I20</f>
        <v>0</v>
      </c>
      <c r="J18" s="34"/>
    </row>
    <row r="19" spans="1:10" ht="15" customHeight="1">
      <c r="A19" s="112"/>
      <c r="B19" s="113"/>
      <c r="C19" s="115"/>
      <c r="D19" s="116"/>
      <c r="E19" s="117"/>
      <c r="F19" s="47"/>
      <c r="G19" s="131" t="s">
        <v>735</v>
      </c>
      <c r="H19" s="117"/>
      <c r="I19" s="46">
        <v>0</v>
      </c>
      <c r="J19" s="34"/>
    </row>
    <row r="20" spans="1:10" ht="15" customHeight="1">
      <c r="A20" s="129" t="s">
        <v>715</v>
      </c>
      <c r="B20" s="130"/>
      <c r="C20" s="46">
        <f>SUM('Stavební rozpočet'!AF12:AF407)</f>
        <v>0</v>
      </c>
      <c r="D20" s="116"/>
      <c r="E20" s="117"/>
      <c r="F20" s="47"/>
      <c r="G20" s="131"/>
      <c r="H20" s="117"/>
      <c r="I20" s="47"/>
      <c r="J20" s="34"/>
    </row>
    <row r="21" spans="1:10" ht="15" customHeight="1">
      <c r="A21" s="129" t="s">
        <v>716</v>
      </c>
      <c r="B21" s="130"/>
      <c r="C21" s="46">
        <f>'Stavební rozpočet'!H405+'Stavební rozpočet'!H236</f>
        <v>0</v>
      </c>
      <c r="D21" s="116"/>
      <c r="E21" s="117"/>
      <c r="F21" s="47"/>
      <c r="G21" s="116"/>
      <c r="H21" s="117"/>
      <c r="I21" s="47"/>
      <c r="J21" s="34"/>
    </row>
    <row r="22" spans="1:10" ht="16.5" customHeight="1">
      <c r="A22" s="129" t="s">
        <v>717</v>
      </c>
      <c r="B22" s="130"/>
      <c r="C22" s="46">
        <f>SUM(C14:C21)</f>
        <v>0</v>
      </c>
      <c r="D22" s="129" t="s">
        <v>728</v>
      </c>
      <c r="E22" s="130"/>
      <c r="F22" s="46">
        <f>SUM(F14:F21)</f>
        <v>0</v>
      </c>
      <c r="G22" s="129" t="s">
        <v>736</v>
      </c>
      <c r="H22" s="130"/>
      <c r="I22" s="46">
        <f>SUM(I14:I21)</f>
        <v>0</v>
      </c>
      <c r="J22" s="34"/>
    </row>
    <row r="23" spans="1:9" ht="12.75">
      <c r="A23" s="8"/>
      <c r="B23" s="8"/>
      <c r="C23" s="8"/>
      <c r="G23" s="9"/>
      <c r="H23" s="9"/>
      <c r="I23" s="9"/>
    </row>
    <row r="24" spans="1:10" ht="15" customHeight="1">
      <c r="A24" s="124" t="s">
        <v>718</v>
      </c>
      <c r="B24" s="125"/>
      <c r="C24" s="48">
        <f>SUM('Stavební rozpočet'!AI12:AI407)</f>
        <v>0</v>
      </c>
      <c r="D24" s="124" t="s">
        <v>729</v>
      </c>
      <c r="E24" s="125"/>
      <c r="F24" s="48">
        <f>ROUND(C24*(15/100),2)</f>
        <v>0</v>
      </c>
      <c r="G24" s="124" t="s">
        <v>737</v>
      </c>
      <c r="H24" s="125"/>
      <c r="I24" s="48">
        <f>C22+F22+I22</f>
        <v>0</v>
      </c>
      <c r="J24" s="34"/>
    </row>
    <row r="25" spans="1:10" ht="15" customHeight="1">
      <c r="A25" s="124" t="s">
        <v>719</v>
      </c>
      <c r="B25" s="125"/>
      <c r="C25" s="48">
        <f>I24</f>
        <v>0</v>
      </c>
      <c r="D25" s="124" t="s">
        <v>730</v>
      </c>
      <c r="E25" s="125"/>
      <c r="F25" s="48">
        <f>ROUND(C25*(21/100),2)</f>
        <v>0</v>
      </c>
      <c r="G25" s="124" t="s">
        <v>738</v>
      </c>
      <c r="H25" s="125"/>
      <c r="I25" s="48">
        <f>SUM(F24:F25)+I24</f>
        <v>0</v>
      </c>
      <c r="J25" s="34"/>
    </row>
    <row r="26" spans="1:9" ht="12.75">
      <c r="A26" s="44"/>
      <c r="B26" s="44"/>
      <c r="C26" s="44"/>
      <c r="D26" s="44"/>
      <c r="E26" s="44"/>
      <c r="F26" s="44"/>
      <c r="G26" s="44"/>
      <c r="H26" s="44"/>
      <c r="I26" s="44"/>
    </row>
    <row r="27" spans="1:10" ht="14.25" customHeight="1">
      <c r="A27" s="126" t="s">
        <v>720</v>
      </c>
      <c r="B27" s="127"/>
      <c r="C27" s="128"/>
      <c r="D27" s="126" t="s">
        <v>731</v>
      </c>
      <c r="E27" s="127"/>
      <c r="F27" s="128"/>
      <c r="G27" s="126" t="s">
        <v>739</v>
      </c>
      <c r="H27" s="127"/>
      <c r="I27" s="128"/>
      <c r="J27" s="35"/>
    </row>
    <row r="28" spans="1:10" ht="14.25" customHeight="1">
      <c r="A28" s="118"/>
      <c r="B28" s="119"/>
      <c r="C28" s="120"/>
      <c r="D28" s="118"/>
      <c r="E28" s="119"/>
      <c r="F28" s="120"/>
      <c r="G28" s="118"/>
      <c r="H28" s="119"/>
      <c r="I28" s="120"/>
      <c r="J28" s="35"/>
    </row>
    <row r="29" spans="1:10" ht="14.25" customHeight="1">
      <c r="A29" s="118"/>
      <c r="B29" s="119"/>
      <c r="C29" s="120"/>
      <c r="D29" s="118"/>
      <c r="E29" s="119"/>
      <c r="F29" s="120"/>
      <c r="G29" s="118"/>
      <c r="H29" s="119"/>
      <c r="I29" s="120"/>
      <c r="J29" s="35"/>
    </row>
    <row r="30" spans="1:10" ht="14.25" customHeight="1">
      <c r="A30" s="118"/>
      <c r="B30" s="119"/>
      <c r="C30" s="120"/>
      <c r="D30" s="118"/>
      <c r="E30" s="119"/>
      <c r="F30" s="120"/>
      <c r="G30" s="118"/>
      <c r="H30" s="119"/>
      <c r="I30" s="120"/>
      <c r="J30" s="35"/>
    </row>
    <row r="31" spans="1:10" ht="14.25" customHeight="1">
      <c r="A31" s="121" t="s">
        <v>721</v>
      </c>
      <c r="B31" s="122"/>
      <c r="C31" s="123"/>
      <c r="D31" s="121" t="s">
        <v>721</v>
      </c>
      <c r="E31" s="122"/>
      <c r="F31" s="123"/>
      <c r="G31" s="121" t="s">
        <v>721</v>
      </c>
      <c r="H31" s="122"/>
      <c r="I31" s="123"/>
      <c r="J31" s="35"/>
    </row>
    <row r="32" spans="1:9" ht="11.25" customHeight="1">
      <c r="A32" s="45" t="s">
        <v>156</v>
      </c>
      <c r="B32" s="42"/>
      <c r="C32" s="42"/>
      <c r="D32" s="42"/>
      <c r="E32" s="42"/>
      <c r="F32" s="42"/>
      <c r="G32" s="42"/>
      <c r="H32" s="42"/>
      <c r="I32" s="42"/>
    </row>
    <row r="33" spans="1:9" s="92" customFormat="1" ht="12.75" customHeight="1">
      <c r="A33" s="108" t="s">
        <v>760</v>
      </c>
      <c r="B33" s="108"/>
      <c r="C33" s="108"/>
      <c r="D33" s="108"/>
      <c r="E33" s="108"/>
      <c r="F33" s="108"/>
      <c r="G33" s="108"/>
      <c r="H33" s="108"/>
      <c r="I33" s="108"/>
    </row>
    <row r="34" spans="1:9" s="92" customFormat="1" ht="12.75">
      <c r="A34" s="108"/>
      <c r="B34" s="108"/>
      <c r="C34" s="108"/>
      <c r="D34" s="108"/>
      <c r="E34" s="108"/>
      <c r="F34" s="108"/>
      <c r="G34" s="108"/>
      <c r="H34" s="108"/>
      <c r="I34" s="108"/>
    </row>
    <row r="35" spans="1:9" s="92" customFormat="1" ht="12.75">
      <c r="A35" s="108"/>
      <c r="B35" s="108"/>
      <c r="C35" s="108"/>
      <c r="D35" s="108"/>
      <c r="E35" s="108"/>
      <c r="F35" s="108"/>
      <c r="G35" s="108"/>
      <c r="H35" s="108"/>
      <c r="I35" s="108"/>
    </row>
    <row r="36" spans="1:9" s="92" customFormat="1" ht="12.75">
      <c r="A36" s="108"/>
      <c r="B36" s="108"/>
      <c r="C36" s="108"/>
      <c r="D36" s="108"/>
      <c r="E36" s="108"/>
      <c r="F36" s="108"/>
      <c r="G36" s="108"/>
      <c r="H36" s="108"/>
      <c r="I36" s="108"/>
    </row>
    <row r="37" spans="1:9" s="92" customFormat="1" ht="12.75">
      <c r="A37" s="105" t="s">
        <v>761</v>
      </c>
      <c r="B37" s="105"/>
      <c r="C37" s="105"/>
      <c r="D37" s="105"/>
      <c r="E37" s="105"/>
      <c r="F37" s="105"/>
      <c r="G37" s="105"/>
      <c r="H37" s="105"/>
      <c r="I37" s="105"/>
    </row>
    <row r="38" spans="1:9" s="92" customFormat="1" ht="12.75">
      <c r="A38" s="105" t="s">
        <v>762</v>
      </c>
      <c r="B38" s="105"/>
      <c r="C38" s="105"/>
      <c r="D38" s="105"/>
      <c r="E38" s="105"/>
      <c r="F38" s="105"/>
      <c r="G38" s="105"/>
      <c r="H38" s="105"/>
      <c r="I38" s="105"/>
    </row>
    <row r="39" spans="1:9" s="92" customFormat="1" ht="12.75">
      <c r="A39" s="93"/>
      <c r="B39" s="93"/>
      <c r="C39" s="93"/>
      <c r="D39" s="93"/>
      <c r="E39" s="93"/>
      <c r="F39" s="94"/>
      <c r="G39" s="93"/>
      <c r="H39" s="94"/>
      <c r="I39" s="94"/>
    </row>
    <row r="40" spans="1:9" s="92" customFormat="1" ht="39.75" customHeight="1">
      <c r="A40" s="106" t="s">
        <v>763</v>
      </c>
      <c r="B40" s="106"/>
      <c r="C40" s="106"/>
      <c r="D40" s="106"/>
      <c r="E40" s="106"/>
      <c r="F40" s="106"/>
      <c r="G40" s="106"/>
      <c r="H40" s="106"/>
      <c r="I40" s="106"/>
    </row>
    <row r="41" spans="1:9" s="92" customFormat="1" ht="39.75" customHeight="1">
      <c r="A41" s="106" t="s">
        <v>764</v>
      </c>
      <c r="B41" s="106"/>
      <c r="C41" s="106"/>
      <c r="D41" s="106"/>
      <c r="E41" s="106"/>
      <c r="F41" s="106"/>
      <c r="G41" s="106"/>
      <c r="H41" s="106"/>
      <c r="I41" s="106"/>
    </row>
    <row r="42" spans="1:9" s="92" customFormat="1" ht="12.75">
      <c r="A42" s="93"/>
      <c r="B42" s="93"/>
      <c r="C42" s="93"/>
      <c r="D42" s="93"/>
      <c r="E42" s="93"/>
      <c r="F42" s="94"/>
      <c r="G42" s="93"/>
      <c r="H42" s="94"/>
      <c r="I42" s="94"/>
    </row>
    <row r="43" spans="1:9" s="92" customFormat="1" ht="12.75">
      <c r="A43" s="105" t="s">
        <v>765</v>
      </c>
      <c r="B43" s="105"/>
      <c r="C43" s="105"/>
      <c r="D43" s="105"/>
      <c r="E43" s="105"/>
      <c r="F43" s="105"/>
      <c r="G43" s="105"/>
      <c r="H43" s="105"/>
      <c r="I43" s="105"/>
    </row>
    <row r="44" spans="1:9" s="92" customFormat="1" ht="12.75">
      <c r="A44" s="93"/>
      <c r="B44" s="93"/>
      <c r="C44" s="93"/>
      <c r="D44" s="93"/>
      <c r="E44" s="93"/>
      <c r="F44" s="94"/>
      <c r="G44" s="93"/>
      <c r="H44" s="94"/>
      <c r="I44" s="94"/>
    </row>
    <row r="45" spans="1:9" s="92" customFormat="1" ht="12.75">
      <c r="A45" s="105" t="s">
        <v>766</v>
      </c>
      <c r="B45" s="105"/>
      <c r="C45" s="105"/>
      <c r="D45" s="105"/>
      <c r="E45" s="105"/>
      <c r="F45" s="105"/>
      <c r="G45" s="105"/>
      <c r="H45" s="105"/>
      <c r="I45" s="105"/>
    </row>
    <row r="46" spans="1:9" s="92" customFormat="1" ht="34.5" customHeight="1">
      <c r="A46" s="105" t="s">
        <v>767</v>
      </c>
      <c r="B46" s="105"/>
      <c r="C46" s="105"/>
      <c r="D46" s="105"/>
      <c r="E46" s="105"/>
      <c r="F46" s="105"/>
      <c r="G46" s="105"/>
      <c r="H46" s="105"/>
      <c r="I46" s="105"/>
    </row>
    <row r="47" spans="1:9" s="92" customFormat="1" ht="34.5" customHeight="1">
      <c r="A47" s="105" t="s">
        <v>768</v>
      </c>
      <c r="B47" s="105"/>
      <c r="C47" s="105"/>
      <c r="D47" s="105"/>
      <c r="E47" s="105"/>
      <c r="F47" s="105"/>
      <c r="G47" s="105"/>
      <c r="H47" s="105"/>
      <c r="I47" s="105"/>
    </row>
    <row r="48" spans="1:9" s="92" customFormat="1" ht="39.75" customHeight="1">
      <c r="A48" s="106" t="s">
        <v>769</v>
      </c>
      <c r="B48" s="106"/>
      <c r="C48" s="106"/>
      <c r="D48" s="106"/>
      <c r="E48" s="106"/>
      <c r="F48" s="106"/>
      <c r="G48" s="106"/>
      <c r="H48" s="106"/>
      <c r="I48" s="106"/>
    </row>
    <row r="49" spans="1:9" s="92" customFormat="1" ht="39.75" customHeight="1">
      <c r="A49" s="105" t="s">
        <v>770</v>
      </c>
      <c r="B49" s="105"/>
      <c r="C49" s="105"/>
      <c r="D49" s="105"/>
      <c r="E49" s="105"/>
      <c r="F49" s="105"/>
      <c r="G49" s="105"/>
      <c r="H49" s="105"/>
      <c r="I49" s="105"/>
    </row>
    <row r="50" spans="1:9" s="92" customFormat="1" ht="39.75" customHeight="1">
      <c r="A50" s="105" t="s">
        <v>771</v>
      </c>
      <c r="B50" s="105"/>
      <c r="C50" s="105"/>
      <c r="D50" s="105"/>
      <c r="E50" s="105"/>
      <c r="F50" s="105"/>
      <c r="G50" s="105"/>
      <c r="H50" s="105"/>
      <c r="I50" s="105"/>
    </row>
    <row r="51" spans="1:9" s="92" customFormat="1" ht="12.75">
      <c r="A51" s="93"/>
      <c r="B51" s="93"/>
      <c r="C51" s="93"/>
      <c r="D51" s="93"/>
      <c r="E51" s="93"/>
      <c r="F51" s="94"/>
      <c r="G51" s="93"/>
      <c r="H51" s="94"/>
      <c r="I51" s="94"/>
    </row>
    <row r="52" spans="1:9" s="92" customFormat="1" ht="12.75">
      <c r="A52" s="105" t="s">
        <v>772</v>
      </c>
      <c r="B52" s="105"/>
      <c r="C52" s="105"/>
      <c r="D52" s="105"/>
      <c r="E52" s="105"/>
      <c r="F52" s="105"/>
      <c r="G52" s="105"/>
      <c r="H52" s="105"/>
      <c r="I52" s="105"/>
    </row>
    <row r="53" spans="1:9" s="92" customFormat="1" ht="12.75">
      <c r="A53" s="93"/>
      <c r="B53" s="93"/>
      <c r="C53" s="93"/>
      <c r="D53" s="93"/>
      <c r="E53" s="93"/>
      <c r="F53" s="94"/>
      <c r="G53" s="93"/>
      <c r="H53" s="94"/>
      <c r="I53" s="94"/>
    </row>
    <row r="54" spans="1:9" s="92" customFormat="1" ht="12.75">
      <c r="A54" s="105" t="s">
        <v>773</v>
      </c>
      <c r="B54" s="105"/>
      <c r="C54" s="105"/>
      <c r="D54" s="105"/>
      <c r="E54" s="105"/>
      <c r="F54" s="105"/>
      <c r="G54" s="105"/>
      <c r="H54" s="105"/>
      <c r="I54" s="105"/>
    </row>
    <row r="55" spans="1:9" s="92" customFormat="1" ht="12.75" customHeight="1">
      <c r="A55" s="106" t="s">
        <v>774</v>
      </c>
      <c r="B55" s="106"/>
      <c r="C55" s="106"/>
      <c r="D55" s="106"/>
      <c r="E55" s="106"/>
      <c r="F55" s="106"/>
      <c r="G55" s="106"/>
      <c r="H55" s="106"/>
      <c r="I55" s="106"/>
    </row>
    <row r="56" spans="1:9" s="92" customFormat="1" ht="12.75">
      <c r="A56" s="106"/>
      <c r="B56" s="106"/>
      <c r="C56" s="106"/>
      <c r="D56" s="106"/>
      <c r="E56" s="106"/>
      <c r="F56" s="106"/>
      <c r="G56" s="106"/>
      <c r="H56" s="106"/>
      <c r="I56" s="106"/>
    </row>
    <row r="57" spans="1:9" s="92" customFormat="1" ht="12.75">
      <c r="A57" s="105" t="s">
        <v>775</v>
      </c>
      <c r="B57" s="105"/>
      <c r="C57" s="105"/>
      <c r="D57" s="105"/>
      <c r="E57" s="105"/>
      <c r="F57" s="105"/>
      <c r="G57" s="105"/>
      <c r="H57" s="105"/>
      <c r="I57" s="105"/>
    </row>
    <row r="58" spans="1:9" s="92" customFormat="1" ht="12.75" customHeight="1">
      <c r="A58" s="107" t="s">
        <v>776</v>
      </c>
      <c r="B58" s="107"/>
      <c r="C58" s="107"/>
      <c r="D58" s="107"/>
      <c r="E58" s="107"/>
      <c r="F58" s="107"/>
      <c r="G58" s="107"/>
      <c r="H58" s="107"/>
      <c r="I58" s="107"/>
    </row>
    <row r="59" spans="1:9" s="92" customFormat="1" ht="12.75">
      <c r="A59" s="107"/>
      <c r="B59" s="107"/>
      <c r="C59" s="107"/>
      <c r="D59" s="107"/>
      <c r="E59" s="107"/>
      <c r="F59" s="107"/>
      <c r="G59" s="107"/>
      <c r="H59" s="107"/>
      <c r="I59" s="107"/>
    </row>
    <row r="60" spans="1:9" s="92" customFormat="1" ht="12.75">
      <c r="A60" s="105" t="s">
        <v>777</v>
      </c>
      <c r="B60" s="105"/>
      <c r="C60" s="105"/>
      <c r="D60" s="105"/>
      <c r="E60" s="105"/>
      <c r="F60" s="105"/>
      <c r="G60" s="105"/>
      <c r="H60" s="105"/>
      <c r="I60" s="105"/>
    </row>
    <row r="61" spans="1:9" s="92" customFormat="1" ht="12.75" customHeight="1">
      <c r="A61" s="106" t="s">
        <v>778</v>
      </c>
      <c r="B61" s="106"/>
      <c r="C61" s="106"/>
      <c r="D61" s="106"/>
      <c r="E61" s="106"/>
      <c r="F61" s="106"/>
      <c r="G61" s="106"/>
      <c r="H61" s="106"/>
      <c r="I61" s="106"/>
    </row>
    <row r="62" spans="1:9" s="92" customFormat="1" ht="12.75">
      <c r="A62" s="106"/>
      <c r="B62" s="106"/>
      <c r="C62" s="106"/>
      <c r="D62" s="106"/>
      <c r="E62" s="106"/>
      <c r="F62" s="106"/>
      <c r="G62" s="106"/>
      <c r="H62" s="106"/>
      <c r="I62" s="106"/>
    </row>
    <row r="63" spans="1:9" s="92" customFormat="1" ht="12.75">
      <c r="A63" s="105" t="s">
        <v>779</v>
      </c>
      <c r="B63" s="105"/>
      <c r="C63" s="105"/>
      <c r="D63" s="105"/>
      <c r="E63" s="105"/>
      <c r="F63" s="105"/>
      <c r="G63" s="105"/>
      <c r="H63" s="105"/>
      <c r="I63" s="105"/>
    </row>
    <row r="64" spans="1:9" s="92" customFormat="1" ht="12.75">
      <c r="A64" s="93"/>
      <c r="B64" s="93"/>
      <c r="C64" s="93"/>
      <c r="D64" s="93"/>
      <c r="E64" s="93"/>
      <c r="F64" s="94"/>
      <c r="G64" s="93"/>
      <c r="H64" s="94"/>
      <c r="I64" s="94"/>
    </row>
    <row r="65" spans="1:9" s="92" customFormat="1" ht="12.75">
      <c r="A65" s="105" t="s">
        <v>780</v>
      </c>
      <c r="B65" s="105"/>
      <c r="C65" s="105"/>
      <c r="D65" s="105"/>
      <c r="E65" s="105"/>
      <c r="F65" s="105"/>
      <c r="G65" s="105"/>
      <c r="H65" s="105"/>
      <c r="I65" s="105"/>
    </row>
    <row r="66" spans="1:9" s="92" customFormat="1" ht="12.75" customHeight="1">
      <c r="A66" s="106" t="s">
        <v>781</v>
      </c>
      <c r="B66" s="106"/>
      <c r="C66" s="106"/>
      <c r="D66" s="106"/>
      <c r="E66" s="106"/>
      <c r="F66" s="106"/>
      <c r="G66" s="106"/>
      <c r="H66" s="106"/>
      <c r="I66" s="106"/>
    </row>
    <row r="67" spans="1:9" s="92" customFormat="1" ht="12.75">
      <c r="A67" s="106"/>
      <c r="B67" s="106"/>
      <c r="C67" s="106"/>
      <c r="D67" s="106"/>
      <c r="E67" s="106"/>
      <c r="F67" s="106"/>
      <c r="G67" s="106"/>
      <c r="H67" s="106"/>
      <c r="I67" s="106"/>
    </row>
    <row r="68" spans="1:9" s="92" customFormat="1" ht="12.75">
      <c r="A68" s="105" t="s">
        <v>782</v>
      </c>
      <c r="B68" s="105"/>
      <c r="C68" s="105"/>
      <c r="D68" s="105"/>
      <c r="E68" s="105"/>
      <c r="F68" s="105"/>
      <c r="G68" s="105"/>
      <c r="H68" s="105"/>
      <c r="I68" s="105"/>
    </row>
    <row r="69" spans="1:9" s="92" customFormat="1" ht="12.75">
      <c r="A69" s="93"/>
      <c r="B69" s="93"/>
      <c r="C69" s="93"/>
      <c r="D69" s="93"/>
      <c r="E69" s="93"/>
      <c r="F69" s="94"/>
      <c r="G69" s="93"/>
      <c r="H69" s="94"/>
      <c r="I69" s="94"/>
    </row>
    <row r="70" spans="1:9" s="92" customFormat="1" ht="12.75">
      <c r="A70" s="105" t="s">
        <v>783</v>
      </c>
      <c r="B70" s="105"/>
      <c r="C70" s="105"/>
      <c r="D70" s="105"/>
      <c r="E70" s="105"/>
      <c r="F70" s="105"/>
      <c r="G70" s="105"/>
      <c r="H70" s="105"/>
      <c r="I70" s="105"/>
    </row>
    <row r="71" spans="1:9" s="92" customFormat="1" ht="24.75" customHeight="1">
      <c r="A71" s="106" t="s">
        <v>784</v>
      </c>
      <c r="B71" s="106"/>
      <c r="C71" s="106"/>
      <c r="D71" s="106"/>
      <c r="E71" s="106"/>
      <c r="F71" s="106"/>
      <c r="G71" s="106"/>
      <c r="H71" s="106"/>
      <c r="I71" s="106"/>
    </row>
    <row r="72" spans="1:9" s="92" customFormat="1" ht="24.75" customHeight="1">
      <c r="A72" s="106"/>
      <c r="B72" s="106"/>
      <c r="C72" s="106"/>
      <c r="D72" s="106"/>
      <c r="E72" s="106"/>
      <c r="F72" s="106"/>
      <c r="G72" s="106"/>
      <c r="H72" s="106"/>
      <c r="I72" s="106"/>
    </row>
    <row r="73" spans="1:9" s="92" customFormat="1" ht="12.75">
      <c r="A73" s="105" t="s">
        <v>785</v>
      </c>
      <c r="B73" s="105"/>
      <c r="C73" s="105"/>
      <c r="D73" s="105"/>
      <c r="E73" s="105"/>
      <c r="F73" s="105"/>
      <c r="G73" s="105"/>
      <c r="H73" s="105"/>
      <c r="I73" s="105"/>
    </row>
    <row r="74" spans="1:9" s="92" customFormat="1" ht="39.75" customHeight="1">
      <c r="A74" s="105" t="s">
        <v>786</v>
      </c>
      <c r="B74" s="105"/>
      <c r="C74" s="105"/>
      <c r="D74" s="105"/>
      <c r="E74" s="105"/>
      <c r="F74" s="105"/>
      <c r="G74" s="105"/>
      <c r="H74" s="105"/>
      <c r="I74" s="105"/>
    </row>
    <row r="75" spans="1:9" s="92" customFormat="1" ht="39.75" customHeight="1">
      <c r="A75" s="105" t="s">
        <v>787</v>
      </c>
      <c r="B75" s="105"/>
      <c r="C75" s="105"/>
      <c r="D75" s="105"/>
      <c r="E75" s="105"/>
      <c r="F75" s="105"/>
      <c r="G75" s="105"/>
      <c r="H75" s="105"/>
      <c r="I75" s="105"/>
    </row>
    <row r="76" spans="1:9" s="92" customFormat="1" ht="12.75">
      <c r="A76" s="93"/>
      <c r="B76" s="93"/>
      <c r="C76" s="93"/>
      <c r="D76" s="93"/>
      <c r="E76" s="93"/>
      <c r="F76" s="94"/>
      <c r="G76" s="93"/>
      <c r="H76" s="94"/>
      <c r="I76" s="94"/>
    </row>
    <row r="77" spans="1:9" s="92" customFormat="1" ht="12.75">
      <c r="A77" s="105" t="s">
        <v>788</v>
      </c>
      <c r="B77" s="105"/>
      <c r="C77" s="105"/>
      <c r="D77" s="105"/>
      <c r="E77" s="105"/>
      <c r="F77" s="105"/>
      <c r="G77" s="105"/>
      <c r="H77" s="105"/>
      <c r="I77" s="105"/>
    </row>
    <row r="78" spans="1:9" s="92" customFormat="1" ht="12.75">
      <c r="A78" s="105" t="s">
        <v>789</v>
      </c>
      <c r="B78" s="105"/>
      <c r="C78" s="105"/>
      <c r="D78" s="105"/>
      <c r="E78" s="105"/>
      <c r="F78" s="105"/>
      <c r="G78" s="105"/>
      <c r="H78" s="105"/>
      <c r="I78" s="105"/>
    </row>
    <row r="79" spans="1:9" s="92" customFormat="1" ht="12.75">
      <c r="A79" s="93"/>
      <c r="B79" s="93"/>
      <c r="C79" s="93"/>
      <c r="D79" s="93"/>
      <c r="E79" s="93"/>
      <c r="F79" s="94"/>
      <c r="G79" s="93"/>
      <c r="H79" s="94"/>
      <c r="I79" s="94"/>
    </row>
    <row r="80" spans="1:9" s="92" customFormat="1" ht="12.75">
      <c r="A80" s="105" t="s">
        <v>790</v>
      </c>
      <c r="B80" s="105"/>
      <c r="C80" s="105"/>
      <c r="D80" s="105"/>
      <c r="E80" s="105"/>
      <c r="F80" s="105"/>
      <c r="G80" s="105"/>
      <c r="H80" s="105"/>
      <c r="I80" s="105"/>
    </row>
    <row r="81" spans="1:9" s="92" customFormat="1" ht="12.75">
      <c r="A81" s="105" t="s">
        <v>791</v>
      </c>
      <c r="B81" s="105"/>
      <c r="C81" s="105"/>
      <c r="D81" s="105"/>
      <c r="E81" s="105"/>
      <c r="F81" s="105"/>
      <c r="G81" s="105"/>
      <c r="H81" s="105"/>
      <c r="I81" s="105"/>
    </row>
    <row r="82" spans="1:9" s="92" customFormat="1" ht="12.75">
      <c r="A82" s="93"/>
      <c r="B82" s="93"/>
      <c r="C82" s="93"/>
      <c r="D82" s="93"/>
      <c r="E82" s="93"/>
      <c r="F82" s="94"/>
      <c r="G82" s="93"/>
      <c r="H82" s="94"/>
      <c r="I82" s="94"/>
    </row>
    <row r="83" spans="1:9" s="92" customFormat="1" ht="12.75">
      <c r="A83" s="105" t="s">
        <v>792</v>
      </c>
      <c r="B83" s="105"/>
      <c r="C83" s="105"/>
      <c r="D83" s="105"/>
      <c r="E83" s="105"/>
      <c r="F83" s="105"/>
      <c r="G83" s="105"/>
      <c r="H83" s="105"/>
      <c r="I83" s="105"/>
    </row>
    <row r="84" spans="1:9" s="92" customFormat="1" ht="12.75">
      <c r="A84" s="93"/>
      <c r="B84" s="93"/>
      <c r="C84" s="93"/>
      <c r="D84" s="93"/>
      <c r="E84" s="93"/>
      <c r="F84" s="94"/>
      <c r="G84" s="93"/>
      <c r="H84" s="94"/>
      <c r="I84" s="94"/>
    </row>
    <row r="85" spans="1:9" s="92" customFormat="1" ht="12.75">
      <c r="A85" s="105" t="s">
        <v>793</v>
      </c>
      <c r="B85" s="105"/>
      <c r="C85" s="105"/>
      <c r="D85" s="105"/>
      <c r="E85" s="105"/>
      <c r="F85" s="105"/>
      <c r="G85" s="105"/>
      <c r="H85" s="105"/>
      <c r="I85" s="105"/>
    </row>
    <row r="86" spans="1:9" s="92" customFormat="1" ht="12.75">
      <c r="A86" s="93"/>
      <c r="B86" s="93"/>
      <c r="C86" s="93"/>
      <c r="D86" s="93"/>
      <c r="E86" s="93"/>
      <c r="F86" s="94"/>
      <c r="G86" s="93"/>
      <c r="H86" s="94"/>
      <c r="I86" s="94"/>
    </row>
    <row r="87" spans="1:9" s="92" customFormat="1" ht="12.75">
      <c r="A87" s="105" t="s">
        <v>794</v>
      </c>
      <c r="B87" s="105"/>
      <c r="C87" s="105"/>
      <c r="D87" s="105"/>
      <c r="E87" s="105"/>
      <c r="F87" s="105"/>
      <c r="G87" s="105"/>
      <c r="H87" s="105"/>
      <c r="I87" s="105"/>
    </row>
    <row r="88" spans="1:9" s="92" customFormat="1" ht="12.75">
      <c r="A88" s="93"/>
      <c r="B88" s="93"/>
      <c r="C88" s="93"/>
      <c r="D88" s="93"/>
      <c r="E88" s="93"/>
      <c r="F88" s="94"/>
      <c r="G88" s="93"/>
      <c r="H88" s="94"/>
      <c r="I88" s="94"/>
    </row>
    <row r="89" spans="1:9" s="92" customFormat="1" ht="12.75">
      <c r="A89" s="105" t="s">
        <v>795</v>
      </c>
      <c r="B89" s="105"/>
      <c r="C89" s="105"/>
      <c r="D89" s="105"/>
      <c r="E89" s="105"/>
      <c r="F89" s="105"/>
      <c r="G89" s="105"/>
      <c r="H89" s="105"/>
      <c r="I89" s="105"/>
    </row>
    <row r="90" spans="1:9" s="92" customFormat="1" ht="24.75" customHeight="1">
      <c r="A90" s="105" t="s">
        <v>796</v>
      </c>
      <c r="B90" s="105"/>
      <c r="C90" s="105"/>
      <c r="D90" s="105"/>
      <c r="E90" s="105"/>
      <c r="F90" s="105"/>
      <c r="G90" s="105"/>
      <c r="H90" s="105"/>
      <c r="I90" s="105"/>
    </row>
    <row r="91" spans="1:9" s="92" customFormat="1" ht="12.75">
      <c r="A91" s="105" t="s">
        <v>797</v>
      </c>
      <c r="B91" s="105"/>
      <c r="C91" s="105"/>
      <c r="D91" s="105"/>
      <c r="E91" s="105"/>
      <c r="F91" s="105"/>
      <c r="G91" s="105"/>
      <c r="H91" s="105"/>
      <c r="I91" s="105"/>
    </row>
    <row r="92" spans="1:9" s="92" customFormat="1" ht="12.75">
      <c r="A92" s="105" t="s">
        <v>798</v>
      </c>
      <c r="B92" s="105"/>
      <c r="C92" s="105"/>
      <c r="D92" s="105"/>
      <c r="E92" s="105"/>
      <c r="F92" s="105"/>
      <c r="G92" s="105"/>
      <c r="H92" s="105"/>
      <c r="I92" s="105"/>
    </row>
    <row r="93" spans="1:9" s="92" customFormat="1" ht="12.75">
      <c r="A93" s="93"/>
      <c r="B93" s="93"/>
      <c r="C93" s="93"/>
      <c r="D93" s="93"/>
      <c r="E93" s="93"/>
      <c r="F93" s="94"/>
      <c r="G93" s="93"/>
      <c r="H93" s="94"/>
      <c r="I93" s="94"/>
    </row>
    <row r="94" spans="1:9" s="92" customFormat="1" ht="12.75">
      <c r="A94" s="105" t="s">
        <v>799</v>
      </c>
      <c r="B94" s="105"/>
      <c r="C94" s="105"/>
      <c r="D94" s="105"/>
      <c r="E94" s="105"/>
      <c r="F94" s="105"/>
      <c r="G94" s="105"/>
      <c r="H94" s="105"/>
      <c r="I94" s="105"/>
    </row>
    <row r="95" spans="1:9" s="92" customFormat="1" ht="39.75" customHeight="1">
      <c r="A95" s="105" t="s">
        <v>800</v>
      </c>
      <c r="B95" s="105"/>
      <c r="C95" s="105"/>
      <c r="D95" s="105"/>
      <c r="E95" s="105"/>
      <c r="F95" s="105"/>
      <c r="G95" s="105"/>
      <c r="H95" s="105"/>
      <c r="I95" s="105"/>
    </row>
    <row r="96" spans="1:9" s="92" customFormat="1" ht="12.75">
      <c r="A96" s="93"/>
      <c r="B96" s="93"/>
      <c r="C96" s="93"/>
      <c r="D96" s="93"/>
      <c r="E96" s="93"/>
      <c r="F96" s="94"/>
      <c r="G96" s="93"/>
      <c r="H96" s="94"/>
      <c r="I96" s="94"/>
    </row>
    <row r="97" spans="1:9" s="92" customFormat="1" ht="12.75">
      <c r="A97" s="105" t="s">
        <v>801</v>
      </c>
      <c r="B97" s="105"/>
      <c r="C97" s="105"/>
      <c r="D97" s="105"/>
      <c r="E97" s="105"/>
      <c r="F97" s="105"/>
      <c r="G97" s="105"/>
      <c r="H97" s="105"/>
      <c r="I97" s="105"/>
    </row>
    <row r="98" spans="1:9" s="92" customFormat="1" ht="12.75">
      <c r="A98" s="105" t="s">
        <v>802</v>
      </c>
      <c r="B98" s="105"/>
      <c r="C98" s="105"/>
      <c r="D98" s="105"/>
      <c r="E98" s="105"/>
      <c r="F98" s="105"/>
      <c r="G98" s="105"/>
      <c r="H98" s="105"/>
      <c r="I98" s="105"/>
    </row>
  </sheetData>
  <sheetProtection/>
  <mergeCells count="126">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G19:H19"/>
    <mergeCell ref="A20:B20"/>
    <mergeCell ref="D20:E20"/>
    <mergeCell ref="G20:H20"/>
    <mergeCell ref="D15:E15"/>
    <mergeCell ref="G15:H15"/>
    <mergeCell ref="D16:E16"/>
    <mergeCell ref="G16:H16"/>
    <mergeCell ref="D17:E17"/>
    <mergeCell ref="G17:H17"/>
    <mergeCell ref="A24:B24"/>
    <mergeCell ref="D24:E24"/>
    <mergeCell ref="G24:H24"/>
    <mergeCell ref="A21:B21"/>
    <mergeCell ref="D21:E21"/>
    <mergeCell ref="G21:H21"/>
    <mergeCell ref="A22:B22"/>
    <mergeCell ref="D22:E22"/>
    <mergeCell ref="G22:H22"/>
    <mergeCell ref="A25:B25"/>
    <mergeCell ref="D25:E25"/>
    <mergeCell ref="G25:H25"/>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1:I1"/>
    <mergeCell ref="A14:B15"/>
    <mergeCell ref="A16:B17"/>
    <mergeCell ref="A18:B19"/>
    <mergeCell ref="C14:C15"/>
    <mergeCell ref="C16:C17"/>
    <mergeCell ref="C18:C19"/>
    <mergeCell ref="D18:E18"/>
    <mergeCell ref="G18:H18"/>
    <mergeCell ref="D19:E19"/>
    <mergeCell ref="A33:I36"/>
    <mergeCell ref="A37:I37"/>
    <mergeCell ref="A38:I38"/>
    <mergeCell ref="A40:I40"/>
    <mergeCell ref="A41:I41"/>
    <mergeCell ref="A43:I43"/>
    <mergeCell ref="A45:I45"/>
    <mergeCell ref="A46:I46"/>
    <mergeCell ref="A47:I47"/>
    <mergeCell ref="A48:I48"/>
    <mergeCell ref="A49:I49"/>
    <mergeCell ref="A50:I50"/>
    <mergeCell ref="A52:I52"/>
    <mergeCell ref="A54:I54"/>
    <mergeCell ref="A57:I57"/>
    <mergeCell ref="A60:I60"/>
    <mergeCell ref="A55:I56"/>
    <mergeCell ref="A58:I59"/>
    <mergeCell ref="A63:I63"/>
    <mergeCell ref="A65:I65"/>
    <mergeCell ref="A68:I68"/>
    <mergeCell ref="A70:I70"/>
    <mergeCell ref="A61:I62"/>
    <mergeCell ref="A66:I67"/>
    <mergeCell ref="A73:I73"/>
    <mergeCell ref="A74:I74"/>
    <mergeCell ref="A75:I75"/>
    <mergeCell ref="A77:I77"/>
    <mergeCell ref="A78:I78"/>
    <mergeCell ref="A71:I72"/>
    <mergeCell ref="A80:I80"/>
    <mergeCell ref="A81:I81"/>
    <mergeCell ref="A83:I83"/>
    <mergeCell ref="A85:I85"/>
    <mergeCell ref="A87:I87"/>
    <mergeCell ref="A89:I89"/>
    <mergeCell ref="A98:I98"/>
    <mergeCell ref="A90:I90"/>
    <mergeCell ref="A91:I91"/>
    <mergeCell ref="A92:I92"/>
    <mergeCell ref="A94:I94"/>
    <mergeCell ref="A95:I95"/>
    <mergeCell ref="A97:I97"/>
  </mergeCells>
  <printOptions/>
  <pageMargins left="0.6692913385826772" right="0.1968503937007874"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H410"/>
  <sheetViews>
    <sheetView tabSelected="1" zoomScalePageLayoutView="0" workbookViewId="0" topLeftCell="A1">
      <selection activeCell="D37" sqref="D37"/>
    </sheetView>
  </sheetViews>
  <sheetFormatPr defaultColWidth="11.57421875" defaultRowHeight="12.75"/>
  <cols>
    <col min="1" max="1" width="3.7109375" style="0" customWidth="1"/>
    <col min="2" max="2" width="7.57421875" style="0" customWidth="1"/>
    <col min="3" max="3" width="14.28125" style="0" customWidth="1"/>
    <col min="4" max="4" width="91.00390625" style="0" customWidth="1"/>
    <col min="5" max="5" width="4.28125" style="0" customWidth="1"/>
    <col min="6" max="6" width="12.8515625" style="0" customWidth="1"/>
    <col min="7" max="7" width="12.00390625" style="0" customWidth="1"/>
    <col min="8" max="8" width="14.28125" style="0" customWidth="1"/>
    <col min="9" max="11" width="11.7109375" style="0" customWidth="1"/>
    <col min="12" max="12" width="0.9921875" style="0" customWidth="1"/>
    <col min="13" max="22" width="11.57421875" style="0" customWidth="1"/>
    <col min="23" max="60" width="12.140625" style="0" hidden="1" customWidth="1"/>
  </cols>
  <sheetData>
    <row r="1" spans="1:11" ht="30" customHeight="1">
      <c r="A1" s="168" t="s">
        <v>0</v>
      </c>
      <c r="B1" s="169"/>
      <c r="C1" s="169"/>
      <c r="D1" s="169"/>
      <c r="E1" s="169"/>
      <c r="F1" s="169"/>
      <c r="G1" s="169"/>
      <c r="H1" s="169"/>
      <c r="I1" s="169"/>
      <c r="J1" s="169"/>
      <c r="K1" s="169"/>
    </row>
    <row r="2" spans="1:12" ht="12.75" customHeight="1">
      <c r="A2" s="152" t="s">
        <v>1</v>
      </c>
      <c r="B2" s="153"/>
      <c r="C2" s="153"/>
      <c r="D2" s="154" t="s">
        <v>298</v>
      </c>
      <c r="E2" s="170" t="s">
        <v>624</v>
      </c>
      <c r="F2" s="153"/>
      <c r="G2" s="170" t="s">
        <v>6</v>
      </c>
      <c r="H2" s="157" t="s">
        <v>639</v>
      </c>
      <c r="I2" s="157" t="s">
        <v>644</v>
      </c>
      <c r="J2" s="157"/>
      <c r="K2" s="161"/>
      <c r="L2" s="34"/>
    </row>
    <row r="3" spans="1:12" ht="12.75">
      <c r="A3" s="145"/>
      <c r="B3" s="138"/>
      <c r="C3" s="138"/>
      <c r="D3" s="156"/>
      <c r="E3" s="138"/>
      <c r="F3" s="138"/>
      <c r="G3" s="138"/>
      <c r="H3" s="138"/>
      <c r="I3" s="141"/>
      <c r="J3" s="141"/>
      <c r="K3" s="143"/>
      <c r="L3" s="34"/>
    </row>
    <row r="4" spans="1:12" ht="12.75" customHeight="1">
      <c r="A4" s="137" t="s">
        <v>2</v>
      </c>
      <c r="B4" s="138"/>
      <c r="C4" s="138"/>
      <c r="D4" s="141" t="s">
        <v>299</v>
      </c>
      <c r="E4" s="142" t="s">
        <v>625</v>
      </c>
      <c r="F4" s="138"/>
      <c r="G4" s="142" t="s">
        <v>6</v>
      </c>
      <c r="H4" s="141" t="s">
        <v>640</v>
      </c>
      <c r="I4" s="141" t="s">
        <v>645</v>
      </c>
      <c r="J4" s="141"/>
      <c r="K4" s="143"/>
      <c r="L4" s="34"/>
    </row>
    <row r="5" spans="1:12" ht="12.75">
      <c r="A5" s="145"/>
      <c r="B5" s="138"/>
      <c r="C5" s="138"/>
      <c r="D5" s="138"/>
      <c r="E5" s="138"/>
      <c r="F5" s="138"/>
      <c r="G5" s="138"/>
      <c r="H5" s="138"/>
      <c r="I5" s="141"/>
      <c r="J5" s="141"/>
      <c r="K5" s="143"/>
      <c r="L5" s="34"/>
    </row>
    <row r="6" spans="1:12" ht="12.75">
      <c r="A6" s="137" t="s">
        <v>3</v>
      </c>
      <c r="B6" s="138"/>
      <c r="C6" s="138"/>
      <c r="D6" s="141" t="s">
        <v>300</v>
      </c>
      <c r="E6" s="142" t="s">
        <v>626</v>
      </c>
      <c r="F6" s="138"/>
      <c r="G6" s="142" t="s">
        <v>6</v>
      </c>
      <c r="H6" s="141" t="s">
        <v>641</v>
      </c>
      <c r="I6" s="142" t="s">
        <v>646</v>
      </c>
      <c r="J6" s="142"/>
      <c r="K6" s="146"/>
      <c r="L6" s="34"/>
    </row>
    <row r="7" spans="1:12" ht="12.75">
      <c r="A7" s="145"/>
      <c r="B7" s="138"/>
      <c r="C7" s="138"/>
      <c r="D7" s="138"/>
      <c r="E7" s="138"/>
      <c r="F7" s="138"/>
      <c r="G7" s="138"/>
      <c r="H7" s="138"/>
      <c r="I7" s="142"/>
      <c r="J7" s="142"/>
      <c r="K7" s="146"/>
      <c r="L7" s="34"/>
    </row>
    <row r="8" spans="1:12" ht="12.75" customHeight="1">
      <c r="A8" s="137" t="s">
        <v>4</v>
      </c>
      <c r="B8" s="138"/>
      <c r="C8" s="138"/>
      <c r="D8" s="166" t="s">
        <v>758</v>
      </c>
      <c r="E8" s="142" t="s">
        <v>627</v>
      </c>
      <c r="F8" s="138"/>
      <c r="G8" s="167" t="s">
        <v>759</v>
      </c>
      <c r="H8" s="141" t="s">
        <v>642</v>
      </c>
      <c r="I8" s="141" t="s">
        <v>647</v>
      </c>
      <c r="J8" s="141"/>
      <c r="K8" s="143"/>
      <c r="L8" s="34"/>
    </row>
    <row r="9" spans="1:12" ht="13.5" thickBot="1">
      <c r="A9" s="164"/>
      <c r="B9" s="165"/>
      <c r="C9" s="165"/>
      <c r="D9" s="165"/>
      <c r="E9" s="165"/>
      <c r="F9" s="165"/>
      <c r="G9" s="165"/>
      <c r="H9" s="165"/>
      <c r="I9" s="162"/>
      <c r="J9" s="162"/>
      <c r="K9" s="163"/>
      <c r="L9" s="34"/>
    </row>
    <row r="10" spans="1:12" ht="12.75">
      <c r="A10" s="1" t="s">
        <v>5</v>
      </c>
      <c r="B10" s="11" t="s">
        <v>157</v>
      </c>
      <c r="C10" s="11" t="s">
        <v>160</v>
      </c>
      <c r="D10" s="11" t="s">
        <v>301</v>
      </c>
      <c r="E10" s="11" t="s">
        <v>628</v>
      </c>
      <c r="F10" s="19" t="s">
        <v>636</v>
      </c>
      <c r="G10" s="22" t="s">
        <v>637</v>
      </c>
      <c r="H10" s="24" t="s">
        <v>643</v>
      </c>
      <c r="I10" s="159" t="s">
        <v>649</v>
      </c>
      <c r="J10" s="160"/>
      <c r="K10" s="30" t="s">
        <v>651</v>
      </c>
      <c r="L10" s="35"/>
    </row>
    <row r="11" spans="1:60" ht="13.5" thickBot="1">
      <c r="A11" s="2" t="s">
        <v>6</v>
      </c>
      <c r="B11" s="12" t="s">
        <v>6</v>
      </c>
      <c r="C11" s="12" t="s">
        <v>6</v>
      </c>
      <c r="D11" s="16" t="s">
        <v>302</v>
      </c>
      <c r="E11" s="12" t="s">
        <v>6</v>
      </c>
      <c r="F11" s="12" t="s">
        <v>6</v>
      </c>
      <c r="G11" s="23" t="s">
        <v>638</v>
      </c>
      <c r="H11" s="26" t="s">
        <v>648</v>
      </c>
      <c r="I11" s="25" t="s">
        <v>650</v>
      </c>
      <c r="J11" s="26" t="s">
        <v>648</v>
      </c>
      <c r="K11" s="31" t="s">
        <v>652</v>
      </c>
      <c r="L11" s="35"/>
      <c r="X11" s="28" t="s">
        <v>655</v>
      </c>
      <c r="Y11" s="28" t="s">
        <v>656</v>
      </c>
      <c r="Z11" s="28" t="s">
        <v>657</v>
      </c>
      <c r="AA11" s="28" t="s">
        <v>658</v>
      </c>
      <c r="AB11" s="28" t="s">
        <v>659</v>
      </c>
      <c r="AC11" s="28" t="s">
        <v>660</v>
      </c>
      <c r="AD11" s="28" t="s">
        <v>661</v>
      </c>
      <c r="AE11" s="28" t="s">
        <v>662</v>
      </c>
      <c r="AF11" s="28" t="s">
        <v>663</v>
      </c>
      <c r="BF11" s="28" t="s">
        <v>707</v>
      </c>
      <c r="BG11" s="28" t="s">
        <v>708</v>
      </c>
      <c r="BH11" s="28" t="s">
        <v>709</v>
      </c>
    </row>
    <row r="12" spans="1:11" ht="12.75">
      <c r="A12" s="3"/>
      <c r="B12" s="13" t="s">
        <v>158</v>
      </c>
      <c r="C12" s="13"/>
      <c r="D12" s="13" t="s">
        <v>303</v>
      </c>
      <c r="E12" s="3" t="s">
        <v>6</v>
      </c>
      <c r="F12" s="3" t="s">
        <v>6</v>
      </c>
      <c r="G12" s="3" t="s">
        <v>6</v>
      </c>
      <c r="H12" s="38">
        <f>H13+H16+H23+H42+H51+H63+H66+H81+H97+H113+H116+H144+H159+H172+H201+H218+H221+H236+H239+H252+H260+H269+H278+H289+H302+H307</f>
        <v>0</v>
      </c>
      <c r="I12" s="79"/>
      <c r="J12" s="79">
        <f>J13+J16+J23+J42+J51+J63+J66+J81+J97+J113+J116+J144+J159+J172+J201+J218+J221+J236+J239+J252+J260+J269+J278+J289+J302+J307</f>
        <v>331.55560850999996</v>
      </c>
      <c r="K12" s="27"/>
    </row>
    <row r="13" spans="1:45" ht="12.75">
      <c r="A13" s="4"/>
      <c r="B13" s="14" t="s">
        <v>158</v>
      </c>
      <c r="C13" s="14" t="s">
        <v>17</v>
      </c>
      <c r="D13" s="14" t="s">
        <v>304</v>
      </c>
      <c r="E13" s="4" t="s">
        <v>6</v>
      </c>
      <c r="F13" s="4" t="s">
        <v>6</v>
      </c>
      <c r="G13" s="4" t="s">
        <v>6</v>
      </c>
      <c r="H13" s="39">
        <f>SUM(H14:H14)</f>
        <v>0</v>
      </c>
      <c r="I13" s="80"/>
      <c r="J13" s="80">
        <f>SUM(J14:J14)</f>
        <v>0</v>
      </c>
      <c r="K13" s="28"/>
      <c r="AG13" s="28" t="s">
        <v>158</v>
      </c>
      <c r="AQ13" s="39">
        <f>SUM(AH14:AH14)</f>
        <v>0</v>
      </c>
      <c r="AR13" s="39">
        <f>SUM(AI14:AI14)</f>
        <v>0</v>
      </c>
      <c r="AS13" s="39">
        <f>SUM(AJ14:AJ14)</f>
        <v>0</v>
      </c>
    </row>
    <row r="14" spans="1:60" ht="12.75">
      <c r="A14" s="64" t="s">
        <v>7</v>
      </c>
      <c r="B14" s="64" t="s">
        <v>158</v>
      </c>
      <c r="C14" s="64" t="s">
        <v>161</v>
      </c>
      <c r="D14" s="64" t="s">
        <v>305</v>
      </c>
      <c r="E14" s="64" t="s">
        <v>629</v>
      </c>
      <c r="F14" s="67">
        <v>15</v>
      </c>
      <c r="G14" s="68"/>
      <c r="H14" s="100">
        <f>F14*G14</f>
        <v>0</v>
      </c>
      <c r="I14" s="81">
        <v>0</v>
      </c>
      <c r="J14" s="81">
        <f>F14*I14</f>
        <v>0</v>
      </c>
      <c r="K14" s="61" t="s">
        <v>653</v>
      </c>
      <c r="X14" s="36">
        <f>IF(AO14="5",BH14,0)</f>
        <v>0</v>
      </c>
      <c r="Z14" s="36">
        <f>IF(AO14="1",BF14,0)</f>
        <v>0</v>
      </c>
      <c r="AA14" s="36">
        <f>IF(AO14="1",BG14,0)</f>
        <v>0</v>
      </c>
      <c r="AB14" s="36">
        <f>IF(AO14="7",BF14,0)</f>
        <v>0</v>
      </c>
      <c r="AC14" s="36">
        <f>IF(AO14="7",BG14,0)</f>
        <v>0</v>
      </c>
      <c r="AD14" s="36">
        <f>IF(AO14="2",BF14,0)</f>
        <v>0</v>
      </c>
      <c r="AE14" s="36">
        <f>IF(AO14="2",BG14,0)</f>
        <v>0</v>
      </c>
      <c r="AF14" s="36">
        <f>IF(AO14="0",BH14,0)</f>
        <v>0</v>
      </c>
      <c r="AG14" s="28" t="s">
        <v>158</v>
      </c>
      <c r="AH14" s="20">
        <f>IF(AL14=0,H14,0)</f>
        <v>0</v>
      </c>
      <c r="AI14" s="20">
        <f>IF(AL14=15,H14,0)</f>
        <v>0</v>
      </c>
      <c r="AJ14" s="20">
        <f>IF(AL14=21,H14,0)</f>
        <v>0</v>
      </c>
      <c r="AL14" s="36">
        <v>21</v>
      </c>
      <c r="AM14" s="36">
        <f>G14*0</f>
        <v>0</v>
      </c>
      <c r="AN14" s="36">
        <f>G14*(1-0)</f>
        <v>0</v>
      </c>
      <c r="AO14" s="32" t="s">
        <v>7</v>
      </c>
      <c r="AT14" s="36">
        <f>AU14+AV14</f>
        <v>0</v>
      </c>
      <c r="AU14" s="36">
        <f>F14*AM14</f>
        <v>0</v>
      </c>
      <c r="AV14" s="36">
        <f>F14*AN14</f>
        <v>0</v>
      </c>
      <c r="AW14" s="37" t="s">
        <v>664</v>
      </c>
      <c r="AX14" s="37" t="s">
        <v>691</v>
      </c>
      <c r="AY14" s="28" t="s">
        <v>705</v>
      </c>
      <c r="BA14" s="36">
        <f>AU14+AV14</f>
        <v>0</v>
      </c>
      <c r="BB14" s="36">
        <f>G14/(100-BC14)*100</f>
        <v>0</v>
      </c>
      <c r="BC14" s="36">
        <v>0</v>
      </c>
      <c r="BD14" s="36">
        <f>J14</f>
        <v>0</v>
      </c>
      <c r="BF14" s="20">
        <f>F14*AM14</f>
        <v>0</v>
      </c>
      <c r="BG14" s="20">
        <f>F14*AN14</f>
        <v>0</v>
      </c>
      <c r="BH14" s="20">
        <f>F14*G14</f>
        <v>0</v>
      </c>
    </row>
    <row r="15" spans="1:11" ht="12.75">
      <c r="A15" s="70"/>
      <c r="B15" s="70"/>
      <c r="C15" s="70"/>
      <c r="D15" s="71" t="s">
        <v>306</v>
      </c>
      <c r="E15" s="70"/>
      <c r="F15" s="72">
        <v>15</v>
      </c>
      <c r="G15" s="70"/>
      <c r="H15" s="70"/>
      <c r="I15" s="82"/>
      <c r="J15" s="82"/>
      <c r="K15" s="62"/>
    </row>
    <row r="16" spans="1:45" ht="12.75">
      <c r="A16" s="95"/>
      <c r="B16" s="96" t="s">
        <v>158</v>
      </c>
      <c r="C16" s="96" t="s">
        <v>18</v>
      </c>
      <c r="D16" s="96" t="s">
        <v>307</v>
      </c>
      <c r="E16" s="95" t="s">
        <v>6</v>
      </c>
      <c r="F16" s="95" t="s">
        <v>6</v>
      </c>
      <c r="G16" s="95" t="s">
        <v>6</v>
      </c>
      <c r="H16" s="97">
        <f>SUM(H17:H21)</f>
        <v>0</v>
      </c>
      <c r="I16" s="98"/>
      <c r="J16" s="98">
        <f>SUM(J17:J21)</f>
        <v>0</v>
      </c>
      <c r="K16" s="99"/>
      <c r="AG16" s="28" t="s">
        <v>158</v>
      </c>
      <c r="AQ16" s="39">
        <f>SUM(AH17:AH21)</f>
        <v>0</v>
      </c>
      <c r="AR16" s="39">
        <f>SUM(AI17:AI21)</f>
        <v>0</v>
      </c>
      <c r="AS16" s="39">
        <f>SUM(AJ17:AJ21)</f>
        <v>0</v>
      </c>
    </row>
    <row r="17" spans="1:60" ht="12.75">
      <c r="A17" s="64" t="s">
        <v>8</v>
      </c>
      <c r="B17" s="64" t="s">
        <v>158</v>
      </c>
      <c r="C17" s="64" t="s">
        <v>162</v>
      </c>
      <c r="D17" s="64" t="s">
        <v>308</v>
      </c>
      <c r="E17" s="64" t="s">
        <v>630</v>
      </c>
      <c r="F17" s="67">
        <v>32.9</v>
      </c>
      <c r="G17" s="68"/>
      <c r="H17" s="100">
        <f>F17*G17</f>
        <v>0</v>
      </c>
      <c r="I17" s="81">
        <v>0</v>
      </c>
      <c r="J17" s="81">
        <f>F17*I17</f>
        <v>0</v>
      </c>
      <c r="K17" s="61" t="s">
        <v>653</v>
      </c>
      <c r="X17" s="36">
        <f>IF(AO17="5",BH17,0)</f>
        <v>0</v>
      </c>
      <c r="Z17" s="36">
        <f>IF(AO17="1",BF17,0)</f>
        <v>0</v>
      </c>
      <c r="AA17" s="36">
        <f>IF(AO17="1",BG17,0)</f>
        <v>0</v>
      </c>
      <c r="AB17" s="36">
        <f>IF(AO17="7",BF17,0)</f>
        <v>0</v>
      </c>
      <c r="AC17" s="36">
        <f>IF(AO17="7",BG17,0)</f>
        <v>0</v>
      </c>
      <c r="AD17" s="36">
        <f>IF(AO17="2",BF17,0)</f>
        <v>0</v>
      </c>
      <c r="AE17" s="36">
        <f>IF(AO17="2",BG17,0)</f>
        <v>0</v>
      </c>
      <c r="AF17" s="36">
        <f>IF(AO17="0",BH17,0)</f>
        <v>0</v>
      </c>
      <c r="AG17" s="28" t="s">
        <v>158</v>
      </c>
      <c r="AH17" s="20">
        <f>IF(AL17=0,H17,0)</f>
        <v>0</v>
      </c>
      <c r="AI17" s="20">
        <f>IF(AL17=15,H17,0)</f>
        <v>0</v>
      </c>
      <c r="AJ17" s="20">
        <f>IF(AL17=21,H17,0)</f>
        <v>0</v>
      </c>
      <c r="AL17" s="36">
        <v>21</v>
      </c>
      <c r="AM17" s="36">
        <f>G17*0</f>
        <v>0</v>
      </c>
      <c r="AN17" s="36">
        <f>G17*(1-0)</f>
        <v>0</v>
      </c>
      <c r="AO17" s="32" t="s">
        <v>7</v>
      </c>
      <c r="AT17" s="36">
        <f>AU17+AV17</f>
        <v>0</v>
      </c>
      <c r="AU17" s="36">
        <f>F17*AM17</f>
        <v>0</v>
      </c>
      <c r="AV17" s="36">
        <f>F17*AN17</f>
        <v>0</v>
      </c>
      <c r="AW17" s="37" t="s">
        <v>665</v>
      </c>
      <c r="AX17" s="37" t="s">
        <v>691</v>
      </c>
      <c r="AY17" s="28" t="s">
        <v>705</v>
      </c>
      <c r="BA17" s="36">
        <f>AU17+AV17</f>
        <v>0</v>
      </c>
      <c r="BB17" s="36">
        <f>G17/(100-BC17)*100</f>
        <v>0</v>
      </c>
      <c r="BC17" s="36">
        <v>0</v>
      </c>
      <c r="BD17" s="36">
        <f>J17</f>
        <v>0</v>
      </c>
      <c r="BF17" s="20">
        <f>F17*AM17</f>
        <v>0</v>
      </c>
      <c r="BG17" s="20">
        <f>F17*AN17</f>
        <v>0</v>
      </c>
      <c r="BH17" s="20">
        <f>F17*G17</f>
        <v>0</v>
      </c>
    </row>
    <row r="18" spans="1:11" ht="12.75">
      <c r="A18" s="70"/>
      <c r="B18" s="70"/>
      <c r="C18" s="70"/>
      <c r="D18" s="71" t="s">
        <v>309</v>
      </c>
      <c r="E18" s="70"/>
      <c r="F18" s="72">
        <v>32.9</v>
      </c>
      <c r="G18" s="70"/>
      <c r="H18" s="70"/>
      <c r="I18" s="82"/>
      <c r="J18" s="82"/>
      <c r="K18" s="62"/>
    </row>
    <row r="19" spans="1:60" ht="12.75">
      <c r="A19" s="64" t="s">
        <v>9</v>
      </c>
      <c r="B19" s="64" t="s">
        <v>158</v>
      </c>
      <c r="C19" s="64" t="s">
        <v>163</v>
      </c>
      <c r="D19" s="64" t="s">
        <v>310</v>
      </c>
      <c r="E19" s="64" t="s">
        <v>630</v>
      </c>
      <c r="F19" s="67">
        <v>139.825</v>
      </c>
      <c r="G19" s="68"/>
      <c r="H19" s="100">
        <f>F19*G19</f>
        <v>0</v>
      </c>
      <c r="I19" s="81">
        <v>0</v>
      </c>
      <c r="J19" s="81">
        <f>F19*I19</f>
        <v>0</v>
      </c>
      <c r="K19" s="61" t="s">
        <v>653</v>
      </c>
      <c r="X19" s="36">
        <f>IF(AO19="5",BH19,0)</f>
        <v>0</v>
      </c>
      <c r="Z19" s="36">
        <f>IF(AO19="1",BF19,0)</f>
        <v>0</v>
      </c>
      <c r="AA19" s="36">
        <f>IF(AO19="1",BG19,0)</f>
        <v>0</v>
      </c>
      <c r="AB19" s="36">
        <f>IF(AO19="7",BF19,0)</f>
        <v>0</v>
      </c>
      <c r="AC19" s="36">
        <f>IF(AO19="7",BG19,0)</f>
        <v>0</v>
      </c>
      <c r="AD19" s="36">
        <f>IF(AO19="2",BF19,0)</f>
        <v>0</v>
      </c>
      <c r="AE19" s="36">
        <f>IF(AO19="2",BG19,0)</f>
        <v>0</v>
      </c>
      <c r="AF19" s="36">
        <f>IF(AO19="0",BH19,0)</f>
        <v>0</v>
      </c>
      <c r="AG19" s="28" t="s">
        <v>158</v>
      </c>
      <c r="AH19" s="20">
        <f>IF(AL19=0,H19,0)</f>
        <v>0</v>
      </c>
      <c r="AI19" s="20">
        <f>IF(AL19=15,H19,0)</f>
        <v>0</v>
      </c>
      <c r="AJ19" s="20">
        <f>IF(AL19=21,H19,0)</f>
        <v>0</v>
      </c>
      <c r="AL19" s="36">
        <v>21</v>
      </c>
      <c r="AM19" s="36">
        <f>G19*0</f>
        <v>0</v>
      </c>
      <c r="AN19" s="36">
        <f>G19*(1-0)</f>
        <v>0</v>
      </c>
      <c r="AO19" s="32" t="s">
        <v>7</v>
      </c>
      <c r="AT19" s="36">
        <f>AU19+AV19</f>
        <v>0</v>
      </c>
      <c r="AU19" s="36">
        <f>F19*AM19</f>
        <v>0</v>
      </c>
      <c r="AV19" s="36">
        <f>F19*AN19</f>
        <v>0</v>
      </c>
      <c r="AW19" s="37" t="s">
        <v>665</v>
      </c>
      <c r="AX19" s="37" t="s">
        <v>691</v>
      </c>
      <c r="AY19" s="28" t="s">
        <v>705</v>
      </c>
      <c r="BA19" s="36">
        <f>AU19+AV19</f>
        <v>0</v>
      </c>
      <c r="BB19" s="36">
        <f>G19/(100-BC19)*100</f>
        <v>0</v>
      </c>
      <c r="BC19" s="36">
        <v>0</v>
      </c>
      <c r="BD19" s="36">
        <f>J19</f>
        <v>0</v>
      </c>
      <c r="BF19" s="20">
        <f>F19*AM19</f>
        <v>0</v>
      </c>
      <c r="BG19" s="20">
        <f>F19*AN19</f>
        <v>0</v>
      </c>
      <c r="BH19" s="20">
        <f>F19*G19</f>
        <v>0</v>
      </c>
    </row>
    <row r="20" spans="1:11" ht="12.75">
      <c r="A20" s="70"/>
      <c r="B20" s="70"/>
      <c r="C20" s="70"/>
      <c r="D20" s="71" t="s">
        <v>311</v>
      </c>
      <c r="E20" s="70"/>
      <c r="F20" s="72">
        <v>139.825</v>
      </c>
      <c r="G20" s="70"/>
      <c r="H20" s="70"/>
      <c r="I20" s="82"/>
      <c r="J20" s="82"/>
      <c r="K20" s="62"/>
    </row>
    <row r="21" spans="1:60" ht="12.75">
      <c r="A21" s="64" t="s">
        <v>10</v>
      </c>
      <c r="B21" s="64" t="s">
        <v>158</v>
      </c>
      <c r="C21" s="64" t="s">
        <v>164</v>
      </c>
      <c r="D21" s="64" t="s">
        <v>312</v>
      </c>
      <c r="E21" s="64" t="s">
        <v>630</v>
      </c>
      <c r="F21" s="67">
        <v>139.825</v>
      </c>
      <c r="G21" s="68"/>
      <c r="H21" s="100">
        <f>F21*G21</f>
        <v>0</v>
      </c>
      <c r="I21" s="81">
        <v>0</v>
      </c>
      <c r="J21" s="81">
        <f>F21*I21</f>
        <v>0</v>
      </c>
      <c r="K21" s="61" t="s">
        <v>653</v>
      </c>
      <c r="X21" s="36">
        <f>IF(AO21="5",BH21,0)</f>
        <v>0</v>
      </c>
      <c r="Z21" s="36">
        <f>IF(AO21="1",BF21,0)</f>
        <v>0</v>
      </c>
      <c r="AA21" s="36">
        <f>IF(AO21="1",BG21,0)</f>
        <v>0</v>
      </c>
      <c r="AB21" s="36">
        <f>IF(AO21="7",BF21,0)</f>
        <v>0</v>
      </c>
      <c r="AC21" s="36">
        <f>IF(AO21="7",BG21,0)</f>
        <v>0</v>
      </c>
      <c r="AD21" s="36">
        <f>IF(AO21="2",BF21,0)</f>
        <v>0</v>
      </c>
      <c r="AE21" s="36">
        <f>IF(AO21="2",BG21,0)</f>
        <v>0</v>
      </c>
      <c r="AF21" s="36">
        <f>IF(AO21="0",BH21,0)</f>
        <v>0</v>
      </c>
      <c r="AG21" s="28" t="s">
        <v>158</v>
      </c>
      <c r="AH21" s="20">
        <f>IF(AL21=0,H21,0)</f>
        <v>0</v>
      </c>
      <c r="AI21" s="20">
        <f>IF(AL21=15,H21,0)</f>
        <v>0</v>
      </c>
      <c r="AJ21" s="20">
        <f>IF(AL21=21,H21,0)</f>
        <v>0</v>
      </c>
      <c r="AL21" s="36">
        <v>21</v>
      </c>
      <c r="AM21" s="36">
        <f>G21*0</f>
        <v>0</v>
      </c>
      <c r="AN21" s="36">
        <f>G21*(1-0)</f>
        <v>0</v>
      </c>
      <c r="AO21" s="32" t="s">
        <v>7</v>
      </c>
      <c r="AT21" s="36">
        <f>AU21+AV21</f>
        <v>0</v>
      </c>
      <c r="AU21" s="36">
        <f>F21*AM21</f>
        <v>0</v>
      </c>
      <c r="AV21" s="36">
        <f>F21*AN21</f>
        <v>0</v>
      </c>
      <c r="AW21" s="37" t="s">
        <v>665</v>
      </c>
      <c r="AX21" s="37" t="s">
        <v>691</v>
      </c>
      <c r="AY21" s="28" t="s">
        <v>705</v>
      </c>
      <c r="BA21" s="36">
        <f>AU21+AV21</f>
        <v>0</v>
      </c>
      <c r="BB21" s="36">
        <f>G21/(100-BC21)*100</f>
        <v>0</v>
      </c>
      <c r="BC21" s="36">
        <v>0</v>
      </c>
      <c r="BD21" s="36">
        <f>J21</f>
        <v>0</v>
      </c>
      <c r="BF21" s="20">
        <f>F21*AM21</f>
        <v>0</v>
      </c>
      <c r="BG21" s="20">
        <f>F21*AN21</f>
        <v>0</v>
      </c>
      <c r="BH21" s="20">
        <f>F21*G21</f>
        <v>0</v>
      </c>
    </row>
    <row r="22" spans="1:11" ht="12.75">
      <c r="A22" s="65"/>
      <c r="B22" s="65"/>
      <c r="C22" s="65"/>
      <c r="D22" s="66" t="s">
        <v>311</v>
      </c>
      <c r="E22" s="65"/>
      <c r="F22" s="69">
        <v>139.825</v>
      </c>
      <c r="G22" s="65"/>
      <c r="H22" s="65"/>
      <c r="I22" s="83"/>
      <c r="J22" s="83"/>
      <c r="K22" s="63"/>
    </row>
    <row r="23" spans="1:45" ht="12.75">
      <c r="A23" s="4"/>
      <c r="B23" s="14" t="s">
        <v>158</v>
      </c>
      <c r="C23" s="14" t="s">
        <v>19</v>
      </c>
      <c r="D23" s="14" t="s">
        <v>313</v>
      </c>
      <c r="E23" s="4" t="s">
        <v>6</v>
      </c>
      <c r="F23" s="4" t="s">
        <v>6</v>
      </c>
      <c r="G23" s="4"/>
      <c r="H23" s="39">
        <f>SUM(H24:H40)</f>
        <v>0</v>
      </c>
      <c r="I23" s="80"/>
      <c r="J23" s="80">
        <f>SUM(J24:J40)</f>
        <v>0</v>
      </c>
      <c r="K23" s="28"/>
      <c r="AG23" s="28" t="s">
        <v>158</v>
      </c>
      <c r="AQ23" s="39">
        <f>SUM(AH24:AH40)</f>
        <v>0</v>
      </c>
      <c r="AR23" s="39">
        <f>SUM(AI24:AI40)</f>
        <v>0</v>
      </c>
      <c r="AS23" s="39">
        <f>SUM(AJ24:AJ40)</f>
        <v>0</v>
      </c>
    </row>
    <row r="24" spans="1:60" ht="12.75">
      <c r="A24" s="64" t="s">
        <v>11</v>
      </c>
      <c r="B24" s="64" t="s">
        <v>158</v>
      </c>
      <c r="C24" s="64" t="s">
        <v>165</v>
      </c>
      <c r="D24" s="64" t="s">
        <v>314</v>
      </c>
      <c r="E24" s="64" t="s">
        <v>630</v>
      </c>
      <c r="F24" s="67">
        <v>129.276</v>
      </c>
      <c r="G24" s="68"/>
      <c r="H24" s="100">
        <f>F24*G24</f>
        <v>0</v>
      </c>
      <c r="I24" s="81">
        <v>0</v>
      </c>
      <c r="J24" s="81">
        <f>F24*I24</f>
        <v>0</v>
      </c>
      <c r="K24" s="61" t="s">
        <v>653</v>
      </c>
      <c r="X24" s="36">
        <f>IF(AO24="5",BH24,0)</f>
        <v>0</v>
      </c>
      <c r="Z24" s="36">
        <f>IF(AO24="1",BF24,0)</f>
        <v>0</v>
      </c>
      <c r="AA24" s="36">
        <f>IF(AO24="1",BG24,0)</f>
        <v>0</v>
      </c>
      <c r="AB24" s="36">
        <f>IF(AO24="7",BF24,0)</f>
        <v>0</v>
      </c>
      <c r="AC24" s="36">
        <f>IF(AO24="7",BG24,0)</f>
        <v>0</v>
      </c>
      <c r="AD24" s="36">
        <f>IF(AO24="2",BF24,0)</f>
        <v>0</v>
      </c>
      <c r="AE24" s="36">
        <f>IF(AO24="2",BG24,0)</f>
        <v>0</v>
      </c>
      <c r="AF24" s="36">
        <f>IF(AO24="0",BH24,0)</f>
        <v>0</v>
      </c>
      <c r="AG24" s="28" t="s">
        <v>158</v>
      </c>
      <c r="AH24" s="20">
        <f>IF(AL24=0,H24,0)</f>
        <v>0</v>
      </c>
      <c r="AI24" s="20">
        <f>IF(AL24=15,H24,0)</f>
        <v>0</v>
      </c>
      <c r="AJ24" s="20">
        <f>IF(AL24=21,H24,0)</f>
        <v>0</v>
      </c>
      <c r="AL24" s="36">
        <v>21</v>
      </c>
      <c r="AM24" s="36">
        <f>G24*0</f>
        <v>0</v>
      </c>
      <c r="AN24" s="36">
        <f>G24*(1-0)</f>
        <v>0</v>
      </c>
      <c r="AO24" s="32" t="s">
        <v>7</v>
      </c>
      <c r="AT24" s="36">
        <f>AU24+AV24</f>
        <v>0</v>
      </c>
      <c r="AU24" s="36">
        <f>F24*AM24</f>
        <v>0</v>
      </c>
      <c r="AV24" s="36">
        <f>F24*AN24</f>
        <v>0</v>
      </c>
      <c r="AW24" s="37" t="s">
        <v>666</v>
      </c>
      <c r="AX24" s="37" t="s">
        <v>691</v>
      </c>
      <c r="AY24" s="28" t="s">
        <v>705</v>
      </c>
      <c r="BA24" s="36">
        <f>AU24+AV24</f>
        <v>0</v>
      </c>
      <c r="BB24" s="36">
        <f>G24/(100-BC24)*100</f>
        <v>0</v>
      </c>
      <c r="BC24" s="36">
        <v>0</v>
      </c>
      <c r="BD24" s="36">
        <f>J24</f>
        <v>0</v>
      </c>
      <c r="BF24" s="20">
        <f>F24*AM24</f>
        <v>0</v>
      </c>
      <c r="BG24" s="20">
        <f>F24*AN24</f>
        <v>0</v>
      </c>
      <c r="BH24" s="20">
        <f>F24*G24</f>
        <v>0</v>
      </c>
    </row>
    <row r="25" spans="1:11" ht="12.75">
      <c r="A25" s="70"/>
      <c r="B25" s="70"/>
      <c r="C25" s="70"/>
      <c r="D25" s="71" t="s">
        <v>315</v>
      </c>
      <c r="E25" s="70"/>
      <c r="F25" s="72">
        <v>129.276</v>
      </c>
      <c r="G25" s="70"/>
      <c r="H25" s="101"/>
      <c r="I25" s="82"/>
      <c r="J25" s="82"/>
      <c r="K25" s="62"/>
    </row>
    <row r="26" spans="1:60" ht="12.75">
      <c r="A26" s="64" t="s">
        <v>12</v>
      </c>
      <c r="B26" s="64" t="s">
        <v>158</v>
      </c>
      <c r="C26" s="64" t="s">
        <v>166</v>
      </c>
      <c r="D26" s="64" t="s">
        <v>316</v>
      </c>
      <c r="E26" s="64" t="s">
        <v>630</v>
      </c>
      <c r="F26" s="67">
        <v>136.08</v>
      </c>
      <c r="G26" s="68"/>
      <c r="H26" s="100">
        <f>F26*G26</f>
        <v>0</v>
      </c>
      <c r="I26" s="81">
        <v>0</v>
      </c>
      <c r="J26" s="81">
        <f>F26*I26</f>
        <v>0</v>
      </c>
      <c r="K26" s="61" t="s">
        <v>653</v>
      </c>
      <c r="X26" s="36">
        <f>IF(AO26="5",BH26,0)</f>
        <v>0</v>
      </c>
      <c r="Z26" s="36">
        <f>IF(AO26="1",BF26,0)</f>
        <v>0</v>
      </c>
      <c r="AA26" s="36">
        <f>IF(AO26="1",BG26,0)</f>
        <v>0</v>
      </c>
      <c r="AB26" s="36">
        <f>IF(AO26="7",BF26,0)</f>
        <v>0</v>
      </c>
      <c r="AC26" s="36">
        <f>IF(AO26="7",BG26,0)</f>
        <v>0</v>
      </c>
      <c r="AD26" s="36">
        <f>IF(AO26="2",BF26,0)</f>
        <v>0</v>
      </c>
      <c r="AE26" s="36">
        <f>IF(AO26="2",BG26,0)</f>
        <v>0</v>
      </c>
      <c r="AF26" s="36">
        <f>IF(AO26="0",BH26,0)</f>
        <v>0</v>
      </c>
      <c r="AG26" s="28" t="s">
        <v>158</v>
      </c>
      <c r="AH26" s="20">
        <f>IF(AL26=0,H26,0)</f>
        <v>0</v>
      </c>
      <c r="AI26" s="20">
        <f>IF(AL26=15,H26,0)</f>
        <v>0</v>
      </c>
      <c r="AJ26" s="20">
        <f>IF(AL26=21,H26,0)</f>
        <v>0</v>
      </c>
      <c r="AL26" s="36">
        <v>21</v>
      </c>
      <c r="AM26" s="36">
        <f>G26*0</f>
        <v>0</v>
      </c>
      <c r="AN26" s="36">
        <f>G26*(1-0)</f>
        <v>0</v>
      </c>
      <c r="AO26" s="32" t="s">
        <v>7</v>
      </c>
      <c r="AT26" s="36">
        <f>AU26+AV26</f>
        <v>0</v>
      </c>
      <c r="AU26" s="36">
        <f>F26*AM26</f>
        <v>0</v>
      </c>
      <c r="AV26" s="36">
        <f>F26*AN26</f>
        <v>0</v>
      </c>
      <c r="AW26" s="37" t="s">
        <v>666</v>
      </c>
      <c r="AX26" s="37" t="s">
        <v>691</v>
      </c>
      <c r="AY26" s="28" t="s">
        <v>705</v>
      </c>
      <c r="BA26" s="36">
        <f>AU26+AV26</f>
        <v>0</v>
      </c>
      <c r="BB26" s="36">
        <f>G26/(100-BC26)*100</f>
        <v>0</v>
      </c>
      <c r="BC26" s="36">
        <v>0</v>
      </c>
      <c r="BD26" s="36">
        <f>J26</f>
        <v>0</v>
      </c>
      <c r="BF26" s="20">
        <f>F26*AM26</f>
        <v>0</v>
      </c>
      <c r="BG26" s="20">
        <f>F26*AN26</f>
        <v>0</v>
      </c>
      <c r="BH26" s="20">
        <f>F26*G26</f>
        <v>0</v>
      </c>
    </row>
    <row r="27" spans="1:11" ht="12.75">
      <c r="A27" s="70"/>
      <c r="B27" s="70"/>
      <c r="C27" s="70"/>
      <c r="D27" s="71" t="s">
        <v>317</v>
      </c>
      <c r="E27" s="70"/>
      <c r="F27" s="72">
        <v>136.08</v>
      </c>
      <c r="G27" s="70"/>
      <c r="H27" s="101"/>
      <c r="I27" s="82"/>
      <c r="J27" s="82"/>
      <c r="K27" s="62"/>
    </row>
    <row r="28" spans="1:60" ht="12.75">
      <c r="A28" s="64" t="s">
        <v>13</v>
      </c>
      <c r="B28" s="64" t="s">
        <v>158</v>
      </c>
      <c r="C28" s="64" t="s">
        <v>167</v>
      </c>
      <c r="D28" s="64" t="s">
        <v>318</v>
      </c>
      <c r="E28" s="64" t="s">
        <v>630</v>
      </c>
      <c r="F28" s="67">
        <v>8.611</v>
      </c>
      <c r="G28" s="68"/>
      <c r="H28" s="100">
        <f>F28*G28</f>
        <v>0</v>
      </c>
      <c r="I28" s="81">
        <v>0</v>
      </c>
      <c r="J28" s="81">
        <f>F28*I28</f>
        <v>0</v>
      </c>
      <c r="K28" s="61" t="s">
        <v>653</v>
      </c>
      <c r="X28" s="36">
        <f>IF(AO28="5",BH28,0)</f>
        <v>0</v>
      </c>
      <c r="Z28" s="36">
        <f>IF(AO28="1",BF28,0)</f>
        <v>0</v>
      </c>
      <c r="AA28" s="36">
        <f>IF(AO28="1",BG28,0)</f>
        <v>0</v>
      </c>
      <c r="AB28" s="36">
        <f>IF(AO28="7",BF28,0)</f>
        <v>0</v>
      </c>
      <c r="AC28" s="36">
        <f>IF(AO28="7",BG28,0)</f>
        <v>0</v>
      </c>
      <c r="AD28" s="36">
        <f>IF(AO28="2",BF28,0)</f>
        <v>0</v>
      </c>
      <c r="AE28" s="36">
        <f>IF(AO28="2",BG28,0)</f>
        <v>0</v>
      </c>
      <c r="AF28" s="36">
        <f>IF(AO28="0",BH28,0)</f>
        <v>0</v>
      </c>
      <c r="AG28" s="28" t="s">
        <v>158</v>
      </c>
      <c r="AH28" s="20">
        <f>IF(AL28=0,H28,0)</f>
        <v>0</v>
      </c>
      <c r="AI28" s="20">
        <f>IF(AL28=15,H28,0)</f>
        <v>0</v>
      </c>
      <c r="AJ28" s="20">
        <f>IF(AL28=21,H28,0)</f>
        <v>0</v>
      </c>
      <c r="AL28" s="36">
        <v>21</v>
      </c>
      <c r="AM28" s="36">
        <f>G28*0</f>
        <v>0</v>
      </c>
      <c r="AN28" s="36">
        <f>G28*(1-0)</f>
        <v>0</v>
      </c>
      <c r="AO28" s="32" t="s">
        <v>7</v>
      </c>
      <c r="AT28" s="36">
        <f>AU28+AV28</f>
        <v>0</v>
      </c>
      <c r="AU28" s="36">
        <f>F28*AM28</f>
        <v>0</v>
      </c>
      <c r="AV28" s="36">
        <f>F28*AN28</f>
        <v>0</v>
      </c>
      <c r="AW28" s="37" t="s">
        <v>666</v>
      </c>
      <c r="AX28" s="37" t="s">
        <v>691</v>
      </c>
      <c r="AY28" s="28" t="s">
        <v>705</v>
      </c>
      <c r="BA28" s="36">
        <f>AU28+AV28</f>
        <v>0</v>
      </c>
      <c r="BB28" s="36">
        <f>G28/(100-BC28)*100</f>
        <v>0</v>
      </c>
      <c r="BC28" s="36">
        <v>0</v>
      </c>
      <c r="BD28" s="36">
        <f>J28</f>
        <v>0</v>
      </c>
      <c r="BF28" s="20">
        <f>F28*AM28</f>
        <v>0</v>
      </c>
      <c r="BG28" s="20">
        <f>F28*AN28</f>
        <v>0</v>
      </c>
      <c r="BH28" s="20">
        <f>F28*G28</f>
        <v>0</v>
      </c>
    </row>
    <row r="29" spans="1:11" ht="12.75">
      <c r="A29" s="70"/>
      <c r="B29" s="70"/>
      <c r="C29" s="70"/>
      <c r="D29" s="71" t="s">
        <v>319</v>
      </c>
      <c r="E29" s="70"/>
      <c r="F29" s="72">
        <v>7.9</v>
      </c>
      <c r="G29" s="70"/>
      <c r="H29" s="101"/>
      <c r="I29" s="82"/>
      <c r="J29" s="82"/>
      <c r="K29" s="62"/>
    </row>
    <row r="30" spans="1:11" ht="12.75">
      <c r="A30" s="70"/>
      <c r="B30" s="70"/>
      <c r="C30" s="70"/>
      <c r="D30" s="71" t="s">
        <v>320</v>
      </c>
      <c r="E30" s="70"/>
      <c r="F30" s="72">
        <v>0.711</v>
      </c>
      <c r="G30" s="70"/>
      <c r="H30" s="101"/>
      <c r="I30" s="82"/>
      <c r="J30" s="82"/>
      <c r="K30" s="62"/>
    </row>
    <row r="31" spans="1:60" ht="12.75">
      <c r="A31" s="64" t="s">
        <v>14</v>
      </c>
      <c r="B31" s="64" t="s">
        <v>158</v>
      </c>
      <c r="C31" s="64" t="s">
        <v>168</v>
      </c>
      <c r="D31" s="64" t="s">
        <v>321</v>
      </c>
      <c r="E31" s="64" t="s">
        <v>630</v>
      </c>
      <c r="F31" s="67">
        <v>9.065</v>
      </c>
      <c r="G31" s="68"/>
      <c r="H31" s="100">
        <f>F31*G31</f>
        <v>0</v>
      </c>
      <c r="I31" s="81">
        <v>0</v>
      </c>
      <c r="J31" s="81">
        <f>F31*I31</f>
        <v>0</v>
      </c>
      <c r="K31" s="61" t="s">
        <v>653</v>
      </c>
      <c r="X31" s="36">
        <f>IF(AO31="5",BH31,0)</f>
        <v>0</v>
      </c>
      <c r="Z31" s="36">
        <f>IF(AO31="1",BF31,0)</f>
        <v>0</v>
      </c>
      <c r="AA31" s="36">
        <f>IF(AO31="1",BG31,0)</f>
        <v>0</v>
      </c>
      <c r="AB31" s="36">
        <f>IF(AO31="7",BF31,0)</f>
        <v>0</v>
      </c>
      <c r="AC31" s="36">
        <f>IF(AO31="7",BG31,0)</f>
        <v>0</v>
      </c>
      <c r="AD31" s="36">
        <f>IF(AO31="2",BF31,0)</f>
        <v>0</v>
      </c>
      <c r="AE31" s="36">
        <f>IF(AO31="2",BG31,0)</f>
        <v>0</v>
      </c>
      <c r="AF31" s="36">
        <f>IF(AO31="0",BH31,0)</f>
        <v>0</v>
      </c>
      <c r="AG31" s="28" t="s">
        <v>158</v>
      </c>
      <c r="AH31" s="20">
        <f>IF(AL31=0,H31,0)</f>
        <v>0</v>
      </c>
      <c r="AI31" s="20">
        <f>IF(AL31=15,H31,0)</f>
        <v>0</v>
      </c>
      <c r="AJ31" s="20">
        <f>IF(AL31=21,H31,0)</f>
        <v>0</v>
      </c>
      <c r="AL31" s="36">
        <v>21</v>
      </c>
      <c r="AM31" s="36">
        <f>G31*0</f>
        <v>0</v>
      </c>
      <c r="AN31" s="36">
        <f>G31*(1-0)</f>
        <v>0</v>
      </c>
      <c r="AO31" s="32" t="s">
        <v>7</v>
      </c>
      <c r="AT31" s="36">
        <f>AU31+AV31</f>
        <v>0</v>
      </c>
      <c r="AU31" s="36">
        <f>F31*AM31</f>
        <v>0</v>
      </c>
      <c r="AV31" s="36">
        <f>F31*AN31</f>
        <v>0</v>
      </c>
      <c r="AW31" s="37" t="s">
        <v>666</v>
      </c>
      <c r="AX31" s="37" t="s">
        <v>691</v>
      </c>
      <c r="AY31" s="28" t="s">
        <v>705</v>
      </c>
      <c r="BA31" s="36">
        <f>AU31+AV31</f>
        <v>0</v>
      </c>
      <c r="BB31" s="36">
        <f>G31/(100-BC31)*100</f>
        <v>0</v>
      </c>
      <c r="BC31" s="36">
        <v>0</v>
      </c>
      <c r="BD31" s="36">
        <f>J31</f>
        <v>0</v>
      </c>
      <c r="BF31" s="20">
        <f>F31*AM31</f>
        <v>0</v>
      </c>
      <c r="BG31" s="20">
        <f>F31*AN31</f>
        <v>0</v>
      </c>
      <c r="BH31" s="20">
        <f>F31*G31</f>
        <v>0</v>
      </c>
    </row>
    <row r="32" spans="1:11" ht="12.75">
      <c r="A32" s="70"/>
      <c r="B32" s="70"/>
      <c r="C32" s="70"/>
      <c r="D32" s="71" t="s">
        <v>322</v>
      </c>
      <c r="E32" s="70"/>
      <c r="F32" s="72">
        <v>8.316</v>
      </c>
      <c r="G32" s="70"/>
      <c r="H32" s="101"/>
      <c r="I32" s="82"/>
      <c r="J32" s="82"/>
      <c r="K32" s="62"/>
    </row>
    <row r="33" spans="1:11" ht="12.75">
      <c r="A33" s="70"/>
      <c r="B33" s="70"/>
      <c r="C33" s="70"/>
      <c r="D33" s="71" t="s">
        <v>323</v>
      </c>
      <c r="E33" s="70"/>
      <c r="F33" s="72">
        <v>0.749</v>
      </c>
      <c r="G33" s="70"/>
      <c r="H33" s="101"/>
      <c r="I33" s="82"/>
      <c r="J33" s="82"/>
      <c r="K33" s="62"/>
    </row>
    <row r="34" spans="1:60" ht="12.75">
      <c r="A34" s="64" t="s">
        <v>15</v>
      </c>
      <c r="B34" s="64" t="s">
        <v>158</v>
      </c>
      <c r="C34" s="64" t="s">
        <v>169</v>
      </c>
      <c r="D34" s="64" t="s">
        <v>324</v>
      </c>
      <c r="E34" s="64" t="s">
        <v>630</v>
      </c>
      <c r="F34" s="67">
        <v>63.715</v>
      </c>
      <c r="G34" s="68"/>
      <c r="H34" s="100">
        <f>F34*G34</f>
        <v>0</v>
      </c>
      <c r="I34" s="81">
        <v>0</v>
      </c>
      <c r="J34" s="81">
        <f>F34*I34</f>
        <v>0</v>
      </c>
      <c r="K34" s="61" t="s">
        <v>653</v>
      </c>
      <c r="X34" s="36">
        <f>IF(AO34="5",BH34,0)</f>
        <v>0</v>
      </c>
      <c r="Z34" s="36">
        <f>IF(AO34="1",BF34,0)</f>
        <v>0</v>
      </c>
      <c r="AA34" s="36">
        <f>IF(AO34="1",BG34,0)</f>
        <v>0</v>
      </c>
      <c r="AB34" s="36">
        <f>IF(AO34="7",BF34,0)</f>
        <v>0</v>
      </c>
      <c r="AC34" s="36">
        <f>IF(AO34="7",BG34,0)</f>
        <v>0</v>
      </c>
      <c r="AD34" s="36">
        <f>IF(AO34="2",BF34,0)</f>
        <v>0</v>
      </c>
      <c r="AE34" s="36">
        <f>IF(AO34="2",BG34,0)</f>
        <v>0</v>
      </c>
      <c r="AF34" s="36">
        <f>IF(AO34="0",BH34,0)</f>
        <v>0</v>
      </c>
      <c r="AG34" s="28" t="s">
        <v>158</v>
      </c>
      <c r="AH34" s="20">
        <f>IF(AL34=0,H34,0)</f>
        <v>0</v>
      </c>
      <c r="AI34" s="20">
        <f>IF(AL34=15,H34,0)</f>
        <v>0</v>
      </c>
      <c r="AJ34" s="20">
        <f>IF(AL34=21,H34,0)</f>
        <v>0</v>
      </c>
      <c r="AL34" s="36">
        <v>21</v>
      </c>
      <c r="AM34" s="36">
        <f>G34*0</f>
        <v>0</v>
      </c>
      <c r="AN34" s="36">
        <f>G34*(1-0)</f>
        <v>0</v>
      </c>
      <c r="AO34" s="32" t="s">
        <v>7</v>
      </c>
      <c r="AT34" s="36">
        <f>AU34+AV34</f>
        <v>0</v>
      </c>
      <c r="AU34" s="36">
        <f>F34*AM34</f>
        <v>0</v>
      </c>
      <c r="AV34" s="36">
        <f>F34*AN34</f>
        <v>0</v>
      </c>
      <c r="AW34" s="37" t="s">
        <v>666</v>
      </c>
      <c r="AX34" s="37" t="s">
        <v>691</v>
      </c>
      <c r="AY34" s="28" t="s">
        <v>705</v>
      </c>
      <c r="BA34" s="36">
        <f>AU34+AV34</f>
        <v>0</v>
      </c>
      <c r="BB34" s="36">
        <f>G34/(100-BC34)*100</f>
        <v>0</v>
      </c>
      <c r="BC34" s="36">
        <v>0</v>
      </c>
      <c r="BD34" s="36">
        <f>J34</f>
        <v>0</v>
      </c>
      <c r="BF34" s="20">
        <f>F34*AM34</f>
        <v>0</v>
      </c>
      <c r="BG34" s="20">
        <f>F34*AN34</f>
        <v>0</v>
      </c>
      <c r="BH34" s="20">
        <f>F34*G34</f>
        <v>0</v>
      </c>
    </row>
    <row r="35" spans="1:11" ht="12.75">
      <c r="A35" s="70"/>
      <c r="B35" s="70"/>
      <c r="C35" s="70"/>
      <c r="D35" s="71" t="s">
        <v>325</v>
      </c>
      <c r="E35" s="70"/>
      <c r="F35" s="72">
        <v>37.05</v>
      </c>
      <c r="G35" s="70"/>
      <c r="H35" s="101"/>
      <c r="I35" s="82"/>
      <c r="J35" s="82"/>
      <c r="K35" s="62"/>
    </row>
    <row r="36" spans="1:11" ht="12.75">
      <c r="A36" s="70"/>
      <c r="B36" s="70"/>
      <c r="C36" s="70"/>
      <c r="D36" s="71" t="s">
        <v>326</v>
      </c>
      <c r="E36" s="70"/>
      <c r="F36" s="72">
        <v>26.665</v>
      </c>
      <c r="G36" s="70"/>
      <c r="H36" s="101"/>
      <c r="I36" s="82"/>
      <c r="J36" s="82"/>
      <c r="K36" s="62"/>
    </row>
    <row r="37" spans="1:60" ht="12.75">
      <c r="A37" s="64" t="s">
        <v>16</v>
      </c>
      <c r="B37" s="64" t="s">
        <v>158</v>
      </c>
      <c r="C37" s="64" t="s">
        <v>170</v>
      </c>
      <c r="D37" s="64" t="s">
        <v>327</v>
      </c>
      <c r="E37" s="64" t="s">
        <v>630</v>
      </c>
      <c r="F37" s="67">
        <v>67.069</v>
      </c>
      <c r="G37" s="68"/>
      <c r="H37" s="100">
        <f>F37*G37</f>
        <v>0</v>
      </c>
      <c r="I37" s="81">
        <v>0</v>
      </c>
      <c r="J37" s="81">
        <f>F37*I37</f>
        <v>0</v>
      </c>
      <c r="K37" s="61" t="s">
        <v>653</v>
      </c>
      <c r="X37" s="36">
        <f>IF(AO37="5",BH37,0)</f>
        <v>0</v>
      </c>
      <c r="Z37" s="36">
        <f>IF(AO37="1",BF37,0)</f>
        <v>0</v>
      </c>
      <c r="AA37" s="36">
        <f>IF(AO37="1",BG37,0)</f>
        <v>0</v>
      </c>
      <c r="AB37" s="36">
        <f>IF(AO37="7",BF37,0)</f>
        <v>0</v>
      </c>
      <c r="AC37" s="36">
        <f>IF(AO37="7",BG37,0)</f>
        <v>0</v>
      </c>
      <c r="AD37" s="36">
        <f>IF(AO37="2",BF37,0)</f>
        <v>0</v>
      </c>
      <c r="AE37" s="36">
        <f>IF(AO37="2",BG37,0)</f>
        <v>0</v>
      </c>
      <c r="AF37" s="36">
        <f>IF(AO37="0",BH37,0)</f>
        <v>0</v>
      </c>
      <c r="AG37" s="28" t="s">
        <v>158</v>
      </c>
      <c r="AH37" s="20">
        <f>IF(AL37=0,H37,0)</f>
        <v>0</v>
      </c>
      <c r="AI37" s="20">
        <f>IF(AL37=15,H37,0)</f>
        <v>0</v>
      </c>
      <c r="AJ37" s="20">
        <f>IF(AL37=21,H37,0)</f>
        <v>0</v>
      </c>
      <c r="AL37" s="36">
        <v>21</v>
      </c>
      <c r="AM37" s="36">
        <f>G37*0</f>
        <v>0</v>
      </c>
      <c r="AN37" s="36">
        <f>G37*(1-0)</f>
        <v>0</v>
      </c>
      <c r="AO37" s="32" t="s">
        <v>7</v>
      </c>
      <c r="AT37" s="36">
        <f>AU37+AV37</f>
        <v>0</v>
      </c>
      <c r="AU37" s="36">
        <f>F37*AM37</f>
        <v>0</v>
      </c>
      <c r="AV37" s="36">
        <f>F37*AN37</f>
        <v>0</v>
      </c>
      <c r="AW37" s="37" t="s">
        <v>666</v>
      </c>
      <c r="AX37" s="37" t="s">
        <v>691</v>
      </c>
      <c r="AY37" s="28" t="s">
        <v>705</v>
      </c>
      <c r="BA37" s="36">
        <f>AU37+AV37</f>
        <v>0</v>
      </c>
      <c r="BB37" s="36">
        <f>G37/(100-BC37)*100</f>
        <v>0</v>
      </c>
      <c r="BC37" s="36">
        <v>0</v>
      </c>
      <c r="BD37" s="36">
        <f>J37</f>
        <v>0</v>
      </c>
      <c r="BF37" s="20">
        <f>F37*AM37</f>
        <v>0</v>
      </c>
      <c r="BG37" s="20">
        <f>F37*AN37</f>
        <v>0</v>
      </c>
      <c r="BH37" s="20">
        <f>F37*G37</f>
        <v>0</v>
      </c>
    </row>
    <row r="38" spans="1:11" ht="12.75">
      <c r="A38" s="70"/>
      <c r="B38" s="70"/>
      <c r="C38" s="70"/>
      <c r="D38" s="71" t="s">
        <v>328</v>
      </c>
      <c r="E38" s="70"/>
      <c r="F38" s="72">
        <v>39</v>
      </c>
      <c r="G38" s="70"/>
      <c r="H38" s="101"/>
      <c r="I38" s="82"/>
      <c r="J38" s="82"/>
      <c r="K38" s="62"/>
    </row>
    <row r="39" spans="1:11" ht="12.75">
      <c r="A39" s="70"/>
      <c r="B39" s="70"/>
      <c r="C39" s="70"/>
      <c r="D39" s="71" t="s">
        <v>329</v>
      </c>
      <c r="E39" s="70"/>
      <c r="F39" s="72">
        <v>28.069</v>
      </c>
      <c r="G39" s="70"/>
      <c r="H39" s="101"/>
      <c r="I39" s="82"/>
      <c r="J39" s="82"/>
      <c r="K39" s="62"/>
    </row>
    <row r="40" spans="1:60" ht="12.75">
      <c r="A40" s="64" t="s">
        <v>17</v>
      </c>
      <c r="B40" s="64" t="s">
        <v>158</v>
      </c>
      <c r="C40" s="64" t="s">
        <v>171</v>
      </c>
      <c r="D40" s="64" t="s">
        <v>330</v>
      </c>
      <c r="E40" s="64" t="s">
        <v>630</v>
      </c>
      <c r="F40" s="67">
        <v>10.611</v>
      </c>
      <c r="G40" s="68"/>
      <c r="H40" s="100">
        <f>F40*G40</f>
        <v>0</v>
      </c>
      <c r="I40" s="81">
        <v>0</v>
      </c>
      <c r="J40" s="81">
        <f>F40*I40</f>
        <v>0</v>
      </c>
      <c r="K40" s="61" t="s">
        <v>653</v>
      </c>
      <c r="X40" s="36">
        <f>IF(AO40="5",BH40,0)</f>
        <v>0</v>
      </c>
      <c r="Z40" s="36">
        <f>IF(AO40="1",BF40,0)</f>
        <v>0</v>
      </c>
      <c r="AA40" s="36">
        <f>IF(AO40="1",BG40,0)</f>
        <v>0</v>
      </c>
      <c r="AB40" s="36">
        <f>IF(AO40="7",BF40,0)</f>
        <v>0</v>
      </c>
      <c r="AC40" s="36">
        <f>IF(AO40="7",BG40,0)</f>
        <v>0</v>
      </c>
      <c r="AD40" s="36">
        <f>IF(AO40="2",BF40,0)</f>
        <v>0</v>
      </c>
      <c r="AE40" s="36">
        <f>IF(AO40="2",BG40,0)</f>
        <v>0</v>
      </c>
      <c r="AF40" s="36">
        <f>IF(AO40="0",BH40,0)</f>
        <v>0</v>
      </c>
      <c r="AG40" s="28" t="s">
        <v>158</v>
      </c>
      <c r="AH40" s="20">
        <f>IF(AL40=0,H40,0)</f>
        <v>0</v>
      </c>
      <c r="AI40" s="20">
        <f>IF(AL40=15,H40,0)</f>
        <v>0</v>
      </c>
      <c r="AJ40" s="20">
        <f>IF(AL40=21,H40,0)</f>
        <v>0</v>
      </c>
      <c r="AL40" s="36">
        <v>21</v>
      </c>
      <c r="AM40" s="36">
        <f>G40*0</f>
        <v>0</v>
      </c>
      <c r="AN40" s="36">
        <f>G40*(1-0)</f>
        <v>0</v>
      </c>
      <c r="AO40" s="32" t="s">
        <v>7</v>
      </c>
      <c r="AT40" s="36">
        <f>AU40+AV40</f>
        <v>0</v>
      </c>
      <c r="AU40" s="36">
        <f>F40*AM40</f>
        <v>0</v>
      </c>
      <c r="AV40" s="36">
        <f>F40*AN40</f>
        <v>0</v>
      </c>
      <c r="AW40" s="37" t="s">
        <v>666</v>
      </c>
      <c r="AX40" s="37" t="s">
        <v>691</v>
      </c>
      <c r="AY40" s="28" t="s">
        <v>705</v>
      </c>
      <c r="BA40" s="36">
        <f>AU40+AV40</f>
        <v>0</v>
      </c>
      <c r="BB40" s="36">
        <f>G40/(100-BC40)*100</f>
        <v>0</v>
      </c>
      <c r="BC40" s="36">
        <v>0</v>
      </c>
      <c r="BD40" s="36">
        <f>J40</f>
        <v>0</v>
      </c>
      <c r="BF40" s="20">
        <f>F40*AM40</f>
        <v>0</v>
      </c>
      <c r="BG40" s="20">
        <f>F40*AN40</f>
        <v>0</v>
      </c>
      <c r="BH40" s="20">
        <f>F40*G40</f>
        <v>0</v>
      </c>
    </row>
    <row r="41" spans="1:11" ht="12.75">
      <c r="A41" s="65"/>
      <c r="B41" s="65"/>
      <c r="C41" s="65"/>
      <c r="D41" s="66" t="s">
        <v>331</v>
      </c>
      <c r="E41" s="65"/>
      <c r="F41" s="69">
        <v>10.611</v>
      </c>
      <c r="G41" s="65"/>
      <c r="H41" s="65"/>
      <c r="I41" s="83"/>
      <c r="J41" s="83"/>
      <c r="K41" s="63"/>
    </row>
    <row r="42" spans="1:45" ht="12.75">
      <c r="A42" s="4"/>
      <c r="B42" s="14" t="s">
        <v>158</v>
      </c>
      <c r="C42" s="14" t="s">
        <v>22</v>
      </c>
      <c r="D42" s="14" t="s">
        <v>332</v>
      </c>
      <c r="E42" s="4" t="s">
        <v>6</v>
      </c>
      <c r="F42" s="4" t="s">
        <v>6</v>
      </c>
      <c r="G42" s="4"/>
      <c r="H42" s="39">
        <f>SUM(H43:H49)</f>
        <v>0</v>
      </c>
      <c r="I42" s="80"/>
      <c r="J42" s="80">
        <f>SUM(J43:J49)</f>
        <v>0</v>
      </c>
      <c r="K42" s="28"/>
      <c r="AG42" s="28" t="s">
        <v>158</v>
      </c>
      <c r="AQ42" s="39">
        <f>SUM(AH43:AH49)</f>
        <v>0</v>
      </c>
      <c r="AR42" s="39">
        <f>SUM(AI43:AI49)</f>
        <v>0</v>
      </c>
      <c r="AS42" s="39">
        <f>SUM(AJ43:AJ49)</f>
        <v>0</v>
      </c>
    </row>
    <row r="43" spans="1:60" ht="12.75">
      <c r="A43" s="64" t="s">
        <v>18</v>
      </c>
      <c r="B43" s="64" t="s">
        <v>158</v>
      </c>
      <c r="C43" s="64" t="s">
        <v>172</v>
      </c>
      <c r="D43" s="64" t="s">
        <v>333</v>
      </c>
      <c r="E43" s="64" t="s">
        <v>630</v>
      </c>
      <c r="F43" s="67">
        <v>374.665</v>
      </c>
      <c r="G43" s="68"/>
      <c r="H43" s="100">
        <f>F43*G43</f>
        <v>0</v>
      </c>
      <c r="I43" s="81">
        <v>0</v>
      </c>
      <c r="J43" s="81">
        <f>F43*I43</f>
        <v>0</v>
      </c>
      <c r="K43" s="61" t="s">
        <v>653</v>
      </c>
      <c r="X43" s="36">
        <f>IF(AO43="5",BH43,0)</f>
        <v>0</v>
      </c>
      <c r="Z43" s="36">
        <f>IF(AO43="1",BF43,0)</f>
        <v>0</v>
      </c>
      <c r="AA43" s="36">
        <f>IF(AO43="1",BG43,0)</f>
        <v>0</v>
      </c>
      <c r="AB43" s="36">
        <f>IF(AO43="7",BF43,0)</f>
        <v>0</v>
      </c>
      <c r="AC43" s="36">
        <f>IF(AO43="7",BG43,0)</f>
        <v>0</v>
      </c>
      <c r="AD43" s="36">
        <f>IF(AO43="2",BF43,0)</f>
        <v>0</v>
      </c>
      <c r="AE43" s="36">
        <f>IF(AO43="2",BG43,0)</f>
        <v>0</v>
      </c>
      <c r="AF43" s="36">
        <f>IF(AO43="0",BH43,0)</f>
        <v>0</v>
      </c>
      <c r="AG43" s="28" t="s">
        <v>158</v>
      </c>
      <c r="AH43" s="20">
        <f>IF(AL43=0,H43,0)</f>
        <v>0</v>
      </c>
      <c r="AI43" s="20">
        <f>IF(AL43=15,H43,0)</f>
        <v>0</v>
      </c>
      <c r="AJ43" s="20">
        <f>IF(AL43=21,H43,0)</f>
        <v>0</v>
      </c>
      <c r="AL43" s="36">
        <v>21</v>
      </c>
      <c r="AM43" s="36">
        <f>G43*0</f>
        <v>0</v>
      </c>
      <c r="AN43" s="36">
        <f>G43*(1-0)</f>
        <v>0</v>
      </c>
      <c r="AO43" s="32" t="s">
        <v>7</v>
      </c>
      <c r="AT43" s="36">
        <f>AU43+AV43</f>
        <v>0</v>
      </c>
      <c r="AU43" s="36">
        <f>F43*AM43</f>
        <v>0</v>
      </c>
      <c r="AV43" s="36">
        <f>F43*AN43</f>
        <v>0</v>
      </c>
      <c r="AW43" s="37" t="s">
        <v>667</v>
      </c>
      <c r="AX43" s="37" t="s">
        <v>691</v>
      </c>
      <c r="AY43" s="28" t="s">
        <v>705</v>
      </c>
      <c r="BA43" s="36">
        <f>AU43+AV43</f>
        <v>0</v>
      </c>
      <c r="BB43" s="36">
        <f>G43/(100-BC43)*100</f>
        <v>0</v>
      </c>
      <c r="BC43" s="36">
        <v>0</v>
      </c>
      <c r="BD43" s="36">
        <f>J43</f>
        <v>0</v>
      </c>
      <c r="BF43" s="20">
        <f>F43*AM43</f>
        <v>0</v>
      </c>
      <c r="BG43" s="20">
        <f>F43*AN43</f>
        <v>0</v>
      </c>
      <c r="BH43" s="20">
        <f>F43*G43</f>
        <v>0</v>
      </c>
    </row>
    <row r="44" spans="1:11" ht="12.75">
      <c r="A44" s="70"/>
      <c r="B44" s="70"/>
      <c r="C44" s="70"/>
      <c r="D44" s="71" t="s">
        <v>334</v>
      </c>
      <c r="E44" s="70"/>
      <c r="F44" s="72">
        <v>374.665</v>
      </c>
      <c r="G44" s="70"/>
      <c r="H44" s="101"/>
      <c r="I44" s="82"/>
      <c r="J44" s="82"/>
      <c r="K44" s="62"/>
    </row>
    <row r="45" spans="1:60" ht="12.75">
      <c r="A45" s="64" t="s">
        <v>19</v>
      </c>
      <c r="B45" s="64" t="s">
        <v>158</v>
      </c>
      <c r="C45" s="64" t="s">
        <v>173</v>
      </c>
      <c r="D45" s="64" t="s">
        <v>335</v>
      </c>
      <c r="E45" s="64" t="s">
        <v>630</v>
      </c>
      <c r="F45" s="67">
        <v>424.426</v>
      </c>
      <c r="G45" s="68"/>
      <c r="H45" s="100">
        <f>F45*G45</f>
        <v>0</v>
      </c>
      <c r="I45" s="81">
        <v>0</v>
      </c>
      <c r="J45" s="81">
        <f>F45*I45</f>
        <v>0</v>
      </c>
      <c r="K45" s="61" t="s">
        <v>653</v>
      </c>
      <c r="X45" s="36">
        <f>IF(AO45="5",BH45,0)</f>
        <v>0</v>
      </c>
      <c r="Z45" s="36">
        <f>IF(AO45="1",BF45,0)</f>
        <v>0</v>
      </c>
      <c r="AA45" s="36">
        <f>IF(AO45="1",BG45,0)</f>
        <v>0</v>
      </c>
      <c r="AB45" s="36">
        <f>IF(AO45="7",BF45,0)</f>
        <v>0</v>
      </c>
      <c r="AC45" s="36">
        <f>IF(AO45="7",BG45,0)</f>
        <v>0</v>
      </c>
      <c r="AD45" s="36">
        <f>IF(AO45="2",BF45,0)</f>
        <v>0</v>
      </c>
      <c r="AE45" s="36">
        <f>IF(AO45="2",BG45,0)</f>
        <v>0</v>
      </c>
      <c r="AF45" s="36">
        <f>IF(AO45="0",BH45,0)</f>
        <v>0</v>
      </c>
      <c r="AG45" s="28" t="s">
        <v>158</v>
      </c>
      <c r="AH45" s="20">
        <f>IF(AL45=0,H45,0)</f>
        <v>0</v>
      </c>
      <c r="AI45" s="20">
        <f>IF(AL45=15,H45,0)</f>
        <v>0</v>
      </c>
      <c r="AJ45" s="20">
        <f>IF(AL45=21,H45,0)</f>
        <v>0</v>
      </c>
      <c r="AL45" s="36">
        <v>21</v>
      </c>
      <c r="AM45" s="36">
        <f>G45*0</f>
        <v>0</v>
      </c>
      <c r="AN45" s="36">
        <f>G45*(1-0)</f>
        <v>0</v>
      </c>
      <c r="AO45" s="32" t="s">
        <v>7</v>
      </c>
      <c r="AT45" s="36">
        <f>AU45+AV45</f>
        <v>0</v>
      </c>
      <c r="AU45" s="36">
        <f>F45*AM45</f>
        <v>0</v>
      </c>
      <c r="AV45" s="36">
        <f>F45*AN45</f>
        <v>0</v>
      </c>
      <c r="AW45" s="37" t="s">
        <v>667</v>
      </c>
      <c r="AX45" s="37" t="s">
        <v>691</v>
      </c>
      <c r="AY45" s="28" t="s">
        <v>705</v>
      </c>
      <c r="BA45" s="36">
        <f>AU45+AV45</f>
        <v>0</v>
      </c>
      <c r="BB45" s="36">
        <f>G45/(100-BC45)*100</f>
        <v>0</v>
      </c>
      <c r="BC45" s="36">
        <v>0</v>
      </c>
      <c r="BD45" s="36">
        <f>J45</f>
        <v>0</v>
      </c>
      <c r="BF45" s="20">
        <f>F45*AM45</f>
        <v>0</v>
      </c>
      <c r="BG45" s="20">
        <f>F45*AN45</f>
        <v>0</v>
      </c>
      <c r="BH45" s="20">
        <f>F45*G45</f>
        <v>0</v>
      </c>
    </row>
    <row r="46" spans="1:11" ht="12.75">
      <c r="A46" s="70"/>
      <c r="B46" s="70"/>
      <c r="C46" s="70"/>
      <c r="D46" s="71" t="s">
        <v>336</v>
      </c>
      <c r="E46" s="70"/>
      <c r="F46" s="72">
        <v>424.426</v>
      </c>
      <c r="G46" s="70"/>
      <c r="H46" s="101"/>
      <c r="I46" s="82"/>
      <c r="J46" s="82"/>
      <c r="K46" s="62"/>
    </row>
    <row r="47" spans="1:60" ht="12.75">
      <c r="A47" s="64" t="s">
        <v>20</v>
      </c>
      <c r="B47" s="64" t="s">
        <v>158</v>
      </c>
      <c r="C47" s="64" t="s">
        <v>174</v>
      </c>
      <c r="D47" s="64" t="s">
        <v>337</v>
      </c>
      <c r="E47" s="64" t="s">
        <v>630</v>
      </c>
      <c r="F47" s="67">
        <v>49.761</v>
      </c>
      <c r="G47" s="68"/>
      <c r="H47" s="100">
        <f>F47*G47</f>
        <v>0</v>
      </c>
      <c r="I47" s="81">
        <v>0</v>
      </c>
      <c r="J47" s="81">
        <f>F47*I47</f>
        <v>0</v>
      </c>
      <c r="K47" s="61" t="s">
        <v>653</v>
      </c>
      <c r="X47" s="36">
        <f>IF(AO47="5",BH47,0)</f>
        <v>0</v>
      </c>
      <c r="Z47" s="36">
        <f>IF(AO47="1",BF47,0)</f>
        <v>0</v>
      </c>
      <c r="AA47" s="36">
        <f>IF(AO47="1",BG47,0)</f>
        <v>0</v>
      </c>
      <c r="AB47" s="36">
        <f>IF(AO47="7",BF47,0)</f>
        <v>0</v>
      </c>
      <c r="AC47" s="36">
        <f>IF(AO47="7",BG47,0)</f>
        <v>0</v>
      </c>
      <c r="AD47" s="36">
        <f>IF(AO47="2",BF47,0)</f>
        <v>0</v>
      </c>
      <c r="AE47" s="36">
        <f>IF(AO47="2",BG47,0)</f>
        <v>0</v>
      </c>
      <c r="AF47" s="36">
        <f>IF(AO47="0",BH47,0)</f>
        <v>0</v>
      </c>
      <c r="AG47" s="28" t="s">
        <v>158</v>
      </c>
      <c r="AH47" s="20">
        <f>IF(AL47=0,H47,0)</f>
        <v>0</v>
      </c>
      <c r="AI47" s="20">
        <f>IF(AL47=15,H47,0)</f>
        <v>0</v>
      </c>
      <c r="AJ47" s="20">
        <f>IF(AL47=21,H47,0)</f>
        <v>0</v>
      </c>
      <c r="AL47" s="36">
        <v>21</v>
      </c>
      <c r="AM47" s="36">
        <f>G47*0</f>
        <v>0</v>
      </c>
      <c r="AN47" s="36">
        <f>G47*(1-0)</f>
        <v>0</v>
      </c>
      <c r="AO47" s="32" t="s">
        <v>7</v>
      </c>
      <c r="AT47" s="36">
        <f>AU47+AV47</f>
        <v>0</v>
      </c>
      <c r="AU47" s="36">
        <f>F47*AM47</f>
        <v>0</v>
      </c>
      <c r="AV47" s="36">
        <f>F47*AN47</f>
        <v>0</v>
      </c>
      <c r="AW47" s="37" t="s">
        <v>667</v>
      </c>
      <c r="AX47" s="37" t="s">
        <v>691</v>
      </c>
      <c r="AY47" s="28" t="s">
        <v>705</v>
      </c>
      <c r="BA47" s="36">
        <f>AU47+AV47</f>
        <v>0</v>
      </c>
      <c r="BB47" s="36">
        <f>G47/(100-BC47)*100</f>
        <v>0</v>
      </c>
      <c r="BC47" s="36">
        <v>0</v>
      </c>
      <c r="BD47" s="36">
        <f>J47</f>
        <v>0</v>
      </c>
      <c r="BF47" s="20">
        <f>F47*AM47</f>
        <v>0</v>
      </c>
      <c r="BG47" s="20">
        <f>F47*AN47</f>
        <v>0</v>
      </c>
      <c r="BH47" s="20">
        <f>F47*G47</f>
        <v>0</v>
      </c>
    </row>
    <row r="48" spans="1:11" ht="12.75">
      <c r="A48" s="70"/>
      <c r="B48" s="70"/>
      <c r="C48" s="70"/>
      <c r="D48" s="71" t="s">
        <v>338</v>
      </c>
      <c r="E48" s="70"/>
      <c r="F48" s="72">
        <v>49.761</v>
      </c>
      <c r="G48" s="70"/>
      <c r="H48" s="101"/>
      <c r="I48" s="82"/>
      <c r="J48" s="82"/>
      <c r="K48" s="62"/>
    </row>
    <row r="49" spans="1:60" ht="12.75">
      <c r="A49" s="64" t="s">
        <v>21</v>
      </c>
      <c r="B49" s="64" t="s">
        <v>158</v>
      </c>
      <c r="C49" s="64" t="s">
        <v>175</v>
      </c>
      <c r="D49" s="64" t="s">
        <v>339</v>
      </c>
      <c r="E49" s="64" t="s">
        <v>630</v>
      </c>
      <c r="F49" s="67">
        <v>497.61</v>
      </c>
      <c r="G49" s="68"/>
      <c r="H49" s="100">
        <f>F49*G49</f>
        <v>0</v>
      </c>
      <c r="I49" s="81">
        <v>0</v>
      </c>
      <c r="J49" s="81">
        <f>F49*I49</f>
        <v>0</v>
      </c>
      <c r="K49" s="61" t="s">
        <v>653</v>
      </c>
      <c r="X49" s="36">
        <f>IF(AO49="5",BH49,0)</f>
        <v>0</v>
      </c>
      <c r="Z49" s="36">
        <f>IF(AO49="1",BF49,0)</f>
        <v>0</v>
      </c>
      <c r="AA49" s="36">
        <f>IF(AO49="1",BG49,0)</f>
        <v>0</v>
      </c>
      <c r="AB49" s="36">
        <f>IF(AO49="7",BF49,0)</f>
        <v>0</v>
      </c>
      <c r="AC49" s="36">
        <f>IF(AO49="7",BG49,0)</f>
        <v>0</v>
      </c>
      <c r="AD49" s="36">
        <f>IF(AO49="2",BF49,0)</f>
        <v>0</v>
      </c>
      <c r="AE49" s="36">
        <f>IF(AO49="2",BG49,0)</f>
        <v>0</v>
      </c>
      <c r="AF49" s="36">
        <f>IF(AO49="0",BH49,0)</f>
        <v>0</v>
      </c>
      <c r="AG49" s="28" t="s">
        <v>158</v>
      </c>
      <c r="AH49" s="20">
        <f>IF(AL49=0,H49,0)</f>
        <v>0</v>
      </c>
      <c r="AI49" s="20">
        <f>IF(AL49=15,H49,0)</f>
        <v>0</v>
      </c>
      <c r="AJ49" s="20">
        <f>IF(AL49=21,H49,0)</f>
        <v>0</v>
      </c>
      <c r="AL49" s="36">
        <v>21</v>
      </c>
      <c r="AM49" s="36">
        <f>G49*0</f>
        <v>0</v>
      </c>
      <c r="AN49" s="36">
        <f>G49*(1-0)</f>
        <v>0</v>
      </c>
      <c r="AO49" s="32" t="s">
        <v>7</v>
      </c>
      <c r="AT49" s="36">
        <f>AU49+AV49</f>
        <v>0</v>
      </c>
      <c r="AU49" s="36">
        <f>F49*AM49</f>
        <v>0</v>
      </c>
      <c r="AV49" s="36">
        <f>F49*AN49</f>
        <v>0</v>
      </c>
      <c r="AW49" s="37" t="s">
        <v>667</v>
      </c>
      <c r="AX49" s="37" t="s">
        <v>691</v>
      </c>
      <c r="AY49" s="28" t="s">
        <v>705</v>
      </c>
      <c r="BA49" s="36">
        <f>AU49+AV49</f>
        <v>0</v>
      </c>
      <c r="BB49" s="36">
        <f>G49/(100-BC49)*100</f>
        <v>0</v>
      </c>
      <c r="BC49" s="36">
        <v>0</v>
      </c>
      <c r="BD49" s="36">
        <f>J49</f>
        <v>0</v>
      </c>
      <c r="BF49" s="20">
        <f>F49*AM49</f>
        <v>0</v>
      </c>
      <c r="BG49" s="20">
        <f>F49*AN49</f>
        <v>0</v>
      </c>
      <c r="BH49" s="20">
        <f>F49*G49</f>
        <v>0</v>
      </c>
    </row>
    <row r="50" spans="1:11" ht="12.75">
      <c r="A50" s="65"/>
      <c r="B50" s="65"/>
      <c r="C50" s="65"/>
      <c r="D50" s="66" t="s">
        <v>340</v>
      </c>
      <c r="E50" s="65"/>
      <c r="F50" s="69">
        <v>497.61</v>
      </c>
      <c r="G50" s="65"/>
      <c r="H50" s="65"/>
      <c r="I50" s="83"/>
      <c r="J50" s="83"/>
      <c r="K50" s="63"/>
    </row>
    <row r="51" spans="1:45" ht="12.75">
      <c r="A51" s="4"/>
      <c r="B51" s="14" t="s">
        <v>158</v>
      </c>
      <c r="C51" s="14" t="s">
        <v>23</v>
      </c>
      <c r="D51" s="14" t="s">
        <v>341</v>
      </c>
      <c r="E51" s="4" t="s">
        <v>6</v>
      </c>
      <c r="F51" s="4" t="s">
        <v>6</v>
      </c>
      <c r="G51" s="4"/>
      <c r="H51" s="39">
        <f>SUM(H52:H59)</f>
        <v>0</v>
      </c>
      <c r="I51" s="80"/>
      <c r="J51" s="80">
        <f>SUM(J52:J59)</f>
        <v>0</v>
      </c>
      <c r="K51" s="28"/>
      <c r="AG51" s="28" t="s">
        <v>158</v>
      </c>
      <c r="AQ51" s="39">
        <f>SUM(AH52:AH59)</f>
        <v>0</v>
      </c>
      <c r="AR51" s="39">
        <f>SUM(AI52:AI59)</f>
        <v>0</v>
      </c>
      <c r="AS51" s="39">
        <f>SUM(AJ52:AJ59)</f>
        <v>0</v>
      </c>
    </row>
    <row r="52" spans="1:60" ht="12.75">
      <c r="A52" s="64" t="s">
        <v>22</v>
      </c>
      <c r="B52" s="64" t="s">
        <v>158</v>
      </c>
      <c r="C52" s="64" t="s">
        <v>176</v>
      </c>
      <c r="D52" s="64" t="s">
        <v>342</v>
      </c>
      <c r="E52" s="64" t="s">
        <v>630</v>
      </c>
      <c r="F52" s="67">
        <v>261.974</v>
      </c>
      <c r="G52" s="68"/>
      <c r="H52" s="100">
        <f>F52*G52</f>
        <v>0</v>
      </c>
      <c r="I52" s="81">
        <v>0</v>
      </c>
      <c r="J52" s="81">
        <f>F52*I52</f>
        <v>0</v>
      </c>
      <c r="K52" s="61" t="s">
        <v>653</v>
      </c>
      <c r="X52" s="36">
        <f>IF(AO52="5",BH52,0)</f>
        <v>0</v>
      </c>
      <c r="Z52" s="36">
        <f>IF(AO52="1",BF52,0)</f>
        <v>0</v>
      </c>
      <c r="AA52" s="36">
        <f>IF(AO52="1",BG52,0)</f>
        <v>0</v>
      </c>
      <c r="AB52" s="36">
        <f>IF(AO52="7",BF52,0)</f>
        <v>0</v>
      </c>
      <c r="AC52" s="36">
        <f>IF(AO52="7",BG52,0)</f>
        <v>0</v>
      </c>
      <c r="AD52" s="36">
        <f>IF(AO52="2",BF52,0)</f>
        <v>0</v>
      </c>
      <c r="AE52" s="36">
        <f>IF(AO52="2",BG52,0)</f>
        <v>0</v>
      </c>
      <c r="AF52" s="36">
        <f>IF(AO52="0",BH52,0)</f>
        <v>0</v>
      </c>
      <c r="AG52" s="28" t="s">
        <v>158</v>
      </c>
      <c r="AH52" s="20">
        <f>IF(AL52=0,H52,0)</f>
        <v>0</v>
      </c>
      <c r="AI52" s="20">
        <f>IF(AL52=15,H52,0)</f>
        <v>0</v>
      </c>
      <c r="AJ52" s="20">
        <f>IF(AL52=21,H52,0)</f>
        <v>0</v>
      </c>
      <c r="AL52" s="36">
        <v>21</v>
      </c>
      <c r="AM52" s="36">
        <f>G52*0</f>
        <v>0</v>
      </c>
      <c r="AN52" s="36">
        <f>G52*(1-0)</f>
        <v>0</v>
      </c>
      <c r="AO52" s="32" t="s">
        <v>7</v>
      </c>
      <c r="AT52" s="36">
        <f>AU52+AV52</f>
        <v>0</v>
      </c>
      <c r="AU52" s="36">
        <f>F52*AM52</f>
        <v>0</v>
      </c>
      <c r="AV52" s="36">
        <f>F52*AN52</f>
        <v>0</v>
      </c>
      <c r="AW52" s="37" t="s">
        <v>668</v>
      </c>
      <c r="AX52" s="37" t="s">
        <v>691</v>
      </c>
      <c r="AY52" s="28" t="s">
        <v>705</v>
      </c>
      <c r="BA52" s="36">
        <f>AU52+AV52</f>
        <v>0</v>
      </c>
      <c r="BB52" s="36">
        <f>G52/(100-BC52)*100</f>
        <v>0</v>
      </c>
      <c r="BC52" s="36">
        <v>0</v>
      </c>
      <c r="BD52" s="36">
        <f>J52</f>
        <v>0</v>
      </c>
      <c r="BF52" s="20">
        <f>F52*AM52</f>
        <v>0</v>
      </c>
      <c r="BG52" s="20">
        <f>F52*AN52</f>
        <v>0</v>
      </c>
      <c r="BH52" s="20">
        <f>F52*G52</f>
        <v>0</v>
      </c>
    </row>
    <row r="53" spans="1:11" ht="12.75">
      <c r="A53" s="70"/>
      <c r="B53" s="70"/>
      <c r="C53" s="70"/>
      <c r="D53" s="71" t="s">
        <v>343</v>
      </c>
      <c r="E53" s="70"/>
      <c r="F53" s="72">
        <v>212.213</v>
      </c>
      <c r="G53" s="70"/>
      <c r="H53" s="101"/>
      <c r="I53" s="82"/>
      <c r="J53" s="82"/>
      <c r="K53" s="62"/>
    </row>
    <row r="54" spans="1:11" ht="12.75">
      <c r="A54" s="70"/>
      <c r="B54" s="70"/>
      <c r="C54" s="70"/>
      <c r="D54" s="71" t="s">
        <v>344</v>
      </c>
      <c r="E54" s="70"/>
      <c r="F54" s="72">
        <v>49.761</v>
      </c>
      <c r="G54" s="70"/>
      <c r="H54" s="101"/>
      <c r="I54" s="82"/>
      <c r="J54" s="82"/>
      <c r="K54" s="62"/>
    </row>
    <row r="55" spans="1:60" ht="12.75">
      <c r="A55" s="64" t="s">
        <v>23</v>
      </c>
      <c r="B55" s="64" t="s">
        <v>158</v>
      </c>
      <c r="C55" s="64" t="s">
        <v>177</v>
      </c>
      <c r="D55" s="64" t="s">
        <v>345</v>
      </c>
      <c r="E55" s="64" t="s">
        <v>630</v>
      </c>
      <c r="F55" s="67">
        <v>162.452</v>
      </c>
      <c r="G55" s="68"/>
      <c r="H55" s="100">
        <f>F55*G55</f>
        <v>0</v>
      </c>
      <c r="I55" s="81">
        <v>0</v>
      </c>
      <c r="J55" s="81">
        <f>F55*I55</f>
        <v>0</v>
      </c>
      <c r="K55" s="61" t="s">
        <v>653</v>
      </c>
      <c r="X55" s="36">
        <f>IF(AO55="5",BH55,0)</f>
        <v>0</v>
      </c>
      <c r="Z55" s="36">
        <f>IF(AO55="1",BF55,0)</f>
        <v>0</v>
      </c>
      <c r="AA55" s="36">
        <f>IF(AO55="1",BG55,0)</f>
        <v>0</v>
      </c>
      <c r="AB55" s="36">
        <f>IF(AO55="7",BF55,0)</f>
        <v>0</v>
      </c>
      <c r="AC55" s="36">
        <f>IF(AO55="7",BG55,0)</f>
        <v>0</v>
      </c>
      <c r="AD55" s="36">
        <f>IF(AO55="2",BF55,0)</f>
        <v>0</v>
      </c>
      <c r="AE55" s="36">
        <f>IF(AO55="2",BG55,0)</f>
        <v>0</v>
      </c>
      <c r="AF55" s="36">
        <f>IF(AO55="0",BH55,0)</f>
        <v>0</v>
      </c>
      <c r="AG55" s="28" t="s">
        <v>158</v>
      </c>
      <c r="AH55" s="20">
        <f>IF(AL55=0,H55,0)</f>
        <v>0</v>
      </c>
      <c r="AI55" s="20">
        <f>IF(AL55=15,H55,0)</f>
        <v>0</v>
      </c>
      <c r="AJ55" s="20">
        <f>IF(AL55=21,H55,0)</f>
        <v>0</v>
      </c>
      <c r="AL55" s="36">
        <v>21</v>
      </c>
      <c r="AM55" s="36">
        <f>G55*0</f>
        <v>0</v>
      </c>
      <c r="AN55" s="36">
        <f>G55*(1-0)</f>
        <v>0</v>
      </c>
      <c r="AO55" s="32" t="s">
        <v>7</v>
      </c>
      <c r="AT55" s="36">
        <f>AU55+AV55</f>
        <v>0</v>
      </c>
      <c r="AU55" s="36">
        <f>F55*AM55</f>
        <v>0</v>
      </c>
      <c r="AV55" s="36">
        <f>F55*AN55</f>
        <v>0</v>
      </c>
      <c r="AW55" s="37" t="s">
        <v>668</v>
      </c>
      <c r="AX55" s="37" t="s">
        <v>691</v>
      </c>
      <c r="AY55" s="28" t="s">
        <v>705</v>
      </c>
      <c r="BA55" s="36">
        <f>AU55+AV55</f>
        <v>0</v>
      </c>
      <c r="BB55" s="36">
        <f>G55/(100-BC55)*100</f>
        <v>0</v>
      </c>
      <c r="BC55" s="36">
        <v>0</v>
      </c>
      <c r="BD55" s="36">
        <f>J55</f>
        <v>0</v>
      </c>
      <c r="BF55" s="20">
        <f>F55*AM55</f>
        <v>0</v>
      </c>
      <c r="BG55" s="20">
        <f>F55*AN55</f>
        <v>0</v>
      </c>
      <c r="BH55" s="20">
        <f>F55*G55</f>
        <v>0</v>
      </c>
    </row>
    <row r="56" spans="1:11" ht="12.75">
      <c r="A56" s="70"/>
      <c r="B56" s="70"/>
      <c r="C56" s="70"/>
      <c r="D56" s="71" t="s">
        <v>346</v>
      </c>
      <c r="E56" s="70"/>
      <c r="F56" s="72">
        <v>111.673</v>
      </c>
      <c r="G56" s="70"/>
      <c r="H56" s="101"/>
      <c r="I56" s="82"/>
      <c r="J56" s="82"/>
      <c r="K56" s="62"/>
    </row>
    <row r="57" spans="1:11" ht="12.75">
      <c r="A57" s="70"/>
      <c r="B57" s="70"/>
      <c r="C57" s="70"/>
      <c r="D57" s="71" t="s">
        <v>347</v>
      </c>
      <c r="E57" s="70"/>
      <c r="F57" s="72">
        <v>45.401</v>
      </c>
      <c r="G57" s="70"/>
      <c r="H57" s="101"/>
      <c r="I57" s="82"/>
      <c r="J57" s="82"/>
      <c r="K57" s="62"/>
    </row>
    <row r="58" spans="1:11" ht="12.75">
      <c r="A58" s="70"/>
      <c r="B58" s="70"/>
      <c r="C58" s="70"/>
      <c r="D58" s="71" t="s">
        <v>348</v>
      </c>
      <c r="E58" s="70"/>
      <c r="F58" s="72">
        <v>5.378</v>
      </c>
      <c r="G58" s="70"/>
      <c r="H58" s="101"/>
      <c r="I58" s="82"/>
      <c r="J58" s="82"/>
      <c r="K58" s="62"/>
    </row>
    <row r="59" spans="1:60" ht="12.75">
      <c r="A59" s="64" t="s">
        <v>24</v>
      </c>
      <c r="B59" s="64" t="s">
        <v>158</v>
      </c>
      <c r="C59" s="64" t="s">
        <v>178</v>
      </c>
      <c r="D59" s="64" t="s">
        <v>349</v>
      </c>
      <c r="E59" s="64" t="s">
        <v>630</v>
      </c>
      <c r="F59" s="67">
        <v>162.452</v>
      </c>
      <c r="G59" s="68"/>
      <c r="H59" s="100">
        <f>F59*G59</f>
        <v>0</v>
      </c>
      <c r="I59" s="81">
        <v>0</v>
      </c>
      <c r="J59" s="81">
        <f>F59*I59</f>
        <v>0</v>
      </c>
      <c r="K59" s="61" t="s">
        <v>653</v>
      </c>
      <c r="X59" s="36">
        <f>IF(AO59="5",BH59,0)</f>
        <v>0</v>
      </c>
      <c r="Z59" s="36">
        <f>IF(AO59="1",BF59,0)</f>
        <v>0</v>
      </c>
      <c r="AA59" s="36">
        <f>IF(AO59="1",BG59,0)</f>
        <v>0</v>
      </c>
      <c r="AB59" s="36">
        <f>IF(AO59="7",BF59,0)</f>
        <v>0</v>
      </c>
      <c r="AC59" s="36">
        <f>IF(AO59="7",BG59,0)</f>
        <v>0</v>
      </c>
      <c r="AD59" s="36">
        <f>IF(AO59="2",BF59,0)</f>
        <v>0</v>
      </c>
      <c r="AE59" s="36">
        <f>IF(AO59="2",BG59,0)</f>
        <v>0</v>
      </c>
      <c r="AF59" s="36">
        <f>IF(AO59="0",BH59,0)</f>
        <v>0</v>
      </c>
      <c r="AG59" s="28" t="s">
        <v>158</v>
      </c>
      <c r="AH59" s="20">
        <f>IF(AL59=0,H59,0)</f>
        <v>0</v>
      </c>
      <c r="AI59" s="20">
        <f>IF(AL59=15,H59,0)</f>
        <v>0</v>
      </c>
      <c r="AJ59" s="20">
        <f>IF(AL59=21,H59,0)</f>
        <v>0</v>
      </c>
      <c r="AL59" s="36">
        <v>21</v>
      </c>
      <c r="AM59" s="36">
        <f>G59*0</f>
        <v>0</v>
      </c>
      <c r="AN59" s="36">
        <f>G59*(1-0)</f>
        <v>0</v>
      </c>
      <c r="AO59" s="32" t="s">
        <v>7</v>
      </c>
      <c r="AT59" s="36">
        <f>AU59+AV59</f>
        <v>0</v>
      </c>
      <c r="AU59" s="36">
        <f>F59*AM59</f>
        <v>0</v>
      </c>
      <c r="AV59" s="36">
        <f>F59*AN59</f>
        <v>0</v>
      </c>
      <c r="AW59" s="37" t="s">
        <v>668</v>
      </c>
      <c r="AX59" s="37" t="s">
        <v>691</v>
      </c>
      <c r="AY59" s="28" t="s">
        <v>705</v>
      </c>
      <c r="BA59" s="36">
        <f>AU59+AV59</f>
        <v>0</v>
      </c>
      <c r="BB59" s="36">
        <f>G59/(100-BC59)*100</f>
        <v>0</v>
      </c>
      <c r="BC59" s="36">
        <v>0</v>
      </c>
      <c r="BD59" s="36">
        <f>J59</f>
        <v>0</v>
      </c>
      <c r="BF59" s="20">
        <f>F59*AM59</f>
        <v>0</v>
      </c>
      <c r="BG59" s="20">
        <f>F59*AN59</f>
        <v>0</v>
      </c>
      <c r="BH59" s="20">
        <f>F59*G59</f>
        <v>0</v>
      </c>
    </row>
    <row r="60" spans="1:11" ht="12.75">
      <c r="A60" s="70"/>
      <c r="B60" s="70"/>
      <c r="C60" s="70"/>
      <c r="D60" s="71" t="s">
        <v>346</v>
      </c>
      <c r="E60" s="70"/>
      <c r="F60" s="72">
        <v>111.673</v>
      </c>
      <c r="G60" s="70"/>
      <c r="H60" s="101"/>
      <c r="I60" s="82"/>
      <c r="J60" s="82"/>
      <c r="K60" s="62"/>
    </row>
    <row r="61" spans="1:11" ht="12.75">
      <c r="A61" s="70"/>
      <c r="B61" s="70"/>
      <c r="C61" s="70"/>
      <c r="D61" s="71" t="s">
        <v>347</v>
      </c>
      <c r="E61" s="70"/>
      <c r="F61" s="72">
        <v>45.401</v>
      </c>
      <c r="G61" s="70"/>
      <c r="H61" s="70"/>
      <c r="I61" s="82"/>
      <c r="J61" s="82"/>
      <c r="K61" s="62"/>
    </row>
    <row r="62" spans="1:11" ht="12.75">
      <c r="A62" s="65"/>
      <c r="B62" s="65"/>
      <c r="C62" s="65"/>
      <c r="D62" s="66" t="s">
        <v>348</v>
      </c>
      <c r="E62" s="65"/>
      <c r="F62" s="69">
        <v>5.378</v>
      </c>
      <c r="G62" s="65"/>
      <c r="H62" s="65"/>
      <c r="I62" s="83"/>
      <c r="J62" s="83"/>
      <c r="K62" s="63"/>
    </row>
    <row r="63" spans="1:45" ht="12.75">
      <c r="A63" s="4"/>
      <c r="B63" s="14" t="s">
        <v>158</v>
      </c>
      <c r="C63" s="14" t="s">
        <v>25</v>
      </c>
      <c r="D63" s="14" t="s">
        <v>350</v>
      </c>
      <c r="E63" s="4" t="s">
        <v>6</v>
      </c>
      <c r="F63" s="4" t="s">
        <v>6</v>
      </c>
      <c r="G63" s="4"/>
      <c r="H63" s="39">
        <f>SUM(H64:H64)</f>
        <v>0</v>
      </c>
      <c r="I63" s="80"/>
      <c r="J63" s="80">
        <f>SUM(J64:J64)</f>
        <v>0</v>
      </c>
      <c r="K63" s="28"/>
      <c r="AG63" s="28" t="s">
        <v>158</v>
      </c>
      <c r="AQ63" s="39">
        <f>SUM(AH64:AH64)</f>
        <v>0</v>
      </c>
      <c r="AR63" s="39">
        <f>SUM(AI64:AI64)</f>
        <v>0</v>
      </c>
      <c r="AS63" s="39">
        <f>SUM(AJ64:AJ64)</f>
        <v>0</v>
      </c>
    </row>
    <row r="64" spans="1:60" ht="12.75">
      <c r="A64" s="64" t="s">
        <v>25</v>
      </c>
      <c r="B64" s="64" t="s">
        <v>158</v>
      </c>
      <c r="C64" s="64" t="s">
        <v>179</v>
      </c>
      <c r="D64" s="64" t="s">
        <v>351</v>
      </c>
      <c r="E64" s="64" t="s">
        <v>630</v>
      </c>
      <c r="F64" s="67">
        <v>49.761</v>
      </c>
      <c r="G64" s="68"/>
      <c r="H64" s="100">
        <f>F64*G64</f>
        <v>0</v>
      </c>
      <c r="I64" s="81">
        <v>0</v>
      </c>
      <c r="J64" s="81">
        <f>F64*I64</f>
        <v>0</v>
      </c>
      <c r="K64" s="61" t="s">
        <v>653</v>
      </c>
      <c r="X64" s="36">
        <f>IF(AO64="5",BH64,0)</f>
        <v>0</v>
      </c>
      <c r="Z64" s="36">
        <f>IF(AO64="1",BF64,0)</f>
        <v>0</v>
      </c>
      <c r="AA64" s="36">
        <f>IF(AO64="1",BG64,0)</f>
        <v>0</v>
      </c>
      <c r="AB64" s="36">
        <f>IF(AO64="7",BF64,0)</f>
        <v>0</v>
      </c>
      <c r="AC64" s="36">
        <f>IF(AO64="7",BG64,0)</f>
        <v>0</v>
      </c>
      <c r="AD64" s="36">
        <f>IF(AO64="2",BF64,0)</f>
        <v>0</v>
      </c>
      <c r="AE64" s="36">
        <f>IF(AO64="2",BG64,0)</f>
        <v>0</v>
      </c>
      <c r="AF64" s="36">
        <f>IF(AO64="0",BH64,0)</f>
        <v>0</v>
      </c>
      <c r="AG64" s="28" t="s">
        <v>158</v>
      </c>
      <c r="AH64" s="20">
        <f>IF(AL64=0,H64,0)</f>
        <v>0</v>
      </c>
      <c r="AI64" s="20">
        <f>IF(AL64=15,H64,0)</f>
        <v>0</v>
      </c>
      <c r="AJ64" s="20">
        <f>IF(AL64=21,H64,0)</f>
        <v>0</v>
      </c>
      <c r="AL64" s="36">
        <v>21</v>
      </c>
      <c r="AM64" s="36">
        <f>G64*0</f>
        <v>0</v>
      </c>
      <c r="AN64" s="36">
        <f>G64*(1-0)</f>
        <v>0</v>
      </c>
      <c r="AO64" s="32" t="s">
        <v>7</v>
      </c>
      <c r="AT64" s="36">
        <f>AU64+AV64</f>
        <v>0</v>
      </c>
      <c r="AU64" s="36">
        <f>F64*AM64</f>
        <v>0</v>
      </c>
      <c r="AV64" s="36">
        <f>F64*AN64</f>
        <v>0</v>
      </c>
      <c r="AW64" s="37" t="s">
        <v>669</v>
      </c>
      <c r="AX64" s="37" t="s">
        <v>691</v>
      </c>
      <c r="AY64" s="28" t="s">
        <v>705</v>
      </c>
      <c r="BA64" s="36">
        <f>AU64+AV64</f>
        <v>0</v>
      </c>
      <c r="BB64" s="36">
        <f>G64/(100-BC64)*100</f>
        <v>0</v>
      </c>
      <c r="BC64" s="36">
        <v>0</v>
      </c>
      <c r="BD64" s="36">
        <f>J64</f>
        <v>0</v>
      </c>
      <c r="BF64" s="20">
        <f>F64*AM64</f>
        <v>0</v>
      </c>
      <c r="BG64" s="20">
        <f>F64*AN64</f>
        <v>0</v>
      </c>
      <c r="BH64" s="20">
        <f>F64*G64</f>
        <v>0</v>
      </c>
    </row>
    <row r="65" spans="1:11" ht="12.75">
      <c r="A65" s="65"/>
      <c r="B65" s="65"/>
      <c r="C65" s="65"/>
      <c r="D65" s="66" t="s">
        <v>338</v>
      </c>
      <c r="E65" s="65"/>
      <c r="F65" s="69">
        <v>49.761</v>
      </c>
      <c r="G65" s="65"/>
      <c r="H65" s="65"/>
      <c r="I65" s="83"/>
      <c r="J65" s="83"/>
      <c r="K65" s="63"/>
    </row>
    <row r="66" spans="1:45" ht="12.75">
      <c r="A66" s="4"/>
      <c r="B66" s="14" t="s">
        <v>158</v>
      </c>
      <c r="C66" s="14" t="s">
        <v>27</v>
      </c>
      <c r="D66" s="14" t="s">
        <v>352</v>
      </c>
      <c r="E66" s="4" t="s">
        <v>6</v>
      </c>
      <c r="F66" s="4" t="s">
        <v>6</v>
      </c>
      <c r="G66" s="4"/>
      <c r="H66" s="39">
        <f>SUM(H67:H79)</f>
        <v>0</v>
      </c>
      <c r="I66" s="80"/>
      <c r="J66" s="80">
        <f>SUM(J67:J79)</f>
        <v>6.75189648</v>
      </c>
      <c r="K66" s="28"/>
      <c r="AG66" s="28" t="s">
        <v>158</v>
      </c>
      <c r="AQ66" s="39">
        <f>SUM(AH67:AH79)</f>
        <v>0</v>
      </c>
      <c r="AR66" s="39">
        <f>SUM(AI67:AI79)</f>
        <v>0</v>
      </c>
      <c r="AS66" s="39">
        <f>SUM(AJ67:AJ79)</f>
        <v>0</v>
      </c>
    </row>
    <row r="67" spans="1:60" ht="12.75">
      <c r="A67" s="64" t="s">
        <v>26</v>
      </c>
      <c r="B67" s="64" t="s">
        <v>158</v>
      </c>
      <c r="C67" s="64" t="s">
        <v>180</v>
      </c>
      <c r="D67" s="64" t="s">
        <v>353</v>
      </c>
      <c r="E67" s="64" t="s">
        <v>631</v>
      </c>
      <c r="F67" s="67">
        <v>109.71</v>
      </c>
      <c r="G67" s="68"/>
      <c r="H67" s="100">
        <f>F67*G67</f>
        <v>0</v>
      </c>
      <c r="I67" s="81">
        <v>0</v>
      </c>
      <c r="J67" s="81">
        <f>F67*I67</f>
        <v>0</v>
      </c>
      <c r="K67" s="61" t="s">
        <v>653</v>
      </c>
      <c r="X67" s="36">
        <f>IF(AO67="5",BH67,0)</f>
        <v>0</v>
      </c>
      <c r="Z67" s="36">
        <f>IF(AO67="1",BF67,0)</f>
        <v>0</v>
      </c>
      <c r="AA67" s="36">
        <f>IF(AO67="1",BG67,0)</f>
        <v>0</v>
      </c>
      <c r="AB67" s="36">
        <f>IF(AO67="7",BF67,0)</f>
        <v>0</v>
      </c>
      <c r="AC67" s="36">
        <f>IF(AO67="7",BG67,0)</f>
        <v>0</v>
      </c>
      <c r="AD67" s="36">
        <f>IF(AO67="2",BF67,0)</f>
        <v>0</v>
      </c>
      <c r="AE67" s="36">
        <f>IF(AO67="2",BG67,0)</f>
        <v>0</v>
      </c>
      <c r="AF67" s="36">
        <f>IF(AO67="0",BH67,0)</f>
        <v>0</v>
      </c>
      <c r="AG67" s="28" t="s">
        <v>158</v>
      </c>
      <c r="AH67" s="20">
        <f>IF(AL67=0,H67,0)</f>
        <v>0</v>
      </c>
      <c r="AI67" s="20">
        <f>IF(AL67=15,H67,0)</f>
        <v>0</v>
      </c>
      <c r="AJ67" s="20">
        <f>IF(AL67=21,H67,0)</f>
        <v>0</v>
      </c>
      <c r="AL67" s="36">
        <v>21</v>
      </c>
      <c r="AM67" s="36">
        <f>G67*0</f>
        <v>0</v>
      </c>
      <c r="AN67" s="36">
        <f>G67*(1-0)</f>
        <v>0</v>
      </c>
      <c r="AO67" s="32" t="s">
        <v>7</v>
      </c>
      <c r="AT67" s="36">
        <f>AU67+AV67</f>
        <v>0</v>
      </c>
      <c r="AU67" s="36">
        <f>F67*AM67</f>
        <v>0</v>
      </c>
      <c r="AV67" s="36">
        <f>F67*AN67</f>
        <v>0</v>
      </c>
      <c r="AW67" s="37" t="s">
        <v>670</v>
      </c>
      <c r="AX67" s="37" t="s">
        <v>692</v>
      </c>
      <c r="AY67" s="28" t="s">
        <v>705</v>
      </c>
      <c r="BA67" s="36">
        <f>AU67+AV67</f>
        <v>0</v>
      </c>
      <c r="BB67" s="36">
        <f>G67/(100-BC67)*100</f>
        <v>0</v>
      </c>
      <c r="BC67" s="36">
        <v>0</v>
      </c>
      <c r="BD67" s="36">
        <f>J67</f>
        <v>0</v>
      </c>
      <c r="BF67" s="20">
        <f>F67*AM67</f>
        <v>0</v>
      </c>
      <c r="BG67" s="20">
        <f>F67*AN67</f>
        <v>0</v>
      </c>
      <c r="BH67" s="20">
        <f>F67*G67</f>
        <v>0</v>
      </c>
    </row>
    <row r="68" spans="1:11" ht="12.75">
      <c r="A68" s="70"/>
      <c r="B68" s="70"/>
      <c r="C68" s="70"/>
      <c r="D68" s="71" t="s">
        <v>354</v>
      </c>
      <c r="E68" s="70"/>
      <c r="F68" s="72">
        <v>109.71</v>
      </c>
      <c r="G68" s="70"/>
      <c r="H68" s="101"/>
      <c r="I68" s="82"/>
      <c r="J68" s="82"/>
      <c r="K68" s="62"/>
    </row>
    <row r="69" spans="1:60" ht="12.75">
      <c r="A69" s="64" t="s">
        <v>27</v>
      </c>
      <c r="B69" s="64" t="s">
        <v>158</v>
      </c>
      <c r="C69" s="64" t="s">
        <v>181</v>
      </c>
      <c r="D69" s="64" t="s">
        <v>355</v>
      </c>
      <c r="E69" s="64" t="s">
        <v>630</v>
      </c>
      <c r="F69" s="67">
        <v>4.05</v>
      </c>
      <c r="G69" s="68"/>
      <c r="H69" s="100">
        <f>F69*G69</f>
        <v>0</v>
      </c>
      <c r="I69" s="81">
        <v>1.665</v>
      </c>
      <c r="J69" s="81">
        <f>F69*I69</f>
        <v>6.74325</v>
      </c>
      <c r="K69" s="61" t="s">
        <v>653</v>
      </c>
      <c r="X69" s="36">
        <f>IF(AO69="5",BH69,0)</f>
        <v>0</v>
      </c>
      <c r="Z69" s="36">
        <f>IF(AO69="1",BF69,0)</f>
        <v>0</v>
      </c>
      <c r="AA69" s="36">
        <f>IF(AO69="1",BG69,0)</f>
        <v>0</v>
      </c>
      <c r="AB69" s="36">
        <f>IF(AO69="7",BF69,0)</f>
        <v>0</v>
      </c>
      <c r="AC69" s="36">
        <f>IF(AO69="7",BG69,0)</f>
        <v>0</v>
      </c>
      <c r="AD69" s="36">
        <f>IF(AO69="2",BF69,0)</f>
        <v>0</v>
      </c>
      <c r="AE69" s="36">
        <f>IF(AO69="2",BG69,0)</f>
        <v>0</v>
      </c>
      <c r="AF69" s="36">
        <f>IF(AO69="0",BH69,0)</f>
        <v>0</v>
      </c>
      <c r="AG69" s="28" t="s">
        <v>158</v>
      </c>
      <c r="AH69" s="20">
        <f>IF(AL69=0,H69,0)</f>
        <v>0</v>
      </c>
      <c r="AI69" s="20">
        <f>IF(AL69=15,H69,0)</f>
        <v>0</v>
      </c>
      <c r="AJ69" s="20">
        <f>IF(AL69=21,H69,0)</f>
        <v>0</v>
      </c>
      <c r="AL69" s="36">
        <v>21</v>
      </c>
      <c r="AM69" s="36">
        <f>G69*0.708922155688623</f>
        <v>0</v>
      </c>
      <c r="AN69" s="36">
        <f>G69*(1-0.708922155688623)</f>
        <v>0</v>
      </c>
      <c r="AO69" s="32" t="s">
        <v>7</v>
      </c>
      <c r="AT69" s="36">
        <f>AU69+AV69</f>
        <v>0</v>
      </c>
      <c r="AU69" s="36">
        <f>F69*AM69</f>
        <v>0</v>
      </c>
      <c r="AV69" s="36">
        <f>F69*AN69</f>
        <v>0</v>
      </c>
      <c r="AW69" s="37" t="s">
        <v>670</v>
      </c>
      <c r="AX69" s="37" t="s">
        <v>692</v>
      </c>
      <c r="AY69" s="28" t="s">
        <v>705</v>
      </c>
      <c r="BA69" s="36">
        <f>AU69+AV69</f>
        <v>0</v>
      </c>
      <c r="BB69" s="36">
        <f>G69/(100-BC69)*100</f>
        <v>0</v>
      </c>
      <c r="BC69" s="36">
        <v>0</v>
      </c>
      <c r="BD69" s="36">
        <f>J69</f>
        <v>6.74325</v>
      </c>
      <c r="BF69" s="20">
        <f>F69*AM69</f>
        <v>0</v>
      </c>
      <c r="BG69" s="20">
        <f>F69*AN69</f>
        <v>0</v>
      </c>
      <c r="BH69" s="20">
        <f>F69*G69</f>
        <v>0</v>
      </c>
    </row>
    <row r="70" spans="1:11" ht="12.75">
      <c r="A70" s="70"/>
      <c r="B70" s="70"/>
      <c r="C70" s="70"/>
      <c r="D70" s="71" t="s">
        <v>356</v>
      </c>
      <c r="E70" s="70"/>
      <c r="F70" s="72">
        <v>4.05</v>
      </c>
      <c r="G70" s="70"/>
      <c r="H70" s="101"/>
      <c r="I70" s="82"/>
      <c r="J70" s="82"/>
      <c r="K70" s="62"/>
    </row>
    <row r="71" spans="1:60" ht="12.75">
      <c r="A71" s="64" t="s">
        <v>28</v>
      </c>
      <c r="B71" s="64" t="s">
        <v>158</v>
      </c>
      <c r="C71" s="64" t="s">
        <v>182</v>
      </c>
      <c r="D71" s="64" t="s">
        <v>357</v>
      </c>
      <c r="E71" s="64" t="s">
        <v>631</v>
      </c>
      <c r="F71" s="67">
        <v>48.036</v>
      </c>
      <c r="G71" s="68"/>
      <c r="H71" s="100">
        <f>F71*G71</f>
        <v>0</v>
      </c>
      <c r="I71" s="81">
        <v>0.00018</v>
      </c>
      <c r="J71" s="81">
        <f>F71*I71</f>
        <v>0.008646480000000002</v>
      </c>
      <c r="K71" s="61" t="s">
        <v>653</v>
      </c>
      <c r="X71" s="36">
        <f>IF(AO71="5",BH71,0)</f>
        <v>0</v>
      </c>
      <c r="Z71" s="36">
        <f>IF(AO71="1",BF71,0)</f>
        <v>0</v>
      </c>
      <c r="AA71" s="36">
        <f>IF(AO71="1",BG71,0)</f>
        <v>0</v>
      </c>
      <c r="AB71" s="36">
        <f>IF(AO71="7",BF71,0)</f>
        <v>0</v>
      </c>
      <c r="AC71" s="36">
        <f>IF(AO71="7",BG71,0)</f>
        <v>0</v>
      </c>
      <c r="AD71" s="36">
        <f>IF(AO71="2",BF71,0)</f>
        <v>0</v>
      </c>
      <c r="AE71" s="36">
        <f>IF(AO71="2",BG71,0)</f>
        <v>0</v>
      </c>
      <c r="AF71" s="36">
        <f>IF(AO71="0",BH71,0)</f>
        <v>0</v>
      </c>
      <c r="AG71" s="28" t="s">
        <v>158</v>
      </c>
      <c r="AH71" s="20">
        <f>IF(AL71=0,H71,0)</f>
        <v>0</v>
      </c>
      <c r="AI71" s="20">
        <f>IF(AL71=15,H71,0)</f>
        <v>0</v>
      </c>
      <c r="AJ71" s="20">
        <f>IF(AL71=21,H71,0)</f>
        <v>0</v>
      </c>
      <c r="AL71" s="36">
        <v>21</v>
      </c>
      <c r="AM71" s="36">
        <f>G71*0.0914954671159869</f>
        <v>0</v>
      </c>
      <c r="AN71" s="36">
        <f>G71*(1-0.0914954671159869)</f>
        <v>0</v>
      </c>
      <c r="AO71" s="32" t="s">
        <v>7</v>
      </c>
      <c r="AT71" s="36">
        <f>AU71+AV71</f>
        <v>0</v>
      </c>
      <c r="AU71" s="36">
        <f>F71*AM71</f>
        <v>0</v>
      </c>
      <c r="AV71" s="36">
        <f>F71*AN71</f>
        <v>0</v>
      </c>
      <c r="AW71" s="37" t="s">
        <v>670</v>
      </c>
      <c r="AX71" s="37" t="s">
        <v>692</v>
      </c>
      <c r="AY71" s="28" t="s">
        <v>705</v>
      </c>
      <c r="BA71" s="36">
        <f>AU71+AV71</f>
        <v>0</v>
      </c>
      <c r="BB71" s="36">
        <f>G71/(100-BC71)*100</f>
        <v>0</v>
      </c>
      <c r="BC71" s="36">
        <v>0</v>
      </c>
      <c r="BD71" s="36">
        <f>J71</f>
        <v>0.008646480000000002</v>
      </c>
      <c r="BF71" s="20">
        <f>F71*AM71</f>
        <v>0</v>
      </c>
      <c r="BG71" s="20">
        <f>F71*AN71</f>
        <v>0</v>
      </c>
      <c r="BH71" s="20">
        <f>F71*G71</f>
        <v>0</v>
      </c>
    </row>
    <row r="72" spans="1:11" ht="12.75">
      <c r="A72" s="70"/>
      <c r="B72" s="70"/>
      <c r="C72" s="70"/>
      <c r="D72" s="71" t="s">
        <v>358</v>
      </c>
      <c r="E72" s="70"/>
      <c r="F72" s="72">
        <v>38.88</v>
      </c>
      <c r="G72" s="70"/>
      <c r="H72" s="101"/>
      <c r="I72" s="82"/>
      <c r="J72" s="82"/>
      <c r="K72" s="62"/>
    </row>
    <row r="73" spans="1:11" ht="12.75">
      <c r="A73" s="70"/>
      <c r="B73" s="70"/>
      <c r="C73" s="70"/>
      <c r="D73" s="71" t="s">
        <v>359</v>
      </c>
      <c r="E73" s="70"/>
      <c r="F73" s="72">
        <v>9.156</v>
      </c>
      <c r="G73" s="70"/>
      <c r="H73" s="101"/>
      <c r="I73" s="82"/>
      <c r="J73" s="82"/>
      <c r="K73" s="62"/>
    </row>
    <row r="74" spans="1:60" ht="12.75">
      <c r="A74" s="74" t="s">
        <v>29</v>
      </c>
      <c r="B74" s="74" t="s">
        <v>158</v>
      </c>
      <c r="C74" s="74" t="s">
        <v>183</v>
      </c>
      <c r="D74" s="74" t="s">
        <v>360</v>
      </c>
      <c r="E74" s="74" t="s">
        <v>631</v>
      </c>
      <c r="F74" s="75">
        <v>52.84</v>
      </c>
      <c r="G74" s="76"/>
      <c r="H74" s="103">
        <f>F74*G74</f>
        <v>0</v>
      </c>
      <c r="I74" s="84">
        <v>0</v>
      </c>
      <c r="J74" s="84">
        <f>F74*I74</f>
        <v>0</v>
      </c>
      <c r="K74" s="73" t="s">
        <v>653</v>
      </c>
      <c r="X74" s="36">
        <f>IF(AO74="5",BH74,0)</f>
        <v>0</v>
      </c>
      <c r="Z74" s="36">
        <f>IF(AO74="1",BF74,0)</f>
        <v>0</v>
      </c>
      <c r="AA74" s="36">
        <f>IF(AO74="1",BG74,0)</f>
        <v>0</v>
      </c>
      <c r="AB74" s="36">
        <f>IF(AO74="7",BF74,0)</f>
        <v>0</v>
      </c>
      <c r="AC74" s="36">
        <f>IF(AO74="7",BG74,0)</f>
        <v>0</v>
      </c>
      <c r="AD74" s="36">
        <f>IF(AO74="2",BF74,0)</f>
        <v>0</v>
      </c>
      <c r="AE74" s="36">
        <f>IF(AO74="2",BG74,0)</f>
        <v>0</v>
      </c>
      <c r="AF74" s="36">
        <f>IF(AO74="0",BH74,0)</f>
        <v>0</v>
      </c>
      <c r="AG74" s="28" t="s">
        <v>158</v>
      </c>
      <c r="AH74" s="21">
        <f>IF(AL74=0,H74,0)</f>
        <v>0</v>
      </c>
      <c r="AI74" s="21">
        <f>IF(AL74=15,H74,0)</f>
        <v>0</v>
      </c>
      <c r="AJ74" s="21">
        <f>IF(AL74=21,H74,0)</f>
        <v>0</v>
      </c>
      <c r="AL74" s="36">
        <v>21</v>
      </c>
      <c r="AM74" s="36">
        <f>G74*1</f>
        <v>0</v>
      </c>
      <c r="AN74" s="36">
        <f>G74*(1-1)</f>
        <v>0</v>
      </c>
      <c r="AO74" s="33" t="s">
        <v>7</v>
      </c>
      <c r="AT74" s="36">
        <f>AU74+AV74</f>
        <v>0</v>
      </c>
      <c r="AU74" s="36">
        <f>F74*AM74</f>
        <v>0</v>
      </c>
      <c r="AV74" s="36">
        <f>F74*AN74</f>
        <v>0</v>
      </c>
      <c r="AW74" s="37" t="s">
        <v>670</v>
      </c>
      <c r="AX74" s="37" t="s">
        <v>692</v>
      </c>
      <c r="AY74" s="28" t="s">
        <v>705</v>
      </c>
      <c r="BA74" s="36">
        <f>AU74+AV74</f>
        <v>0</v>
      </c>
      <c r="BB74" s="36">
        <f>G74/(100-BC74)*100</f>
        <v>0</v>
      </c>
      <c r="BC74" s="36">
        <v>0</v>
      </c>
      <c r="BD74" s="36">
        <f>J74</f>
        <v>0</v>
      </c>
      <c r="BF74" s="21">
        <f>F74*AM74</f>
        <v>0</v>
      </c>
      <c r="BG74" s="21">
        <f>F74*AN74</f>
        <v>0</v>
      </c>
      <c r="BH74" s="21">
        <f>F74*G74</f>
        <v>0</v>
      </c>
    </row>
    <row r="75" spans="1:11" ht="12.75">
      <c r="A75" s="70"/>
      <c r="B75" s="70"/>
      <c r="C75" s="70"/>
      <c r="D75" s="71" t="s">
        <v>361</v>
      </c>
      <c r="E75" s="70"/>
      <c r="F75" s="72">
        <v>42.768</v>
      </c>
      <c r="G75" s="70"/>
      <c r="H75" s="101"/>
      <c r="I75" s="82"/>
      <c r="J75" s="82"/>
      <c r="K75" s="62"/>
    </row>
    <row r="76" spans="1:11" ht="12.75">
      <c r="A76" s="70"/>
      <c r="B76" s="70"/>
      <c r="C76" s="70"/>
      <c r="D76" s="71" t="s">
        <v>362</v>
      </c>
      <c r="E76" s="70"/>
      <c r="F76" s="72">
        <v>10.072</v>
      </c>
      <c r="G76" s="70"/>
      <c r="H76" s="101"/>
      <c r="I76" s="82"/>
      <c r="J76" s="82"/>
      <c r="K76" s="62"/>
    </row>
    <row r="77" spans="1:60" ht="12.75">
      <c r="A77" s="64" t="s">
        <v>30</v>
      </c>
      <c r="B77" s="64" t="s">
        <v>158</v>
      </c>
      <c r="C77" s="64" t="s">
        <v>184</v>
      </c>
      <c r="D77" s="64" t="s">
        <v>363</v>
      </c>
      <c r="E77" s="64" t="s">
        <v>632</v>
      </c>
      <c r="F77" s="67">
        <v>16.2</v>
      </c>
      <c r="G77" s="68"/>
      <c r="H77" s="100">
        <f>F77*G77</f>
        <v>0</v>
      </c>
      <c r="I77" s="81">
        <v>0</v>
      </c>
      <c r="J77" s="81">
        <f>F77*I77</f>
        <v>0</v>
      </c>
      <c r="K77" s="61" t="s">
        <v>653</v>
      </c>
      <c r="X77" s="36">
        <f>IF(AO77="5",BH77,0)</f>
        <v>0</v>
      </c>
      <c r="Z77" s="36">
        <f>IF(AO77="1",BF77,0)</f>
        <v>0</v>
      </c>
      <c r="AA77" s="36">
        <f>IF(AO77="1",BG77,0)</f>
        <v>0</v>
      </c>
      <c r="AB77" s="36">
        <f>IF(AO77="7",BF77,0)</f>
        <v>0</v>
      </c>
      <c r="AC77" s="36">
        <f>IF(AO77="7",BG77,0)</f>
        <v>0</v>
      </c>
      <c r="AD77" s="36">
        <f>IF(AO77="2",BF77,0)</f>
        <v>0</v>
      </c>
      <c r="AE77" s="36">
        <f>IF(AO77="2",BG77,0)</f>
        <v>0</v>
      </c>
      <c r="AF77" s="36">
        <f>IF(AO77="0",BH77,0)</f>
        <v>0</v>
      </c>
      <c r="AG77" s="28" t="s">
        <v>158</v>
      </c>
      <c r="AH77" s="20">
        <f>IF(AL77=0,H77,0)</f>
        <v>0</v>
      </c>
      <c r="AI77" s="20">
        <f>IF(AL77=15,H77,0)</f>
        <v>0</v>
      </c>
      <c r="AJ77" s="20">
        <f>IF(AL77=21,H77,0)</f>
        <v>0</v>
      </c>
      <c r="AL77" s="36">
        <v>21</v>
      </c>
      <c r="AM77" s="36">
        <f>G77*0</f>
        <v>0</v>
      </c>
      <c r="AN77" s="36">
        <f>G77*(1-0)</f>
        <v>0</v>
      </c>
      <c r="AO77" s="32" t="s">
        <v>7</v>
      </c>
      <c r="AT77" s="36">
        <f>AU77+AV77</f>
        <v>0</v>
      </c>
      <c r="AU77" s="36">
        <f>F77*AM77</f>
        <v>0</v>
      </c>
      <c r="AV77" s="36">
        <f>F77*AN77</f>
        <v>0</v>
      </c>
      <c r="AW77" s="37" t="s">
        <v>670</v>
      </c>
      <c r="AX77" s="37" t="s">
        <v>692</v>
      </c>
      <c r="AY77" s="28" t="s">
        <v>705</v>
      </c>
      <c r="BA77" s="36">
        <f>AU77+AV77</f>
        <v>0</v>
      </c>
      <c r="BB77" s="36">
        <f>G77/(100-BC77)*100</f>
        <v>0</v>
      </c>
      <c r="BC77" s="36">
        <v>0</v>
      </c>
      <c r="BD77" s="36">
        <f>J77</f>
        <v>0</v>
      </c>
      <c r="BF77" s="20">
        <f>F77*AM77</f>
        <v>0</v>
      </c>
      <c r="BG77" s="20">
        <f>F77*AN77</f>
        <v>0</v>
      </c>
      <c r="BH77" s="20">
        <f>F77*G77</f>
        <v>0</v>
      </c>
    </row>
    <row r="78" spans="1:11" ht="12.75">
      <c r="A78" s="70"/>
      <c r="B78" s="70"/>
      <c r="C78" s="70"/>
      <c r="D78" s="71" t="s">
        <v>364</v>
      </c>
      <c r="E78" s="70"/>
      <c r="F78" s="72">
        <v>16.2</v>
      </c>
      <c r="G78" s="70"/>
      <c r="H78" s="101"/>
      <c r="I78" s="82"/>
      <c r="J78" s="82"/>
      <c r="K78" s="62"/>
    </row>
    <row r="79" spans="1:60" ht="12.75">
      <c r="A79" s="74" t="s">
        <v>31</v>
      </c>
      <c r="B79" s="74" t="s">
        <v>158</v>
      </c>
      <c r="C79" s="74" t="s">
        <v>185</v>
      </c>
      <c r="D79" s="74" t="s">
        <v>365</v>
      </c>
      <c r="E79" s="74" t="s">
        <v>632</v>
      </c>
      <c r="F79" s="75">
        <v>17.82</v>
      </c>
      <c r="G79" s="76"/>
      <c r="H79" s="103">
        <f>F79*G79</f>
        <v>0</v>
      </c>
      <c r="I79" s="84">
        <v>0</v>
      </c>
      <c r="J79" s="84">
        <f>F79*I79</f>
        <v>0</v>
      </c>
      <c r="K79" s="73" t="s">
        <v>653</v>
      </c>
      <c r="X79" s="36">
        <f>IF(AO79="5",BH79,0)</f>
        <v>0</v>
      </c>
      <c r="Z79" s="36">
        <f>IF(AO79="1",BF79,0)</f>
        <v>0</v>
      </c>
      <c r="AA79" s="36">
        <f>IF(AO79="1",BG79,0)</f>
        <v>0</v>
      </c>
      <c r="AB79" s="36">
        <f>IF(AO79="7",BF79,0)</f>
        <v>0</v>
      </c>
      <c r="AC79" s="36">
        <f>IF(AO79="7",BG79,0)</f>
        <v>0</v>
      </c>
      <c r="AD79" s="36">
        <f>IF(AO79="2",BF79,0)</f>
        <v>0</v>
      </c>
      <c r="AE79" s="36">
        <f>IF(AO79="2",BG79,0)</f>
        <v>0</v>
      </c>
      <c r="AF79" s="36">
        <f>IF(AO79="0",BH79,0)</f>
        <v>0</v>
      </c>
      <c r="AG79" s="28" t="s">
        <v>158</v>
      </c>
      <c r="AH79" s="21">
        <f>IF(AL79=0,H79,0)</f>
        <v>0</v>
      </c>
      <c r="AI79" s="21">
        <f>IF(AL79=15,H79,0)</f>
        <v>0</v>
      </c>
      <c r="AJ79" s="21">
        <f>IF(AL79=21,H79,0)</f>
        <v>0</v>
      </c>
      <c r="AL79" s="36">
        <v>21</v>
      </c>
      <c r="AM79" s="36">
        <f>G79*1</f>
        <v>0</v>
      </c>
      <c r="AN79" s="36">
        <f>G79*(1-1)</f>
        <v>0</v>
      </c>
      <c r="AO79" s="33" t="s">
        <v>7</v>
      </c>
      <c r="AT79" s="36">
        <f>AU79+AV79</f>
        <v>0</v>
      </c>
      <c r="AU79" s="36">
        <f>F79*AM79</f>
        <v>0</v>
      </c>
      <c r="AV79" s="36">
        <f>F79*AN79</f>
        <v>0</v>
      </c>
      <c r="AW79" s="37" t="s">
        <v>670</v>
      </c>
      <c r="AX79" s="37" t="s">
        <v>692</v>
      </c>
      <c r="AY79" s="28" t="s">
        <v>705</v>
      </c>
      <c r="BA79" s="36">
        <f>AU79+AV79</f>
        <v>0</v>
      </c>
      <c r="BB79" s="36">
        <f>G79/(100-BC79)*100</f>
        <v>0</v>
      </c>
      <c r="BC79" s="36">
        <v>0</v>
      </c>
      <c r="BD79" s="36">
        <f>J79</f>
        <v>0</v>
      </c>
      <c r="BF79" s="21">
        <f>F79*AM79</f>
        <v>0</v>
      </c>
      <c r="BG79" s="21">
        <f>F79*AN79</f>
        <v>0</v>
      </c>
      <c r="BH79" s="21">
        <f>F79*G79</f>
        <v>0</v>
      </c>
    </row>
    <row r="80" spans="1:11" ht="12.75">
      <c r="A80" s="65"/>
      <c r="B80" s="65"/>
      <c r="C80" s="65"/>
      <c r="D80" s="66" t="s">
        <v>366</v>
      </c>
      <c r="E80" s="65"/>
      <c r="F80" s="69">
        <v>17.82</v>
      </c>
      <c r="G80" s="65"/>
      <c r="H80" s="102"/>
      <c r="I80" s="83"/>
      <c r="J80" s="83"/>
      <c r="K80" s="63"/>
    </row>
    <row r="81" spans="1:45" ht="12.75">
      <c r="A81" s="4"/>
      <c r="B81" s="14" t="s">
        <v>158</v>
      </c>
      <c r="C81" s="14" t="s">
        <v>33</v>
      </c>
      <c r="D81" s="14" t="s">
        <v>367</v>
      </c>
      <c r="E81" s="4" t="s">
        <v>6</v>
      </c>
      <c r="F81" s="4" t="s">
        <v>6</v>
      </c>
      <c r="G81" s="4"/>
      <c r="H81" s="39">
        <f>SUM(H82:H95)</f>
        <v>0</v>
      </c>
      <c r="I81" s="80"/>
      <c r="J81" s="80">
        <f>SUM(J82:J95)</f>
        <v>55.550840920000006</v>
      </c>
      <c r="K81" s="28"/>
      <c r="AG81" s="28" t="s">
        <v>158</v>
      </c>
      <c r="AQ81" s="39">
        <f>SUM(AH82:AH95)</f>
        <v>0</v>
      </c>
      <c r="AR81" s="39">
        <f>SUM(AI82:AI95)</f>
        <v>0</v>
      </c>
      <c r="AS81" s="39">
        <f>SUM(AJ82:AJ95)</f>
        <v>0</v>
      </c>
    </row>
    <row r="82" spans="1:60" ht="12.75">
      <c r="A82" s="64" t="s">
        <v>32</v>
      </c>
      <c r="B82" s="64" t="s">
        <v>158</v>
      </c>
      <c r="C82" s="64" t="s">
        <v>186</v>
      </c>
      <c r="D82" s="64" t="s">
        <v>368</v>
      </c>
      <c r="E82" s="64" t="s">
        <v>631</v>
      </c>
      <c r="F82" s="67">
        <v>25.794</v>
      </c>
      <c r="G82" s="68"/>
      <c r="H82" s="100">
        <f>F82*G82</f>
        <v>0</v>
      </c>
      <c r="I82" s="81">
        <v>0.74</v>
      </c>
      <c r="J82" s="81">
        <f>F82*I82</f>
        <v>19.08756</v>
      </c>
      <c r="K82" s="61" t="s">
        <v>653</v>
      </c>
      <c r="X82" s="36">
        <f>IF(AO82="5",BH82,0)</f>
        <v>0</v>
      </c>
      <c r="Z82" s="36">
        <f>IF(AO82="1",BF82,0)</f>
        <v>0</v>
      </c>
      <c r="AA82" s="36">
        <f>IF(AO82="1",BG82,0)</f>
        <v>0</v>
      </c>
      <c r="AB82" s="36">
        <f>IF(AO82="7",BF82,0)</f>
        <v>0</v>
      </c>
      <c r="AC82" s="36">
        <f>IF(AO82="7",BG82,0)</f>
        <v>0</v>
      </c>
      <c r="AD82" s="36">
        <f>IF(AO82="2",BF82,0)</f>
        <v>0</v>
      </c>
      <c r="AE82" s="36">
        <f>IF(AO82="2",BG82,0)</f>
        <v>0</v>
      </c>
      <c r="AF82" s="36">
        <f>IF(AO82="0",BH82,0)</f>
        <v>0</v>
      </c>
      <c r="AG82" s="28" t="s">
        <v>158</v>
      </c>
      <c r="AH82" s="20">
        <f>IF(AL82=0,H82,0)</f>
        <v>0</v>
      </c>
      <c r="AI82" s="20">
        <f>IF(AL82=15,H82,0)</f>
        <v>0</v>
      </c>
      <c r="AJ82" s="20">
        <f>IF(AL82=21,H82,0)</f>
        <v>0</v>
      </c>
      <c r="AL82" s="36">
        <v>21</v>
      </c>
      <c r="AM82" s="36">
        <f>G82*0.651957920531787</f>
        <v>0</v>
      </c>
      <c r="AN82" s="36">
        <f>G82*(1-0.651957920531787)</f>
        <v>0</v>
      </c>
      <c r="AO82" s="32" t="s">
        <v>7</v>
      </c>
      <c r="AT82" s="36">
        <f>AU82+AV82</f>
        <v>0</v>
      </c>
      <c r="AU82" s="36">
        <f>F82*AM82</f>
        <v>0</v>
      </c>
      <c r="AV82" s="36">
        <f>F82*AN82</f>
        <v>0</v>
      </c>
      <c r="AW82" s="37" t="s">
        <v>671</v>
      </c>
      <c r="AX82" s="37" t="s">
        <v>692</v>
      </c>
      <c r="AY82" s="28" t="s">
        <v>705</v>
      </c>
      <c r="BA82" s="36">
        <f>AU82+AV82</f>
        <v>0</v>
      </c>
      <c r="BB82" s="36">
        <f>G82/(100-BC82)*100</f>
        <v>0</v>
      </c>
      <c r="BC82" s="36">
        <v>0</v>
      </c>
      <c r="BD82" s="36">
        <f>J82</f>
        <v>19.08756</v>
      </c>
      <c r="BF82" s="20">
        <f>F82*AM82</f>
        <v>0</v>
      </c>
      <c r="BG82" s="20">
        <f>F82*AN82</f>
        <v>0</v>
      </c>
      <c r="BH82" s="20">
        <f>F82*G82</f>
        <v>0</v>
      </c>
    </row>
    <row r="83" spans="1:11" ht="12.75">
      <c r="A83" s="70"/>
      <c r="B83" s="70"/>
      <c r="C83" s="70"/>
      <c r="D83" s="71" t="s">
        <v>369</v>
      </c>
      <c r="E83" s="70"/>
      <c r="F83" s="72">
        <v>21.619</v>
      </c>
      <c r="G83" s="70"/>
      <c r="H83" s="101"/>
      <c r="I83" s="82"/>
      <c r="J83" s="82"/>
      <c r="K83" s="62"/>
    </row>
    <row r="84" spans="1:11" ht="12.75">
      <c r="A84" s="70"/>
      <c r="B84" s="70"/>
      <c r="C84" s="70"/>
      <c r="D84" s="71" t="s">
        <v>370</v>
      </c>
      <c r="E84" s="70"/>
      <c r="F84" s="72">
        <v>4.175</v>
      </c>
      <c r="G84" s="70"/>
      <c r="H84" s="101"/>
      <c r="I84" s="82"/>
      <c r="J84" s="82"/>
      <c r="K84" s="62"/>
    </row>
    <row r="85" spans="1:60" ht="12.75">
      <c r="A85" s="64" t="s">
        <v>33</v>
      </c>
      <c r="B85" s="64" t="s">
        <v>158</v>
      </c>
      <c r="C85" s="64" t="s">
        <v>187</v>
      </c>
      <c r="D85" s="64" t="s">
        <v>371</v>
      </c>
      <c r="E85" s="64" t="s">
        <v>630</v>
      </c>
      <c r="F85" s="67">
        <v>14.018</v>
      </c>
      <c r="G85" s="68"/>
      <c r="H85" s="100">
        <f>F85*G85</f>
        <v>0</v>
      </c>
      <c r="I85" s="81">
        <v>2.525</v>
      </c>
      <c r="J85" s="81">
        <f>F85*I85</f>
        <v>35.395450000000004</v>
      </c>
      <c r="K85" s="61" t="s">
        <v>653</v>
      </c>
      <c r="X85" s="36">
        <f>IF(AO85="5",BH85,0)</f>
        <v>0</v>
      </c>
      <c r="Z85" s="36">
        <f>IF(AO85="1",BF85,0)</f>
        <v>0</v>
      </c>
      <c r="AA85" s="36">
        <f>IF(AO85="1",BG85,0)</f>
        <v>0</v>
      </c>
      <c r="AB85" s="36">
        <f>IF(AO85="7",BF85,0)</f>
        <v>0</v>
      </c>
      <c r="AC85" s="36">
        <f>IF(AO85="7",BG85,0)</f>
        <v>0</v>
      </c>
      <c r="AD85" s="36">
        <f>IF(AO85="2",BF85,0)</f>
        <v>0</v>
      </c>
      <c r="AE85" s="36">
        <f>IF(AO85="2",BG85,0)</f>
        <v>0</v>
      </c>
      <c r="AF85" s="36">
        <f>IF(AO85="0",BH85,0)</f>
        <v>0</v>
      </c>
      <c r="AG85" s="28" t="s">
        <v>158</v>
      </c>
      <c r="AH85" s="20">
        <f>IF(AL85=0,H85,0)</f>
        <v>0</v>
      </c>
      <c r="AI85" s="20">
        <f>IF(AL85=15,H85,0)</f>
        <v>0</v>
      </c>
      <c r="AJ85" s="20">
        <f>IF(AL85=21,H85,0)</f>
        <v>0</v>
      </c>
      <c r="AL85" s="36">
        <v>21</v>
      </c>
      <c r="AM85" s="36">
        <f>G85*0.902102304226364</f>
        <v>0</v>
      </c>
      <c r="AN85" s="36">
        <f>G85*(1-0.902102304226364)</f>
        <v>0</v>
      </c>
      <c r="AO85" s="32" t="s">
        <v>7</v>
      </c>
      <c r="AT85" s="36">
        <f>AU85+AV85</f>
        <v>0</v>
      </c>
      <c r="AU85" s="36">
        <f>F85*AM85</f>
        <v>0</v>
      </c>
      <c r="AV85" s="36">
        <f>F85*AN85</f>
        <v>0</v>
      </c>
      <c r="AW85" s="37" t="s">
        <v>671</v>
      </c>
      <c r="AX85" s="37" t="s">
        <v>692</v>
      </c>
      <c r="AY85" s="28" t="s">
        <v>705</v>
      </c>
      <c r="BA85" s="36">
        <f>AU85+AV85</f>
        <v>0</v>
      </c>
      <c r="BB85" s="36">
        <f>G85/(100-BC85)*100</f>
        <v>0</v>
      </c>
      <c r="BC85" s="36">
        <v>0</v>
      </c>
      <c r="BD85" s="36">
        <f>J85</f>
        <v>35.395450000000004</v>
      </c>
      <c r="BF85" s="20">
        <f>F85*AM85</f>
        <v>0</v>
      </c>
      <c r="BG85" s="20">
        <f>F85*AN85</f>
        <v>0</v>
      </c>
      <c r="BH85" s="20">
        <f>F85*G85</f>
        <v>0</v>
      </c>
    </row>
    <row r="86" spans="1:11" ht="12.75">
      <c r="A86" s="70"/>
      <c r="B86" s="70"/>
      <c r="C86" s="70"/>
      <c r="D86" s="71" t="s">
        <v>372</v>
      </c>
      <c r="E86" s="70"/>
      <c r="F86" s="72">
        <v>6.378</v>
      </c>
      <c r="G86" s="70"/>
      <c r="H86" s="101"/>
      <c r="I86" s="82"/>
      <c r="J86" s="82"/>
      <c r="K86" s="62"/>
    </row>
    <row r="87" spans="1:11" ht="12.75">
      <c r="A87" s="70"/>
      <c r="B87" s="70"/>
      <c r="C87" s="70"/>
      <c r="D87" s="71" t="s">
        <v>373</v>
      </c>
      <c r="E87" s="70"/>
      <c r="F87" s="72">
        <v>7.46</v>
      </c>
      <c r="G87" s="70"/>
      <c r="H87" s="101"/>
      <c r="I87" s="82"/>
      <c r="J87" s="82"/>
      <c r="K87" s="62"/>
    </row>
    <row r="88" spans="1:11" ht="12.75">
      <c r="A88" s="70"/>
      <c r="B88" s="70"/>
      <c r="C88" s="70"/>
      <c r="D88" s="71" t="s">
        <v>374</v>
      </c>
      <c r="E88" s="70"/>
      <c r="F88" s="72">
        <v>0.18</v>
      </c>
      <c r="G88" s="70"/>
      <c r="H88" s="101"/>
      <c r="I88" s="82"/>
      <c r="J88" s="82"/>
      <c r="K88" s="62"/>
    </row>
    <row r="89" spans="1:60" ht="12.75">
      <c r="A89" s="64" t="s">
        <v>34</v>
      </c>
      <c r="B89" s="64" t="s">
        <v>158</v>
      </c>
      <c r="C89" s="64" t="s">
        <v>188</v>
      </c>
      <c r="D89" s="64" t="s">
        <v>375</v>
      </c>
      <c r="E89" s="64" t="s">
        <v>631</v>
      </c>
      <c r="F89" s="67">
        <v>16.95</v>
      </c>
      <c r="G89" s="68"/>
      <c r="H89" s="100">
        <f>F89*G89</f>
        <v>0</v>
      </c>
      <c r="I89" s="81">
        <v>0.03916</v>
      </c>
      <c r="J89" s="81">
        <f>F89*I89</f>
        <v>0.663762</v>
      </c>
      <c r="K89" s="61" t="s">
        <v>653</v>
      </c>
      <c r="X89" s="36">
        <f>IF(AO89="5",BH89,0)</f>
        <v>0</v>
      </c>
      <c r="Z89" s="36">
        <f>IF(AO89="1",BF89,0)</f>
        <v>0</v>
      </c>
      <c r="AA89" s="36">
        <f>IF(AO89="1",BG89,0)</f>
        <v>0</v>
      </c>
      <c r="AB89" s="36">
        <f>IF(AO89="7",BF89,0)</f>
        <v>0</v>
      </c>
      <c r="AC89" s="36">
        <f>IF(AO89="7",BG89,0)</f>
        <v>0</v>
      </c>
      <c r="AD89" s="36">
        <f>IF(AO89="2",BF89,0)</f>
        <v>0</v>
      </c>
      <c r="AE89" s="36">
        <f>IF(AO89="2",BG89,0)</f>
        <v>0</v>
      </c>
      <c r="AF89" s="36">
        <f>IF(AO89="0",BH89,0)</f>
        <v>0</v>
      </c>
      <c r="AG89" s="28" t="s">
        <v>158</v>
      </c>
      <c r="AH89" s="20">
        <f>IF(AL89=0,H89,0)</f>
        <v>0</v>
      </c>
      <c r="AI89" s="20">
        <f>IF(AL89=15,H89,0)</f>
        <v>0</v>
      </c>
      <c r="AJ89" s="20">
        <f>IF(AL89=21,H89,0)</f>
        <v>0</v>
      </c>
      <c r="AL89" s="36">
        <v>21</v>
      </c>
      <c r="AM89" s="36">
        <f>G89*0.272557726465364</f>
        <v>0</v>
      </c>
      <c r="AN89" s="36">
        <f>G89*(1-0.272557726465364)</f>
        <v>0</v>
      </c>
      <c r="AO89" s="32" t="s">
        <v>7</v>
      </c>
      <c r="AT89" s="36">
        <f>AU89+AV89</f>
        <v>0</v>
      </c>
      <c r="AU89" s="36">
        <f>F89*AM89</f>
        <v>0</v>
      </c>
      <c r="AV89" s="36">
        <f>F89*AN89</f>
        <v>0</v>
      </c>
      <c r="AW89" s="37" t="s">
        <v>671</v>
      </c>
      <c r="AX89" s="37" t="s">
        <v>692</v>
      </c>
      <c r="AY89" s="28" t="s">
        <v>705</v>
      </c>
      <c r="BA89" s="36">
        <f>AU89+AV89</f>
        <v>0</v>
      </c>
      <c r="BB89" s="36">
        <f>G89/(100-BC89)*100</f>
        <v>0</v>
      </c>
      <c r="BC89" s="36">
        <v>0</v>
      </c>
      <c r="BD89" s="36">
        <f>J89</f>
        <v>0.663762</v>
      </c>
      <c r="BF89" s="20">
        <f>F89*AM89</f>
        <v>0</v>
      </c>
      <c r="BG89" s="20">
        <f>F89*AN89</f>
        <v>0</v>
      </c>
      <c r="BH89" s="20">
        <f>F89*G89</f>
        <v>0</v>
      </c>
    </row>
    <row r="90" spans="1:11" ht="12.75">
      <c r="A90" s="70"/>
      <c r="B90" s="70"/>
      <c r="C90" s="70"/>
      <c r="D90" s="71" t="s">
        <v>376</v>
      </c>
      <c r="E90" s="70"/>
      <c r="F90" s="72">
        <v>16.95</v>
      </c>
      <c r="G90" s="70"/>
      <c r="H90" s="101"/>
      <c r="I90" s="82"/>
      <c r="J90" s="82"/>
      <c r="K90" s="62"/>
    </row>
    <row r="91" spans="1:60" ht="12.75">
      <c r="A91" s="64" t="s">
        <v>35</v>
      </c>
      <c r="B91" s="64" t="s">
        <v>158</v>
      </c>
      <c r="C91" s="64" t="s">
        <v>189</v>
      </c>
      <c r="D91" s="64" t="s">
        <v>377</v>
      </c>
      <c r="E91" s="64" t="s">
        <v>631</v>
      </c>
      <c r="F91" s="67">
        <v>16.95</v>
      </c>
      <c r="G91" s="68"/>
      <c r="H91" s="100">
        <f>F91*G91</f>
        <v>0</v>
      </c>
      <c r="I91" s="81">
        <v>0</v>
      </c>
      <c r="J91" s="81">
        <f>F91*I91</f>
        <v>0</v>
      </c>
      <c r="K91" s="61" t="s">
        <v>653</v>
      </c>
      <c r="X91" s="36">
        <f>IF(AO91="5",BH91,0)</f>
        <v>0</v>
      </c>
      <c r="Z91" s="36">
        <f>IF(AO91="1",BF91,0)</f>
        <v>0</v>
      </c>
      <c r="AA91" s="36">
        <f>IF(AO91="1",BG91,0)</f>
        <v>0</v>
      </c>
      <c r="AB91" s="36">
        <f>IF(AO91="7",BF91,0)</f>
        <v>0</v>
      </c>
      <c r="AC91" s="36">
        <f>IF(AO91="7",BG91,0)</f>
        <v>0</v>
      </c>
      <c r="AD91" s="36">
        <f>IF(AO91="2",BF91,0)</f>
        <v>0</v>
      </c>
      <c r="AE91" s="36">
        <f>IF(AO91="2",BG91,0)</f>
        <v>0</v>
      </c>
      <c r="AF91" s="36">
        <f>IF(AO91="0",BH91,0)</f>
        <v>0</v>
      </c>
      <c r="AG91" s="28" t="s">
        <v>158</v>
      </c>
      <c r="AH91" s="20">
        <f>IF(AL91=0,H91,0)</f>
        <v>0</v>
      </c>
      <c r="AI91" s="20">
        <f>IF(AL91=15,H91,0)</f>
        <v>0</v>
      </c>
      <c r="AJ91" s="20">
        <f>IF(AL91=21,H91,0)</f>
        <v>0</v>
      </c>
      <c r="AL91" s="36">
        <v>21</v>
      </c>
      <c r="AM91" s="36">
        <f>G91*0</f>
        <v>0</v>
      </c>
      <c r="AN91" s="36">
        <f>G91*(1-0)</f>
        <v>0</v>
      </c>
      <c r="AO91" s="32" t="s">
        <v>7</v>
      </c>
      <c r="AT91" s="36">
        <f>AU91+AV91</f>
        <v>0</v>
      </c>
      <c r="AU91" s="36">
        <f>F91*AM91</f>
        <v>0</v>
      </c>
      <c r="AV91" s="36">
        <f>F91*AN91</f>
        <v>0</v>
      </c>
      <c r="AW91" s="37" t="s">
        <v>671</v>
      </c>
      <c r="AX91" s="37" t="s">
        <v>692</v>
      </c>
      <c r="AY91" s="28" t="s">
        <v>705</v>
      </c>
      <c r="BA91" s="36">
        <f>AU91+AV91</f>
        <v>0</v>
      </c>
      <c r="BB91" s="36">
        <f>G91/(100-BC91)*100</f>
        <v>0</v>
      </c>
      <c r="BC91" s="36">
        <v>0</v>
      </c>
      <c r="BD91" s="36">
        <f>J91</f>
        <v>0</v>
      </c>
      <c r="BF91" s="20">
        <f>F91*AM91</f>
        <v>0</v>
      </c>
      <c r="BG91" s="20">
        <f>F91*AN91</f>
        <v>0</v>
      </c>
      <c r="BH91" s="20">
        <f>F91*G91</f>
        <v>0</v>
      </c>
    </row>
    <row r="92" spans="1:11" ht="12.75">
      <c r="A92" s="70"/>
      <c r="B92" s="70"/>
      <c r="C92" s="70"/>
      <c r="D92" s="71" t="s">
        <v>376</v>
      </c>
      <c r="E92" s="70"/>
      <c r="F92" s="72">
        <v>16.95</v>
      </c>
      <c r="G92" s="70"/>
      <c r="H92" s="101"/>
      <c r="I92" s="82"/>
      <c r="J92" s="82"/>
      <c r="K92" s="62"/>
    </row>
    <row r="93" spans="1:60" ht="12.75">
      <c r="A93" s="64" t="s">
        <v>36</v>
      </c>
      <c r="B93" s="64" t="s">
        <v>158</v>
      </c>
      <c r="C93" s="64" t="s">
        <v>190</v>
      </c>
      <c r="D93" s="64" t="s">
        <v>378</v>
      </c>
      <c r="E93" s="64" t="s">
        <v>633</v>
      </c>
      <c r="F93" s="67">
        <v>0.387</v>
      </c>
      <c r="G93" s="68"/>
      <c r="H93" s="100">
        <f>F93*G93</f>
        <v>0</v>
      </c>
      <c r="I93" s="81">
        <v>1.02116</v>
      </c>
      <c r="J93" s="81">
        <f>F93*I93</f>
        <v>0.39518892000000005</v>
      </c>
      <c r="K93" s="61" t="s">
        <v>653</v>
      </c>
      <c r="X93" s="36">
        <f>IF(AO93="5",BH93,0)</f>
        <v>0</v>
      </c>
      <c r="Z93" s="36">
        <f>IF(AO93="1",BF93,0)</f>
        <v>0</v>
      </c>
      <c r="AA93" s="36">
        <f>IF(AO93="1",BG93,0)</f>
        <v>0</v>
      </c>
      <c r="AB93" s="36">
        <f>IF(AO93="7",BF93,0)</f>
        <v>0</v>
      </c>
      <c r="AC93" s="36">
        <f>IF(AO93="7",BG93,0)</f>
        <v>0</v>
      </c>
      <c r="AD93" s="36">
        <f>IF(AO93="2",BF93,0)</f>
        <v>0</v>
      </c>
      <c r="AE93" s="36">
        <f>IF(AO93="2",BG93,0)</f>
        <v>0</v>
      </c>
      <c r="AF93" s="36">
        <f>IF(AO93="0",BH93,0)</f>
        <v>0</v>
      </c>
      <c r="AG93" s="28" t="s">
        <v>158</v>
      </c>
      <c r="AH93" s="20">
        <f>IF(AL93=0,H93,0)</f>
        <v>0</v>
      </c>
      <c r="AI93" s="20">
        <f>IF(AL93=15,H93,0)</f>
        <v>0</v>
      </c>
      <c r="AJ93" s="20">
        <f>IF(AL93=21,H93,0)</f>
        <v>0</v>
      </c>
      <c r="AL93" s="36">
        <v>21</v>
      </c>
      <c r="AM93" s="36">
        <f>G93*0.678350079744817</f>
        <v>0</v>
      </c>
      <c r="AN93" s="36">
        <f>G93*(1-0.678350079744817)</f>
        <v>0</v>
      </c>
      <c r="AO93" s="32" t="s">
        <v>7</v>
      </c>
      <c r="AT93" s="36">
        <f>AU93+AV93</f>
        <v>0</v>
      </c>
      <c r="AU93" s="36">
        <f>F93*AM93</f>
        <v>0</v>
      </c>
      <c r="AV93" s="36">
        <f>F93*AN93</f>
        <v>0</v>
      </c>
      <c r="AW93" s="37" t="s">
        <v>671</v>
      </c>
      <c r="AX93" s="37" t="s">
        <v>692</v>
      </c>
      <c r="AY93" s="28" t="s">
        <v>705</v>
      </c>
      <c r="BA93" s="36">
        <f>AU93+AV93</f>
        <v>0</v>
      </c>
      <c r="BB93" s="36">
        <f>G93/(100-BC93)*100</f>
        <v>0</v>
      </c>
      <c r="BC93" s="36">
        <v>0</v>
      </c>
      <c r="BD93" s="36">
        <f>J93</f>
        <v>0.39518892000000005</v>
      </c>
      <c r="BF93" s="20">
        <f>F93*AM93</f>
        <v>0</v>
      </c>
      <c r="BG93" s="20">
        <f>F93*AN93</f>
        <v>0</v>
      </c>
      <c r="BH93" s="20">
        <f>F93*G93</f>
        <v>0</v>
      </c>
    </row>
    <row r="94" spans="1:11" ht="12.75">
      <c r="A94" s="70"/>
      <c r="B94" s="70"/>
      <c r="C94" s="70"/>
      <c r="D94" s="71" t="s">
        <v>379</v>
      </c>
      <c r="E94" s="70"/>
      <c r="F94" s="72">
        <v>0.387</v>
      </c>
      <c r="G94" s="70"/>
      <c r="H94" s="101"/>
      <c r="I94" s="82"/>
      <c r="J94" s="82"/>
      <c r="K94" s="62"/>
    </row>
    <row r="95" spans="1:60" ht="12.75">
      <c r="A95" s="64" t="s">
        <v>37</v>
      </c>
      <c r="B95" s="64" t="s">
        <v>158</v>
      </c>
      <c r="C95" s="64" t="s">
        <v>191</v>
      </c>
      <c r="D95" s="64" t="s">
        <v>380</v>
      </c>
      <c r="E95" s="64" t="s">
        <v>634</v>
      </c>
      <c r="F95" s="67">
        <v>2</v>
      </c>
      <c r="G95" s="68"/>
      <c r="H95" s="100">
        <f>F95*G95</f>
        <v>0</v>
      </c>
      <c r="I95" s="81">
        <v>0.00444</v>
      </c>
      <c r="J95" s="81">
        <f>F95*I95</f>
        <v>0.00888</v>
      </c>
      <c r="K95" s="61" t="s">
        <v>653</v>
      </c>
      <c r="X95" s="36">
        <f>IF(AO95="5",BH95,0)</f>
        <v>0</v>
      </c>
      <c r="Z95" s="36">
        <f>IF(AO95="1",BF95,0)</f>
        <v>0</v>
      </c>
      <c r="AA95" s="36">
        <f>IF(AO95="1",BG95,0)</f>
        <v>0</v>
      </c>
      <c r="AB95" s="36">
        <f>IF(AO95="7",BF95,0)</f>
        <v>0</v>
      </c>
      <c r="AC95" s="36">
        <f>IF(AO95="7",BG95,0)</f>
        <v>0</v>
      </c>
      <c r="AD95" s="36">
        <f>IF(AO95="2",BF95,0)</f>
        <v>0</v>
      </c>
      <c r="AE95" s="36">
        <f>IF(AO95="2",BG95,0)</f>
        <v>0</v>
      </c>
      <c r="AF95" s="36">
        <f>IF(AO95="0",BH95,0)</f>
        <v>0</v>
      </c>
      <c r="AG95" s="28" t="s">
        <v>158</v>
      </c>
      <c r="AH95" s="20">
        <f>IF(AL95=0,H95,0)</f>
        <v>0</v>
      </c>
      <c r="AI95" s="20">
        <f>IF(AL95=15,H95,0)</f>
        <v>0</v>
      </c>
      <c r="AJ95" s="20">
        <f>IF(AL95=21,H95,0)</f>
        <v>0</v>
      </c>
      <c r="AL95" s="36">
        <v>21</v>
      </c>
      <c r="AM95" s="36">
        <f>G95*0.770347222222222</f>
        <v>0</v>
      </c>
      <c r="AN95" s="36">
        <f>G95*(1-0.770347222222222)</f>
        <v>0</v>
      </c>
      <c r="AO95" s="32" t="s">
        <v>7</v>
      </c>
      <c r="AT95" s="36">
        <f>AU95+AV95</f>
        <v>0</v>
      </c>
      <c r="AU95" s="36">
        <f>F95*AM95</f>
        <v>0</v>
      </c>
      <c r="AV95" s="36">
        <f>F95*AN95</f>
        <v>0</v>
      </c>
      <c r="AW95" s="37" t="s">
        <v>671</v>
      </c>
      <c r="AX95" s="37" t="s">
        <v>692</v>
      </c>
      <c r="AY95" s="28" t="s">
        <v>705</v>
      </c>
      <c r="BA95" s="36">
        <f>AU95+AV95</f>
        <v>0</v>
      </c>
      <c r="BB95" s="36">
        <f>G95/(100-BC95)*100</f>
        <v>0</v>
      </c>
      <c r="BC95" s="36">
        <v>0</v>
      </c>
      <c r="BD95" s="36">
        <f>J95</f>
        <v>0.00888</v>
      </c>
      <c r="BF95" s="20">
        <f>F95*AM95</f>
        <v>0</v>
      </c>
      <c r="BG95" s="20">
        <f>F95*AN95</f>
        <v>0</v>
      </c>
      <c r="BH95" s="20">
        <f>F95*G95</f>
        <v>0</v>
      </c>
    </row>
    <row r="96" spans="1:11" ht="12.75">
      <c r="A96" s="65"/>
      <c r="B96" s="65"/>
      <c r="C96" s="65"/>
      <c r="D96" s="66" t="s">
        <v>381</v>
      </c>
      <c r="E96" s="65"/>
      <c r="F96" s="69">
        <v>2</v>
      </c>
      <c r="G96" s="65"/>
      <c r="H96" s="65"/>
      <c r="I96" s="83"/>
      <c r="J96" s="83"/>
      <c r="K96" s="63"/>
    </row>
    <row r="97" spans="1:45" ht="12.75">
      <c r="A97" s="4"/>
      <c r="B97" s="14" t="s">
        <v>158</v>
      </c>
      <c r="C97" s="14" t="s">
        <v>37</v>
      </c>
      <c r="D97" s="14" t="s">
        <v>382</v>
      </c>
      <c r="E97" s="4" t="s">
        <v>6</v>
      </c>
      <c r="F97" s="4" t="s">
        <v>6</v>
      </c>
      <c r="G97" s="4"/>
      <c r="H97" s="39">
        <f>SUM(H98:H111)</f>
        <v>0</v>
      </c>
      <c r="I97" s="80"/>
      <c r="J97" s="80">
        <f>SUM(J98:J111)</f>
        <v>115.87530334999998</v>
      </c>
      <c r="K97" s="28"/>
      <c r="AG97" s="28" t="s">
        <v>158</v>
      </c>
      <c r="AQ97" s="39">
        <f>SUM(AH98:AH111)</f>
        <v>0</v>
      </c>
      <c r="AR97" s="39">
        <f>SUM(AI98:AI111)</f>
        <v>0</v>
      </c>
      <c r="AS97" s="39">
        <f>SUM(AJ98:AJ111)</f>
        <v>0</v>
      </c>
    </row>
    <row r="98" spans="1:60" ht="12.75">
      <c r="A98" s="64" t="s">
        <v>38</v>
      </c>
      <c r="B98" s="64" t="s">
        <v>158</v>
      </c>
      <c r="C98" s="64" t="s">
        <v>192</v>
      </c>
      <c r="D98" s="64" t="s">
        <v>383</v>
      </c>
      <c r="E98" s="64" t="s">
        <v>631</v>
      </c>
      <c r="F98" s="67">
        <v>144.28</v>
      </c>
      <c r="G98" s="68"/>
      <c r="H98" s="100">
        <f>F98*G98</f>
        <v>0</v>
      </c>
      <c r="I98" s="81">
        <v>0.77123</v>
      </c>
      <c r="J98" s="81">
        <f>F98*I98</f>
        <v>111.2730644</v>
      </c>
      <c r="K98" s="61" t="s">
        <v>653</v>
      </c>
      <c r="X98" s="36">
        <f>IF(AO98="5",BH98,0)</f>
        <v>0</v>
      </c>
      <c r="Z98" s="36">
        <f>IF(AO98="1",BF98,0)</f>
        <v>0</v>
      </c>
      <c r="AA98" s="36">
        <f>IF(AO98="1",BG98,0)</f>
        <v>0</v>
      </c>
      <c r="AB98" s="36">
        <f>IF(AO98="7",BF98,0)</f>
        <v>0</v>
      </c>
      <c r="AC98" s="36">
        <f>IF(AO98="7",BG98,0)</f>
        <v>0</v>
      </c>
      <c r="AD98" s="36">
        <f>IF(AO98="2",BF98,0)</f>
        <v>0</v>
      </c>
      <c r="AE98" s="36">
        <f>IF(AO98="2",BG98,0)</f>
        <v>0</v>
      </c>
      <c r="AF98" s="36">
        <f>IF(AO98="0",BH98,0)</f>
        <v>0</v>
      </c>
      <c r="AG98" s="28" t="s">
        <v>158</v>
      </c>
      <c r="AH98" s="20">
        <f>IF(AL98=0,H98,0)</f>
        <v>0</v>
      </c>
      <c r="AI98" s="20">
        <f>IF(AL98=15,H98,0)</f>
        <v>0</v>
      </c>
      <c r="AJ98" s="20">
        <f>IF(AL98=21,H98,0)</f>
        <v>0</v>
      </c>
      <c r="AL98" s="36">
        <v>21</v>
      </c>
      <c r="AM98" s="36">
        <f>G98*0.666900763358779</f>
        <v>0</v>
      </c>
      <c r="AN98" s="36">
        <f>G98*(1-0.666900763358779)</f>
        <v>0</v>
      </c>
      <c r="AO98" s="32" t="s">
        <v>7</v>
      </c>
      <c r="AT98" s="36">
        <f>AU98+AV98</f>
        <v>0</v>
      </c>
      <c r="AU98" s="36">
        <f>F98*AM98</f>
        <v>0</v>
      </c>
      <c r="AV98" s="36">
        <f>F98*AN98</f>
        <v>0</v>
      </c>
      <c r="AW98" s="37" t="s">
        <v>672</v>
      </c>
      <c r="AX98" s="37" t="s">
        <v>693</v>
      </c>
      <c r="AY98" s="28" t="s">
        <v>705</v>
      </c>
      <c r="BA98" s="36">
        <f>AU98+AV98</f>
        <v>0</v>
      </c>
      <c r="BB98" s="36">
        <f>G98/(100-BC98)*100</f>
        <v>0</v>
      </c>
      <c r="BC98" s="36">
        <v>0</v>
      </c>
      <c r="BD98" s="36">
        <f>J98</f>
        <v>111.2730644</v>
      </c>
      <c r="BF98" s="20">
        <f>F98*AM98</f>
        <v>0</v>
      </c>
      <c r="BG98" s="20">
        <f>F98*AN98</f>
        <v>0</v>
      </c>
      <c r="BH98" s="20">
        <f>F98*G98</f>
        <v>0</v>
      </c>
    </row>
    <row r="99" spans="1:11" ht="12.75">
      <c r="A99" s="70"/>
      <c r="B99" s="70"/>
      <c r="C99" s="70"/>
      <c r="D99" s="71" t="s">
        <v>384</v>
      </c>
      <c r="E99" s="70"/>
      <c r="F99" s="72">
        <v>148.2</v>
      </c>
      <c r="G99" s="70"/>
      <c r="H99" s="101"/>
      <c r="I99" s="82"/>
      <c r="J99" s="82"/>
      <c r="K99" s="62"/>
    </row>
    <row r="100" spans="1:11" ht="12.75">
      <c r="A100" s="70"/>
      <c r="B100" s="70"/>
      <c r="C100" s="70"/>
      <c r="D100" s="71" t="s">
        <v>385</v>
      </c>
      <c r="E100" s="70"/>
      <c r="F100" s="72">
        <v>11.4</v>
      </c>
      <c r="G100" s="70"/>
      <c r="H100" s="101"/>
      <c r="I100" s="82"/>
      <c r="J100" s="82"/>
      <c r="K100" s="62"/>
    </row>
    <row r="101" spans="1:11" ht="12.75">
      <c r="A101" s="70"/>
      <c r="B101" s="70"/>
      <c r="C101" s="70"/>
      <c r="D101" s="71" t="s">
        <v>386</v>
      </c>
      <c r="E101" s="70"/>
      <c r="F101" s="72">
        <v>-15.32</v>
      </c>
      <c r="G101" s="70"/>
      <c r="H101" s="101"/>
      <c r="I101" s="82"/>
      <c r="J101" s="82"/>
      <c r="K101" s="62"/>
    </row>
    <row r="102" spans="1:60" ht="12.75">
      <c r="A102" s="64" t="s">
        <v>39</v>
      </c>
      <c r="B102" s="64" t="s">
        <v>158</v>
      </c>
      <c r="C102" s="64" t="s">
        <v>193</v>
      </c>
      <c r="D102" s="64" t="s">
        <v>387</v>
      </c>
      <c r="E102" s="64" t="s">
        <v>633</v>
      </c>
      <c r="F102" s="67">
        <v>2.164</v>
      </c>
      <c r="G102" s="68"/>
      <c r="H102" s="100">
        <f>F102*G102</f>
        <v>0</v>
      </c>
      <c r="I102" s="81">
        <v>1.02029</v>
      </c>
      <c r="J102" s="81">
        <f>F102*I102</f>
        <v>2.2079075599999998</v>
      </c>
      <c r="K102" s="61" t="s">
        <v>653</v>
      </c>
      <c r="X102" s="36">
        <f>IF(AO102="5",BH102,0)</f>
        <v>0</v>
      </c>
      <c r="Z102" s="36">
        <f>IF(AO102="1",BF102,0)</f>
        <v>0</v>
      </c>
      <c r="AA102" s="36">
        <f>IF(AO102="1",BG102,0)</f>
        <v>0</v>
      </c>
      <c r="AB102" s="36">
        <f>IF(AO102="7",BF102,0)</f>
        <v>0</v>
      </c>
      <c r="AC102" s="36">
        <f>IF(AO102="7",BG102,0)</f>
        <v>0</v>
      </c>
      <c r="AD102" s="36">
        <f>IF(AO102="2",BF102,0)</f>
        <v>0</v>
      </c>
      <c r="AE102" s="36">
        <f>IF(AO102="2",BG102,0)</f>
        <v>0</v>
      </c>
      <c r="AF102" s="36">
        <f>IF(AO102="0",BH102,0)</f>
        <v>0</v>
      </c>
      <c r="AG102" s="28" t="s">
        <v>158</v>
      </c>
      <c r="AH102" s="20">
        <f>IF(AL102=0,H102,0)</f>
        <v>0</v>
      </c>
      <c r="AI102" s="20">
        <f>IF(AL102=15,H102,0)</f>
        <v>0</v>
      </c>
      <c r="AJ102" s="20">
        <f>IF(AL102=21,H102,0)</f>
        <v>0</v>
      </c>
      <c r="AL102" s="36">
        <v>21</v>
      </c>
      <c r="AM102" s="36">
        <f>G102*0.663980474934037</f>
        <v>0</v>
      </c>
      <c r="AN102" s="36">
        <f>G102*(1-0.663980474934037)</f>
        <v>0</v>
      </c>
      <c r="AO102" s="32" t="s">
        <v>7</v>
      </c>
      <c r="AT102" s="36">
        <f>AU102+AV102</f>
        <v>0</v>
      </c>
      <c r="AU102" s="36">
        <f>F102*AM102</f>
        <v>0</v>
      </c>
      <c r="AV102" s="36">
        <f>F102*AN102</f>
        <v>0</v>
      </c>
      <c r="AW102" s="37" t="s">
        <v>672</v>
      </c>
      <c r="AX102" s="37" t="s">
        <v>693</v>
      </c>
      <c r="AY102" s="28" t="s">
        <v>705</v>
      </c>
      <c r="BA102" s="36">
        <f>AU102+AV102</f>
        <v>0</v>
      </c>
      <c r="BB102" s="36">
        <f>G102/(100-BC102)*100</f>
        <v>0</v>
      </c>
      <c r="BC102" s="36">
        <v>0</v>
      </c>
      <c r="BD102" s="36">
        <f>J102</f>
        <v>2.2079075599999998</v>
      </c>
      <c r="BF102" s="20">
        <f>F102*AM102</f>
        <v>0</v>
      </c>
      <c r="BG102" s="20">
        <f>F102*AN102</f>
        <v>0</v>
      </c>
      <c r="BH102" s="20">
        <f>F102*G102</f>
        <v>0</v>
      </c>
    </row>
    <row r="103" spans="1:11" ht="12.75">
      <c r="A103" s="70"/>
      <c r="B103" s="70"/>
      <c r="C103" s="70"/>
      <c r="D103" s="71" t="s">
        <v>388</v>
      </c>
      <c r="E103" s="70"/>
      <c r="F103" s="72">
        <v>2.164</v>
      </c>
      <c r="G103" s="70"/>
      <c r="H103" s="101"/>
      <c r="I103" s="82"/>
      <c r="J103" s="82"/>
      <c r="K103" s="62"/>
    </row>
    <row r="104" spans="1:60" ht="12.75">
      <c r="A104" s="64" t="s">
        <v>40</v>
      </c>
      <c r="B104" s="64" t="s">
        <v>158</v>
      </c>
      <c r="C104" s="64" t="s">
        <v>194</v>
      </c>
      <c r="D104" s="64" t="s">
        <v>389</v>
      </c>
      <c r="E104" s="64" t="s">
        <v>633</v>
      </c>
      <c r="F104" s="67">
        <v>0.204</v>
      </c>
      <c r="G104" s="68"/>
      <c r="H104" s="100">
        <f>F104*G104</f>
        <v>0</v>
      </c>
      <c r="I104" s="81">
        <v>1.09709</v>
      </c>
      <c r="J104" s="81">
        <f>F104*I104</f>
        <v>0.22380635999999995</v>
      </c>
      <c r="K104" s="61" t="s">
        <v>653</v>
      </c>
      <c r="X104" s="36">
        <f>IF(AO104="5",BH104,0)</f>
        <v>0</v>
      </c>
      <c r="Z104" s="36">
        <f>IF(AO104="1",BF104,0)</f>
        <v>0</v>
      </c>
      <c r="AA104" s="36">
        <f>IF(AO104="1",BG104,0)</f>
        <v>0</v>
      </c>
      <c r="AB104" s="36">
        <f>IF(AO104="7",BF104,0)</f>
        <v>0</v>
      </c>
      <c r="AC104" s="36">
        <f>IF(AO104="7",BG104,0)</f>
        <v>0</v>
      </c>
      <c r="AD104" s="36">
        <f>IF(AO104="2",BF104,0)</f>
        <v>0</v>
      </c>
      <c r="AE104" s="36">
        <f>IF(AO104="2",BG104,0)</f>
        <v>0</v>
      </c>
      <c r="AF104" s="36">
        <f>IF(AO104="0",BH104,0)</f>
        <v>0</v>
      </c>
      <c r="AG104" s="28" t="s">
        <v>158</v>
      </c>
      <c r="AH104" s="20">
        <f>IF(AL104=0,H104,0)</f>
        <v>0</v>
      </c>
      <c r="AI104" s="20">
        <f>IF(AL104=15,H104,0)</f>
        <v>0</v>
      </c>
      <c r="AJ104" s="20">
        <f>IF(AL104=21,H104,0)</f>
        <v>0</v>
      </c>
      <c r="AL104" s="36">
        <v>21</v>
      </c>
      <c r="AM104" s="36">
        <f>G104*0.747112350804359</f>
        <v>0</v>
      </c>
      <c r="AN104" s="36">
        <f>G104*(1-0.747112350804359)</f>
        <v>0</v>
      </c>
      <c r="AO104" s="32" t="s">
        <v>7</v>
      </c>
      <c r="AT104" s="36">
        <f>AU104+AV104</f>
        <v>0</v>
      </c>
      <c r="AU104" s="36">
        <f>F104*AM104</f>
        <v>0</v>
      </c>
      <c r="AV104" s="36">
        <f>F104*AN104</f>
        <v>0</v>
      </c>
      <c r="AW104" s="37" t="s">
        <v>672</v>
      </c>
      <c r="AX104" s="37" t="s">
        <v>693</v>
      </c>
      <c r="AY104" s="28" t="s">
        <v>705</v>
      </c>
      <c r="BA104" s="36">
        <f>AU104+AV104</f>
        <v>0</v>
      </c>
      <c r="BB104" s="36">
        <f>G104/(100-BC104)*100</f>
        <v>0</v>
      </c>
      <c r="BC104" s="36">
        <v>0</v>
      </c>
      <c r="BD104" s="36">
        <f>J104</f>
        <v>0.22380635999999995</v>
      </c>
      <c r="BF104" s="20">
        <f>F104*AM104</f>
        <v>0</v>
      </c>
      <c r="BG104" s="20">
        <f>F104*AN104</f>
        <v>0</v>
      </c>
      <c r="BH104" s="20">
        <f>F104*G104</f>
        <v>0</v>
      </c>
    </row>
    <row r="105" spans="1:11" ht="12.75">
      <c r="A105" s="70"/>
      <c r="B105" s="70"/>
      <c r="C105" s="70"/>
      <c r="D105" s="71" t="s">
        <v>390</v>
      </c>
      <c r="E105" s="70"/>
      <c r="F105" s="72">
        <v>0.091</v>
      </c>
      <c r="G105" s="70"/>
      <c r="H105" s="101"/>
      <c r="I105" s="82"/>
      <c r="J105" s="82"/>
      <c r="K105" s="62"/>
    </row>
    <row r="106" spans="1:11" ht="12.75">
      <c r="A106" s="70"/>
      <c r="B106" s="70"/>
      <c r="C106" s="70"/>
      <c r="D106" s="71" t="s">
        <v>391</v>
      </c>
      <c r="E106" s="70"/>
      <c r="F106" s="72">
        <v>0.113</v>
      </c>
      <c r="G106" s="70"/>
      <c r="H106" s="101"/>
      <c r="I106" s="82"/>
      <c r="J106" s="82"/>
      <c r="K106" s="62"/>
    </row>
    <row r="107" spans="1:60" ht="12.75">
      <c r="A107" s="64" t="s">
        <v>41</v>
      </c>
      <c r="B107" s="64" t="s">
        <v>158</v>
      </c>
      <c r="C107" s="64" t="s">
        <v>195</v>
      </c>
      <c r="D107" s="64" t="s">
        <v>392</v>
      </c>
      <c r="E107" s="64" t="s">
        <v>633</v>
      </c>
      <c r="F107" s="67">
        <v>0.307</v>
      </c>
      <c r="G107" s="68"/>
      <c r="H107" s="100">
        <f>F107*G107</f>
        <v>0</v>
      </c>
      <c r="I107" s="81">
        <v>1.09709</v>
      </c>
      <c r="J107" s="81">
        <f>F107*I107</f>
        <v>0.33680662999999994</v>
      </c>
      <c r="K107" s="61" t="s">
        <v>653</v>
      </c>
      <c r="X107" s="36">
        <f>IF(AO107="5",BH107,0)</f>
        <v>0</v>
      </c>
      <c r="Z107" s="36">
        <f>IF(AO107="1",BF107,0)</f>
        <v>0</v>
      </c>
      <c r="AA107" s="36">
        <f>IF(AO107="1",BG107,0)</f>
        <v>0</v>
      </c>
      <c r="AB107" s="36">
        <f>IF(AO107="7",BF107,0)</f>
        <v>0</v>
      </c>
      <c r="AC107" s="36">
        <f>IF(AO107="7",BG107,0)</f>
        <v>0</v>
      </c>
      <c r="AD107" s="36">
        <f>IF(AO107="2",BF107,0)</f>
        <v>0</v>
      </c>
      <c r="AE107" s="36">
        <f>IF(AO107="2",BG107,0)</f>
        <v>0</v>
      </c>
      <c r="AF107" s="36">
        <f>IF(AO107="0",BH107,0)</f>
        <v>0</v>
      </c>
      <c r="AG107" s="28" t="s">
        <v>158</v>
      </c>
      <c r="AH107" s="20">
        <f>IF(AL107=0,H107,0)</f>
        <v>0</v>
      </c>
      <c r="AI107" s="20">
        <f>IF(AL107=15,H107,0)</f>
        <v>0</v>
      </c>
      <c r="AJ107" s="20">
        <f>IF(AL107=21,H107,0)</f>
        <v>0</v>
      </c>
      <c r="AL107" s="36">
        <v>21</v>
      </c>
      <c r="AM107" s="36">
        <f>G107*0.750223218862122</f>
        <v>0</v>
      </c>
      <c r="AN107" s="36">
        <f>G107*(1-0.750223218862122)</f>
        <v>0</v>
      </c>
      <c r="AO107" s="32" t="s">
        <v>7</v>
      </c>
      <c r="AT107" s="36">
        <f>AU107+AV107</f>
        <v>0</v>
      </c>
      <c r="AU107" s="36">
        <f>F107*AM107</f>
        <v>0</v>
      </c>
      <c r="AV107" s="36">
        <f>F107*AN107</f>
        <v>0</v>
      </c>
      <c r="AW107" s="37" t="s">
        <v>672</v>
      </c>
      <c r="AX107" s="37" t="s">
        <v>693</v>
      </c>
      <c r="AY107" s="28" t="s">
        <v>705</v>
      </c>
      <c r="BA107" s="36">
        <f>AU107+AV107</f>
        <v>0</v>
      </c>
      <c r="BB107" s="36">
        <f>G107/(100-BC107)*100</f>
        <v>0</v>
      </c>
      <c r="BC107" s="36">
        <v>0</v>
      </c>
      <c r="BD107" s="36">
        <f>J107</f>
        <v>0.33680662999999994</v>
      </c>
      <c r="BF107" s="20">
        <f>F107*AM107</f>
        <v>0</v>
      </c>
      <c r="BG107" s="20">
        <f>F107*AN107</f>
        <v>0</v>
      </c>
      <c r="BH107" s="20">
        <f>F107*G107</f>
        <v>0</v>
      </c>
    </row>
    <row r="108" spans="1:11" ht="12.75">
      <c r="A108" s="70"/>
      <c r="B108" s="70"/>
      <c r="C108" s="70"/>
      <c r="D108" s="71" t="s">
        <v>393</v>
      </c>
      <c r="E108" s="70"/>
      <c r="F108" s="72">
        <v>0.307</v>
      </c>
      <c r="G108" s="70"/>
      <c r="H108" s="101"/>
      <c r="I108" s="82"/>
      <c r="J108" s="82"/>
      <c r="K108" s="62"/>
    </row>
    <row r="109" spans="1:60" ht="12.75">
      <c r="A109" s="64" t="s">
        <v>42</v>
      </c>
      <c r="B109" s="64" t="s">
        <v>158</v>
      </c>
      <c r="C109" s="64" t="s">
        <v>196</v>
      </c>
      <c r="D109" s="64" t="s">
        <v>394</v>
      </c>
      <c r="E109" s="64" t="s">
        <v>630</v>
      </c>
      <c r="F109" s="67">
        <v>0.578</v>
      </c>
      <c r="G109" s="68"/>
      <c r="H109" s="100">
        <f>F109*G109</f>
        <v>0</v>
      </c>
      <c r="I109" s="81">
        <v>1.6824</v>
      </c>
      <c r="J109" s="81">
        <f>F109*I109</f>
        <v>0.9724271999999998</v>
      </c>
      <c r="K109" s="61" t="s">
        <v>653</v>
      </c>
      <c r="X109" s="36">
        <f>IF(AO109="5",BH109,0)</f>
        <v>0</v>
      </c>
      <c r="Z109" s="36">
        <f>IF(AO109="1",BF109,0)</f>
        <v>0</v>
      </c>
      <c r="AA109" s="36">
        <f>IF(AO109="1",BG109,0)</f>
        <v>0</v>
      </c>
      <c r="AB109" s="36">
        <f>IF(AO109="7",BF109,0)</f>
        <v>0</v>
      </c>
      <c r="AC109" s="36">
        <f>IF(AO109="7",BG109,0)</f>
        <v>0</v>
      </c>
      <c r="AD109" s="36">
        <f>IF(AO109="2",BF109,0)</f>
        <v>0</v>
      </c>
      <c r="AE109" s="36">
        <f>IF(AO109="2",BG109,0)</f>
        <v>0</v>
      </c>
      <c r="AF109" s="36">
        <f>IF(AO109="0",BH109,0)</f>
        <v>0</v>
      </c>
      <c r="AG109" s="28" t="s">
        <v>158</v>
      </c>
      <c r="AH109" s="20">
        <f>IF(AL109=0,H109,0)</f>
        <v>0</v>
      </c>
      <c r="AI109" s="20">
        <f>IF(AL109=15,H109,0)</f>
        <v>0</v>
      </c>
      <c r="AJ109" s="20">
        <f>IF(AL109=21,H109,0)</f>
        <v>0</v>
      </c>
      <c r="AL109" s="36">
        <v>21</v>
      </c>
      <c r="AM109" s="36">
        <f>G109*0.546803755202446</f>
        <v>0</v>
      </c>
      <c r="AN109" s="36">
        <f>G109*(1-0.546803755202446)</f>
        <v>0</v>
      </c>
      <c r="AO109" s="32" t="s">
        <v>7</v>
      </c>
      <c r="AT109" s="36">
        <f>AU109+AV109</f>
        <v>0</v>
      </c>
      <c r="AU109" s="36">
        <f>F109*AM109</f>
        <v>0</v>
      </c>
      <c r="AV109" s="36">
        <f>F109*AN109</f>
        <v>0</v>
      </c>
      <c r="AW109" s="37" t="s">
        <v>672</v>
      </c>
      <c r="AX109" s="37" t="s">
        <v>693</v>
      </c>
      <c r="AY109" s="28" t="s">
        <v>705</v>
      </c>
      <c r="BA109" s="36">
        <f>AU109+AV109</f>
        <v>0</v>
      </c>
      <c r="BB109" s="36">
        <f>G109/(100-BC109)*100</f>
        <v>0</v>
      </c>
      <c r="BC109" s="36">
        <v>0</v>
      </c>
      <c r="BD109" s="36">
        <f>J109</f>
        <v>0.9724271999999998</v>
      </c>
      <c r="BF109" s="20">
        <f>F109*AM109</f>
        <v>0</v>
      </c>
      <c r="BG109" s="20">
        <f>F109*AN109</f>
        <v>0</v>
      </c>
      <c r="BH109" s="20">
        <f>F109*G109</f>
        <v>0</v>
      </c>
    </row>
    <row r="110" spans="1:11" ht="12.75">
      <c r="A110" s="70"/>
      <c r="B110" s="70"/>
      <c r="C110" s="70"/>
      <c r="D110" s="71" t="s">
        <v>395</v>
      </c>
      <c r="E110" s="70"/>
      <c r="F110" s="72">
        <v>0.578</v>
      </c>
      <c r="G110" s="70"/>
      <c r="H110" s="101"/>
      <c r="I110" s="82"/>
      <c r="J110" s="82"/>
      <c r="K110" s="62"/>
    </row>
    <row r="111" spans="1:60" ht="12.75">
      <c r="A111" s="64" t="s">
        <v>43</v>
      </c>
      <c r="B111" s="64" t="s">
        <v>158</v>
      </c>
      <c r="C111" s="64" t="s">
        <v>197</v>
      </c>
      <c r="D111" s="64" t="s">
        <v>396</v>
      </c>
      <c r="E111" s="64" t="s">
        <v>631</v>
      </c>
      <c r="F111" s="67">
        <v>3.08</v>
      </c>
      <c r="G111" s="68"/>
      <c r="H111" s="100">
        <f>F111*G111</f>
        <v>0</v>
      </c>
      <c r="I111" s="81">
        <v>0.27964</v>
      </c>
      <c r="J111" s="81">
        <f>F111*I111</f>
        <v>0.8612912</v>
      </c>
      <c r="K111" s="61" t="s">
        <v>653</v>
      </c>
      <c r="X111" s="36">
        <f>IF(AO111="5",BH111,0)</f>
        <v>0</v>
      </c>
      <c r="Z111" s="36">
        <f>IF(AO111="1",BF111,0)</f>
        <v>0</v>
      </c>
      <c r="AA111" s="36">
        <f>IF(AO111="1",BG111,0)</f>
        <v>0</v>
      </c>
      <c r="AB111" s="36">
        <f>IF(AO111="7",BF111,0)</f>
        <v>0</v>
      </c>
      <c r="AC111" s="36">
        <f>IF(AO111="7",BG111,0)</f>
        <v>0</v>
      </c>
      <c r="AD111" s="36">
        <f>IF(AO111="2",BF111,0)</f>
        <v>0</v>
      </c>
      <c r="AE111" s="36">
        <f>IF(AO111="2",BG111,0)</f>
        <v>0</v>
      </c>
      <c r="AF111" s="36">
        <f>IF(AO111="0",BH111,0)</f>
        <v>0</v>
      </c>
      <c r="AG111" s="28" t="s">
        <v>158</v>
      </c>
      <c r="AH111" s="20">
        <f>IF(AL111=0,H111,0)</f>
        <v>0</v>
      </c>
      <c r="AI111" s="20">
        <f>IF(AL111=15,H111,0)</f>
        <v>0</v>
      </c>
      <c r="AJ111" s="20">
        <f>IF(AL111=21,H111,0)</f>
        <v>0</v>
      </c>
      <c r="AL111" s="36">
        <v>21</v>
      </c>
      <c r="AM111" s="36">
        <f>G111*0.83211214953271</f>
        <v>0</v>
      </c>
      <c r="AN111" s="36">
        <f>G111*(1-0.83211214953271)</f>
        <v>0</v>
      </c>
      <c r="AO111" s="32" t="s">
        <v>7</v>
      </c>
      <c r="AT111" s="36">
        <f>AU111+AV111</f>
        <v>0</v>
      </c>
      <c r="AU111" s="36">
        <f>F111*AM111</f>
        <v>0</v>
      </c>
      <c r="AV111" s="36">
        <f>F111*AN111</f>
        <v>0</v>
      </c>
      <c r="AW111" s="37" t="s">
        <v>672</v>
      </c>
      <c r="AX111" s="37" t="s">
        <v>693</v>
      </c>
      <c r="AY111" s="28" t="s">
        <v>705</v>
      </c>
      <c r="BA111" s="36">
        <f>AU111+AV111</f>
        <v>0</v>
      </c>
      <c r="BB111" s="36">
        <f>G111/(100-BC111)*100</f>
        <v>0</v>
      </c>
      <c r="BC111" s="36">
        <v>0</v>
      </c>
      <c r="BD111" s="36">
        <f>J111</f>
        <v>0.8612912</v>
      </c>
      <c r="BF111" s="20">
        <f>F111*AM111</f>
        <v>0</v>
      </c>
      <c r="BG111" s="20">
        <f>F111*AN111</f>
        <v>0</v>
      </c>
      <c r="BH111" s="20">
        <f>F111*G111</f>
        <v>0</v>
      </c>
    </row>
    <row r="112" spans="1:11" ht="12.75">
      <c r="A112" s="65"/>
      <c r="B112" s="65"/>
      <c r="C112" s="65"/>
      <c r="D112" s="66" t="s">
        <v>397</v>
      </c>
      <c r="E112" s="65"/>
      <c r="F112" s="69">
        <v>3.08</v>
      </c>
      <c r="G112" s="65"/>
      <c r="H112" s="65"/>
      <c r="I112" s="83"/>
      <c r="J112" s="83"/>
      <c r="K112" s="63"/>
    </row>
    <row r="113" spans="1:45" ht="12.75">
      <c r="A113" s="4"/>
      <c r="B113" s="14" t="s">
        <v>158</v>
      </c>
      <c r="C113" s="14" t="s">
        <v>40</v>
      </c>
      <c r="D113" s="14" t="s">
        <v>398</v>
      </c>
      <c r="E113" s="4" t="s">
        <v>6</v>
      </c>
      <c r="F113" s="4" t="s">
        <v>6</v>
      </c>
      <c r="G113" s="4"/>
      <c r="H113" s="39">
        <f>SUM(H114:H114)</f>
        <v>0</v>
      </c>
      <c r="I113" s="80"/>
      <c r="J113" s="80">
        <f>SUM(J114:J114)</f>
        <v>0.43527679999999996</v>
      </c>
      <c r="K113" s="28"/>
      <c r="AG113" s="28" t="s">
        <v>158</v>
      </c>
      <c r="AQ113" s="39">
        <f>SUM(AH114:AH114)</f>
        <v>0</v>
      </c>
      <c r="AR113" s="39">
        <f>SUM(AI114:AI114)</f>
        <v>0</v>
      </c>
      <c r="AS113" s="39">
        <f>SUM(AJ114:AJ114)</f>
        <v>0</v>
      </c>
    </row>
    <row r="114" spans="1:60" ht="12.75">
      <c r="A114" s="64" t="s">
        <v>44</v>
      </c>
      <c r="B114" s="64" t="s">
        <v>158</v>
      </c>
      <c r="C114" s="64" t="s">
        <v>198</v>
      </c>
      <c r="D114" s="64" t="s">
        <v>399</v>
      </c>
      <c r="E114" s="64" t="s">
        <v>631</v>
      </c>
      <c r="F114" s="67">
        <v>2.776</v>
      </c>
      <c r="G114" s="68"/>
      <c r="H114" s="100">
        <f>F114*G114</f>
        <v>0</v>
      </c>
      <c r="I114" s="81">
        <v>0.1568</v>
      </c>
      <c r="J114" s="81">
        <f>F114*I114</f>
        <v>0.43527679999999996</v>
      </c>
      <c r="K114" s="61" t="s">
        <v>653</v>
      </c>
      <c r="X114" s="36">
        <f>IF(AO114="5",BH114,0)</f>
        <v>0</v>
      </c>
      <c r="Z114" s="36">
        <f>IF(AO114="1",BF114,0)</f>
        <v>0</v>
      </c>
      <c r="AA114" s="36">
        <f>IF(AO114="1",BG114,0)</f>
        <v>0</v>
      </c>
      <c r="AB114" s="36">
        <f>IF(AO114="7",BF114,0)</f>
        <v>0</v>
      </c>
      <c r="AC114" s="36">
        <f>IF(AO114="7",BG114,0)</f>
        <v>0</v>
      </c>
      <c r="AD114" s="36">
        <f>IF(AO114="2",BF114,0)</f>
        <v>0</v>
      </c>
      <c r="AE114" s="36">
        <f>IF(AO114="2",BG114,0)</f>
        <v>0</v>
      </c>
      <c r="AF114" s="36">
        <f>IF(AO114="0",BH114,0)</f>
        <v>0</v>
      </c>
      <c r="AG114" s="28" t="s">
        <v>158</v>
      </c>
      <c r="AH114" s="20">
        <f>IF(AL114=0,H114,0)</f>
        <v>0</v>
      </c>
      <c r="AI114" s="20">
        <f>IF(AL114=15,H114,0)</f>
        <v>0</v>
      </c>
      <c r="AJ114" s="20">
        <f>IF(AL114=21,H114,0)</f>
        <v>0</v>
      </c>
      <c r="AL114" s="36">
        <v>21</v>
      </c>
      <c r="AM114" s="36">
        <f>G114*0.408257384259796</f>
        <v>0</v>
      </c>
      <c r="AN114" s="36">
        <f>G114*(1-0.408257384259796)</f>
        <v>0</v>
      </c>
      <c r="AO114" s="32" t="s">
        <v>7</v>
      </c>
      <c r="AT114" s="36">
        <f>AU114+AV114</f>
        <v>0</v>
      </c>
      <c r="AU114" s="36">
        <f>F114*AM114</f>
        <v>0</v>
      </c>
      <c r="AV114" s="36">
        <f>F114*AN114</f>
        <v>0</v>
      </c>
      <c r="AW114" s="37" t="s">
        <v>673</v>
      </c>
      <c r="AX114" s="37" t="s">
        <v>693</v>
      </c>
      <c r="AY114" s="28" t="s">
        <v>705</v>
      </c>
      <c r="BA114" s="36">
        <f>AU114+AV114</f>
        <v>0</v>
      </c>
      <c r="BB114" s="36">
        <f>G114/(100-BC114)*100</f>
        <v>0</v>
      </c>
      <c r="BC114" s="36">
        <v>0</v>
      </c>
      <c r="BD114" s="36">
        <f>J114</f>
        <v>0.43527679999999996</v>
      </c>
      <c r="BF114" s="20">
        <f>F114*AM114</f>
        <v>0</v>
      </c>
      <c r="BG114" s="20">
        <f>F114*AN114</f>
        <v>0</v>
      </c>
      <c r="BH114" s="20">
        <f>F114*G114</f>
        <v>0</v>
      </c>
    </row>
    <row r="115" spans="1:11" ht="12.75">
      <c r="A115" s="65"/>
      <c r="B115" s="65"/>
      <c r="C115" s="65"/>
      <c r="D115" s="66" t="s">
        <v>400</v>
      </c>
      <c r="E115" s="65"/>
      <c r="F115" s="69">
        <v>2.776</v>
      </c>
      <c r="G115" s="65"/>
      <c r="H115" s="65"/>
      <c r="I115" s="83"/>
      <c r="J115" s="83"/>
      <c r="K115" s="63"/>
    </row>
    <row r="116" spans="1:45" ht="12.75">
      <c r="A116" s="4"/>
      <c r="B116" s="14" t="s">
        <v>158</v>
      </c>
      <c r="C116" s="14" t="s">
        <v>47</v>
      </c>
      <c r="D116" s="14" t="s">
        <v>401</v>
      </c>
      <c r="E116" s="4" t="s">
        <v>6</v>
      </c>
      <c r="F116" s="4" t="s">
        <v>6</v>
      </c>
      <c r="G116" s="4"/>
      <c r="H116" s="39">
        <f>SUM(H117:H142)</f>
        <v>0</v>
      </c>
      <c r="I116" s="80"/>
      <c r="J116" s="80">
        <f>SUM(J117:J142)</f>
        <v>73.16026613000001</v>
      </c>
      <c r="K116" s="28"/>
      <c r="AG116" s="28" t="s">
        <v>158</v>
      </c>
      <c r="AQ116" s="39">
        <f>SUM(AH117:AH142)</f>
        <v>0</v>
      </c>
      <c r="AR116" s="39">
        <f>SUM(AI117:AI142)</f>
        <v>0</v>
      </c>
      <c r="AS116" s="39">
        <f>SUM(AJ117:AJ142)</f>
        <v>0</v>
      </c>
    </row>
    <row r="117" spans="1:60" ht="12.75">
      <c r="A117" s="64" t="s">
        <v>45</v>
      </c>
      <c r="B117" s="64" t="s">
        <v>158</v>
      </c>
      <c r="C117" s="64" t="s">
        <v>199</v>
      </c>
      <c r="D117" s="64" t="s">
        <v>402</v>
      </c>
      <c r="E117" s="64" t="s">
        <v>630</v>
      </c>
      <c r="F117" s="67">
        <v>0.871</v>
      </c>
      <c r="G117" s="68"/>
      <c r="H117" s="100">
        <f>F117*G117</f>
        <v>0</v>
      </c>
      <c r="I117" s="81">
        <v>2.52507</v>
      </c>
      <c r="J117" s="81">
        <f>F117*I117</f>
        <v>2.19933597</v>
      </c>
      <c r="K117" s="61" t="s">
        <v>654</v>
      </c>
      <c r="X117" s="36">
        <f>IF(AO117="5",BH117,0)</f>
        <v>0</v>
      </c>
      <c r="Z117" s="36">
        <f>IF(AO117="1",BF117,0)</f>
        <v>0</v>
      </c>
      <c r="AA117" s="36">
        <f>IF(AO117="1",BG117,0)</f>
        <v>0</v>
      </c>
      <c r="AB117" s="36">
        <f>IF(AO117="7",BF117,0)</f>
        <v>0</v>
      </c>
      <c r="AC117" s="36">
        <f>IF(AO117="7",BG117,0)</f>
        <v>0</v>
      </c>
      <c r="AD117" s="36">
        <f>IF(AO117="2",BF117,0)</f>
        <v>0</v>
      </c>
      <c r="AE117" s="36">
        <f>IF(AO117="2",BG117,0)</f>
        <v>0</v>
      </c>
      <c r="AF117" s="36">
        <f>IF(AO117="0",BH117,0)</f>
        <v>0</v>
      </c>
      <c r="AG117" s="28" t="s">
        <v>158</v>
      </c>
      <c r="AH117" s="20">
        <f>IF(AL117=0,H117,0)</f>
        <v>0</v>
      </c>
      <c r="AI117" s="20">
        <f>IF(AL117=15,H117,0)</f>
        <v>0</v>
      </c>
      <c r="AJ117" s="20">
        <f>IF(AL117=21,H117,0)</f>
        <v>0</v>
      </c>
      <c r="AL117" s="36">
        <v>21</v>
      </c>
      <c r="AM117" s="36">
        <f>G117*0.866297595492507</f>
        <v>0</v>
      </c>
      <c r="AN117" s="36">
        <f>G117*(1-0.866297595492507)</f>
        <v>0</v>
      </c>
      <c r="AO117" s="32" t="s">
        <v>7</v>
      </c>
      <c r="AT117" s="36">
        <f>AU117+AV117</f>
        <v>0</v>
      </c>
      <c r="AU117" s="36">
        <f>F117*AM117</f>
        <v>0</v>
      </c>
      <c r="AV117" s="36">
        <f>F117*AN117</f>
        <v>0</v>
      </c>
      <c r="AW117" s="37" t="s">
        <v>674</v>
      </c>
      <c r="AX117" s="37" t="s">
        <v>694</v>
      </c>
      <c r="AY117" s="28" t="s">
        <v>705</v>
      </c>
      <c r="BA117" s="36">
        <f>AU117+AV117</f>
        <v>0</v>
      </c>
      <c r="BB117" s="36">
        <f>G117/(100-BC117)*100</f>
        <v>0</v>
      </c>
      <c r="BC117" s="36">
        <v>0</v>
      </c>
      <c r="BD117" s="36">
        <f>J117</f>
        <v>2.19933597</v>
      </c>
      <c r="BF117" s="20">
        <f>F117*AM117</f>
        <v>0</v>
      </c>
      <c r="BG117" s="20">
        <f>F117*AN117</f>
        <v>0</v>
      </c>
      <c r="BH117" s="20">
        <f>F117*G117</f>
        <v>0</v>
      </c>
    </row>
    <row r="118" spans="1:11" ht="12.75">
      <c r="A118" s="70"/>
      <c r="B118" s="70"/>
      <c r="C118" s="70"/>
      <c r="D118" s="71" t="s">
        <v>403</v>
      </c>
      <c r="E118" s="70"/>
      <c r="F118" s="72">
        <v>0.871</v>
      </c>
      <c r="G118" s="70"/>
      <c r="H118" s="101"/>
      <c r="I118" s="82"/>
      <c r="J118" s="82"/>
      <c r="K118" s="62"/>
    </row>
    <row r="119" spans="1:60" ht="12.75">
      <c r="A119" s="64" t="s">
        <v>46</v>
      </c>
      <c r="B119" s="64" t="s">
        <v>158</v>
      </c>
      <c r="C119" s="64" t="s">
        <v>200</v>
      </c>
      <c r="D119" s="64" t="s">
        <v>404</v>
      </c>
      <c r="E119" s="64" t="s">
        <v>634</v>
      </c>
      <c r="F119" s="67">
        <v>13</v>
      </c>
      <c r="G119" s="68"/>
      <c r="H119" s="100">
        <f>F119*G119</f>
        <v>0</v>
      </c>
      <c r="I119" s="81">
        <v>0.26487</v>
      </c>
      <c r="J119" s="81">
        <f>F119*I119</f>
        <v>3.44331</v>
      </c>
      <c r="K119" s="61" t="s">
        <v>653</v>
      </c>
      <c r="X119" s="36">
        <f>IF(AO119="5",BH119,0)</f>
        <v>0</v>
      </c>
      <c r="Z119" s="36">
        <f>IF(AO119="1",BF119,0)</f>
        <v>0</v>
      </c>
      <c r="AA119" s="36">
        <f>IF(AO119="1",BG119,0)</f>
        <v>0</v>
      </c>
      <c r="AB119" s="36">
        <f>IF(AO119="7",BF119,0)</f>
        <v>0</v>
      </c>
      <c r="AC119" s="36">
        <f>IF(AO119="7",BG119,0)</f>
        <v>0</v>
      </c>
      <c r="AD119" s="36">
        <f>IF(AO119="2",BF119,0)</f>
        <v>0</v>
      </c>
      <c r="AE119" s="36">
        <f>IF(AO119="2",BG119,0)</f>
        <v>0</v>
      </c>
      <c r="AF119" s="36">
        <f>IF(AO119="0",BH119,0)</f>
        <v>0</v>
      </c>
      <c r="AG119" s="28" t="s">
        <v>158</v>
      </c>
      <c r="AH119" s="20">
        <f>IF(AL119=0,H119,0)</f>
        <v>0</v>
      </c>
      <c r="AI119" s="20">
        <f>IF(AL119=15,H119,0)</f>
        <v>0</v>
      </c>
      <c r="AJ119" s="20">
        <f>IF(AL119=21,H119,0)</f>
        <v>0</v>
      </c>
      <c r="AL119" s="36">
        <v>21</v>
      </c>
      <c r="AM119" s="36">
        <f>G119*0.314986760812003</f>
        <v>0</v>
      </c>
      <c r="AN119" s="36">
        <f>G119*(1-0.314986760812003)</f>
        <v>0</v>
      </c>
      <c r="AO119" s="32" t="s">
        <v>7</v>
      </c>
      <c r="AT119" s="36">
        <f>AU119+AV119</f>
        <v>0</v>
      </c>
      <c r="AU119" s="36">
        <f>F119*AM119</f>
        <v>0</v>
      </c>
      <c r="AV119" s="36">
        <f>F119*AN119</f>
        <v>0</v>
      </c>
      <c r="AW119" s="37" t="s">
        <v>674</v>
      </c>
      <c r="AX119" s="37" t="s">
        <v>694</v>
      </c>
      <c r="AY119" s="28" t="s">
        <v>705</v>
      </c>
      <c r="BA119" s="36">
        <f>AU119+AV119</f>
        <v>0</v>
      </c>
      <c r="BB119" s="36">
        <f>G119/(100-BC119)*100</f>
        <v>0</v>
      </c>
      <c r="BC119" s="36">
        <v>0</v>
      </c>
      <c r="BD119" s="36">
        <f>J119</f>
        <v>3.44331</v>
      </c>
      <c r="BF119" s="20">
        <f>F119*AM119</f>
        <v>0</v>
      </c>
      <c r="BG119" s="20">
        <f>F119*AN119</f>
        <v>0</v>
      </c>
      <c r="BH119" s="20">
        <f>F119*G119</f>
        <v>0</v>
      </c>
    </row>
    <row r="120" spans="1:11" ht="12.75">
      <c r="A120" s="70"/>
      <c r="B120" s="70"/>
      <c r="C120" s="70"/>
      <c r="D120" s="71" t="s">
        <v>405</v>
      </c>
      <c r="E120" s="70"/>
      <c r="F120" s="72">
        <v>13</v>
      </c>
      <c r="G120" s="70"/>
      <c r="H120" s="101"/>
      <c r="I120" s="82"/>
      <c r="J120" s="82"/>
      <c r="K120" s="62"/>
    </row>
    <row r="121" spans="1:60" ht="12.75">
      <c r="A121" s="74" t="s">
        <v>47</v>
      </c>
      <c r="B121" s="74" t="s">
        <v>158</v>
      </c>
      <c r="C121" s="74" t="s">
        <v>201</v>
      </c>
      <c r="D121" s="74" t="s">
        <v>406</v>
      </c>
      <c r="E121" s="74" t="s">
        <v>631</v>
      </c>
      <c r="F121" s="75">
        <v>100.98</v>
      </c>
      <c r="G121" s="76"/>
      <c r="H121" s="103">
        <f>F121*G121</f>
        <v>0</v>
      </c>
      <c r="I121" s="84">
        <v>0.5</v>
      </c>
      <c r="J121" s="84">
        <f>F121*I121</f>
        <v>50.49</v>
      </c>
      <c r="K121" s="73" t="s">
        <v>653</v>
      </c>
      <c r="X121" s="36">
        <f>IF(AO121="5",BH121,0)</f>
        <v>0</v>
      </c>
      <c r="Z121" s="36">
        <f>IF(AO121="1",BF121,0)</f>
        <v>0</v>
      </c>
      <c r="AA121" s="36">
        <f>IF(AO121="1",BG121,0)</f>
        <v>0</v>
      </c>
      <c r="AB121" s="36">
        <f>IF(AO121="7",BF121,0)</f>
        <v>0</v>
      </c>
      <c r="AC121" s="36">
        <f>IF(AO121="7",BG121,0)</f>
        <v>0</v>
      </c>
      <c r="AD121" s="36">
        <f>IF(AO121="2",BF121,0)</f>
        <v>0</v>
      </c>
      <c r="AE121" s="36">
        <f>IF(AO121="2",BG121,0)</f>
        <v>0</v>
      </c>
      <c r="AF121" s="36">
        <f>IF(AO121="0",BH121,0)</f>
        <v>0</v>
      </c>
      <c r="AG121" s="28" t="s">
        <v>158</v>
      </c>
      <c r="AH121" s="21">
        <f>IF(AL121=0,H121,0)</f>
        <v>0</v>
      </c>
      <c r="AI121" s="21">
        <f>IF(AL121=15,H121,0)</f>
        <v>0</v>
      </c>
      <c r="AJ121" s="21">
        <f>IF(AL121=21,H121,0)</f>
        <v>0</v>
      </c>
      <c r="AL121" s="36">
        <v>21</v>
      </c>
      <c r="AM121" s="36">
        <f>G121*1</f>
        <v>0</v>
      </c>
      <c r="AN121" s="36">
        <f>G121*(1-1)</f>
        <v>0</v>
      </c>
      <c r="AO121" s="33" t="s">
        <v>7</v>
      </c>
      <c r="AT121" s="36">
        <f>AU121+AV121</f>
        <v>0</v>
      </c>
      <c r="AU121" s="36">
        <f>F121*AM121</f>
        <v>0</v>
      </c>
      <c r="AV121" s="36">
        <f>F121*AN121</f>
        <v>0</v>
      </c>
      <c r="AW121" s="37" t="s">
        <v>674</v>
      </c>
      <c r="AX121" s="37" t="s">
        <v>694</v>
      </c>
      <c r="AY121" s="28" t="s">
        <v>705</v>
      </c>
      <c r="BA121" s="36">
        <f>AU121+AV121</f>
        <v>0</v>
      </c>
      <c r="BB121" s="36">
        <f>G121/(100-BC121)*100</f>
        <v>0</v>
      </c>
      <c r="BC121" s="36">
        <v>0</v>
      </c>
      <c r="BD121" s="36">
        <f>J121</f>
        <v>50.49</v>
      </c>
      <c r="BF121" s="21">
        <f>F121*AM121</f>
        <v>0</v>
      </c>
      <c r="BG121" s="21">
        <f>F121*AN121</f>
        <v>0</v>
      </c>
      <c r="BH121" s="21">
        <f>F121*G121</f>
        <v>0</v>
      </c>
    </row>
    <row r="122" spans="1:11" ht="12.75">
      <c r="A122" s="70"/>
      <c r="B122" s="70"/>
      <c r="C122" s="70"/>
      <c r="D122" s="71" t="s">
        <v>407</v>
      </c>
      <c r="E122" s="70"/>
      <c r="F122" s="72">
        <v>100.98</v>
      </c>
      <c r="G122" s="70"/>
      <c r="H122" s="101"/>
      <c r="I122" s="82"/>
      <c r="J122" s="82"/>
      <c r="K122" s="62"/>
    </row>
    <row r="123" spans="1:60" ht="12.75">
      <c r="A123" s="64" t="s">
        <v>48</v>
      </c>
      <c r="B123" s="64" t="s">
        <v>158</v>
      </c>
      <c r="C123" s="64" t="s">
        <v>202</v>
      </c>
      <c r="D123" s="64" t="s">
        <v>408</v>
      </c>
      <c r="E123" s="64" t="s">
        <v>633</v>
      </c>
      <c r="F123" s="67">
        <v>0.078</v>
      </c>
      <c r="G123" s="68"/>
      <c r="H123" s="100">
        <f>F123*G123</f>
        <v>0</v>
      </c>
      <c r="I123" s="81">
        <v>1.02139</v>
      </c>
      <c r="J123" s="81">
        <f>F123*I123</f>
        <v>0.07966842</v>
      </c>
      <c r="K123" s="61" t="s">
        <v>653</v>
      </c>
      <c r="X123" s="36">
        <f>IF(AO123="5",BH123,0)</f>
        <v>0</v>
      </c>
      <c r="Z123" s="36">
        <f>IF(AO123="1",BF123,0)</f>
        <v>0</v>
      </c>
      <c r="AA123" s="36">
        <f>IF(AO123="1",BG123,0)</f>
        <v>0</v>
      </c>
      <c r="AB123" s="36">
        <f>IF(AO123="7",BF123,0)</f>
        <v>0</v>
      </c>
      <c r="AC123" s="36">
        <f>IF(AO123="7",BG123,0)</f>
        <v>0</v>
      </c>
      <c r="AD123" s="36">
        <f>IF(AO123="2",BF123,0)</f>
        <v>0</v>
      </c>
      <c r="AE123" s="36">
        <f>IF(AO123="2",BG123,0)</f>
        <v>0</v>
      </c>
      <c r="AF123" s="36">
        <f>IF(AO123="0",BH123,0)</f>
        <v>0</v>
      </c>
      <c r="AG123" s="28" t="s">
        <v>158</v>
      </c>
      <c r="AH123" s="20">
        <f>IF(AL123=0,H123,0)</f>
        <v>0</v>
      </c>
      <c r="AI123" s="20">
        <f>IF(AL123=15,H123,0)</f>
        <v>0</v>
      </c>
      <c r="AJ123" s="20">
        <f>IF(AL123=21,H123,0)</f>
        <v>0</v>
      </c>
      <c r="AL123" s="36">
        <v>21</v>
      </c>
      <c r="AM123" s="36">
        <f>G123*0.655156620298815</f>
        <v>0</v>
      </c>
      <c r="AN123" s="36">
        <f>G123*(1-0.655156620298815)</f>
        <v>0</v>
      </c>
      <c r="AO123" s="32" t="s">
        <v>7</v>
      </c>
      <c r="AT123" s="36">
        <f>AU123+AV123</f>
        <v>0</v>
      </c>
      <c r="AU123" s="36">
        <f>F123*AM123</f>
        <v>0</v>
      </c>
      <c r="AV123" s="36">
        <f>F123*AN123</f>
        <v>0</v>
      </c>
      <c r="AW123" s="37" t="s">
        <v>674</v>
      </c>
      <c r="AX123" s="37" t="s">
        <v>694</v>
      </c>
      <c r="AY123" s="28" t="s">
        <v>705</v>
      </c>
      <c r="BA123" s="36">
        <f>AU123+AV123</f>
        <v>0</v>
      </c>
      <c r="BB123" s="36">
        <f>G123/(100-BC123)*100</f>
        <v>0</v>
      </c>
      <c r="BC123" s="36">
        <v>0</v>
      </c>
      <c r="BD123" s="36">
        <f>J123</f>
        <v>0.07966842</v>
      </c>
      <c r="BF123" s="20">
        <f>F123*AM123</f>
        <v>0</v>
      </c>
      <c r="BG123" s="20">
        <f>F123*AN123</f>
        <v>0</v>
      </c>
      <c r="BH123" s="20">
        <f>F123*G123</f>
        <v>0</v>
      </c>
    </row>
    <row r="124" spans="1:11" ht="12.75">
      <c r="A124" s="70"/>
      <c r="B124" s="70"/>
      <c r="C124" s="70"/>
      <c r="D124" s="71" t="s">
        <v>409</v>
      </c>
      <c r="E124" s="70"/>
      <c r="F124" s="72">
        <v>0.078</v>
      </c>
      <c r="G124" s="70"/>
      <c r="H124" s="101"/>
      <c r="I124" s="82"/>
      <c r="J124" s="82"/>
      <c r="K124" s="62"/>
    </row>
    <row r="125" spans="1:60" ht="12.75">
      <c r="A125" s="64" t="s">
        <v>49</v>
      </c>
      <c r="B125" s="64" t="s">
        <v>158</v>
      </c>
      <c r="C125" s="64" t="s">
        <v>203</v>
      </c>
      <c r="D125" s="64" t="s">
        <v>410</v>
      </c>
      <c r="E125" s="64" t="s">
        <v>631</v>
      </c>
      <c r="F125" s="67">
        <v>50.49</v>
      </c>
      <c r="G125" s="68"/>
      <c r="H125" s="100">
        <f>F125*G125</f>
        <v>0</v>
      </c>
      <c r="I125" s="81">
        <v>0.00552</v>
      </c>
      <c r="J125" s="81">
        <f>F125*I125</f>
        <v>0.2787048</v>
      </c>
      <c r="K125" s="61" t="s">
        <v>653</v>
      </c>
      <c r="X125" s="36">
        <f>IF(AO125="5",BH125,0)</f>
        <v>0</v>
      </c>
      <c r="Z125" s="36">
        <f>IF(AO125="1",BF125,0)</f>
        <v>0</v>
      </c>
      <c r="AA125" s="36">
        <f>IF(AO125="1",BG125,0)</f>
        <v>0</v>
      </c>
      <c r="AB125" s="36">
        <f>IF(AO125="7",BF125,0)</f>
        <v>0</v>
      </c>
      <c r="AC125" s="36">
        <f>IF(AO125="7",BG125,0)</f>
        <v>0</v>
      </c>
      <c r="AD125" s="36">
        <f>IF(AO125="2",BF125,0)</f>
        <v>0</v>
      </c>
      <c r="AE125" s="36">
        <f>IF(AO125="2",BG125,0)</f>
        <v>0</v>
      </c>
      <c r="AF125" s="36">
        <f>IF(AO125="0",BH125,0)</f>
        <v>0</v>
      </c>
      <c r="AG125" s="28" t="s">
        <v>158</v>
      </c>
      <c r="AH125" s="20">
        <f>IF(AL125=0,H125,0)</f>
        <v>0</v>
      </c>
      <c r="AI125" s="20">
        <f>IF(AL125=15,H125,0)</f>
        <v>0</v>
      </c>
      <c r="AJ125" s="20">
        <f>IF(AL125=21,H125,0)</f>
        <v>0</v>
      </c>
      <c r="AL125" s="36">
        <v>21</v>
      </c>
      <c r="AM125" s="36">
        <f>G125*0.153106796116505</f>
        <v>0</v>
      </c>
      <c r="AN125" s="36">
        <f>G125*(1-0.153106796116505)</f>
        <v>0</v>
      </c>
      <c r="AO125" s="32" t="s">
        <v>7</v>
      </c>
      <c r="AT125" s="36">
        <f>AU125+AV125</f>
        <v>0</v>
      </c>
      <c r="AU125" s="36">
        <f>F125*AM125</f>
        <v>0</v>
      </c>
      <c r="AV125" s="36">
        <f>F125*AN125</f>
        <v>0</v>
      </c>
      <c r="AW125" s="37" t="s">
        <v>674</v>
      </c>
      <c r="AX125" s="37" t="s">
        <v>694</v>
      </c>
      <c r="AY125" s="28" t="s">
        <v>705</v>
      </c>
      <c r="BA125" s="36">
        <f>AU125+AV125</f>
        <v>0</v>
      </c>
      <c r="BB125" s="36">
        <f>G125/(100-BC125)*100</f>
        <v>0</v>
      </c>
      <c r="BC125" s="36">
        <v>0</v>
      </c>
      <c r="BD125" s="36">
        <f>J125</f>
        <v>0.2787048</v>
      </c>
      <c r="BF125" s="20">
        <f>F125*AM125</f>
        <v>0</v>
      </c>
      <c r="BG125" s="20">
        <f>F125*AN125</f>
        <v>0</v>
      </c>
      <c r="BH125" s="20">
        <f>F125*G125</f>
        <v>0</v>
      </c>
    </row>
    <row r="126" spans="1:11" ht="12.75">
      <c r="A126" s="70"/>
      <c r="B126" s="70"/>
      <c r="C126" s="70"/>
      <c r="D126" s="71" t="s">
        <v>411</v>
      </c>
      <c r="E126" s="70"/>
      <c r="F126" s="72">
        <v>50.49</v>
      </c>
      <c r="G126" s="70"/>
      <c r="H126" s="101"/>
      <c r="I126" s="82"/>
      <c r="J126" s="82"/>
      <c r="K126" s="62"/>
    </row>
    <row r="127" spans="1:60" ht="12.75">
      <c r="A127" s="64" t="s">
        <v>50</v>
      </c>
      <c r="B127" s="64" t="s">
        <v>158</v>
      </c>
      <c r="C127" s="64" t="s">
        <v>204</v>
      </c>
      <c r="D127" s="64" t="s">
        <v>412</v>
      </c>
      <c r="E127" s="64" t="s">
        <v>631</v>
      </c>
      <c r="F127" s="67">
        <v>50.49</v>
      </c>
      <c r="G127" s="68"/>
      <c r="H127" s="100">
        <f>F127*G127</f>
        <v>0</v>
      </c>
      <c r="I127" s="81">
        <v>0</v>
      </c>
      <c r="J127" s="81">
        <f>F127*I127</f>
        <v>0</v>
      </c>
      <c r="K127" s="61" t="s">
        <v>653</v>
      </c>
      <c r="X127" s="36">
        <f>IF(AO127="5",BH127,0)</f>
        <v>0</v>
      </c>
      <c r="Z127" s="36">
        <f>IF(AO127="1",BF127,0)</f>
        <v>0</v>
      </c>
      <c r="AA127" s="36">
        <f>IF(AO127="1",BG127,0)</f>
        <v>0</v>
      </c>
      <c r="AB127" s="36">
        <f>IF(AO127="7",BF127,0)</f>
        <v>0</v>
      </c>
      <c r="AC127" s="36">
        <f>IF(AO127="7",BG127,0)</f>
        <v>0</v>
      </c>
      <c r="AD127" s="36">
        <f>IF(AO127="2",BF127,0)</f>
        <v>0</v>
      </c>
      <c r="AE127" s="36">
        <f>IF(AO127="2",BG127,0)</f>
        <v>0</v>
      </c>
      <c r="AF127" s="36">
        <f>IF(AO127="0",BH127,0)</f>
        <v>0</v>
      </c>
      <c r="AG127" s="28" t="s">
        <v>158</v>
      </c>
      <c r="AH127" s="20">
        <f>IF(AL127=0,H127,0)</f>
        <v>0</v>
      </c>
      <c r="AI127" s="20">
        <f>IF(AL127=15,H127,0)</f>
        <v>0</v>
      </c>
      <c r="AJ127" s="20">
        <f>IF(AL127=21,H127,0)</f>
        <v>0</v>
      </c>
      <c r="AL127" s="36">
        <v>21</v>
      </c>
      <c r="AM127" s="36">
        <f>G127*0</f>
        <v>0</v>
      </c>
      <c r="AN127" s="36">
        <f>G127*(1-0)</f>
        <v>0</v>
      </c>
      <c r="AO127" s="32" t="s">
        <v>7</v>
      </c>
      <c r="AT127" s="36">
        <f>AU127+AV127</f>
        <v>0</v>
      </c>
      <c r="AU127" s="36">
        <f>F127*AM127</f>
        <v>0</v>
      </c>
      <c r="AV127" s="36">
        <f>F127*AN127</f>
        <v>0</v>
      </c>
      <c r="AW127" s="37" t="s">
        <v>674</v>
      </c>
      <c r="AX127" s="37" t="s">
        <v>694</v>
      </c>
      <c r="AY127" s="28" t="s">
        <v>705</v>
      </c>
      <c r="BA127" s="36">
        <f>AU127+AV127</f>
        <v>0</v>
      </c>
      <c r="BB127" s="36">
        <f>G127/(100-BC127)*100</f>
        <v>0</v>
      </c>
      <c r="BC127" s="36">
        <v>0</v>
      </c>
      <c r="BD127" s="36">
        <f>J127</f>
        <v>0</v>
      </c>
      <c r="BF127" s="20">
        <f>F127*AM127</f>
        <v>0</v>
      </c>
      <c r="BG127" s="20">
        <f>F127*AN127</f>
        <v>0</v>
      </c>
      <c r="BH127" s="20">
        <f>F127*G127</f>
        <v>0</v>
      </c>
    </row>
    <row r="128" spans="1:11" ht="12.75">
      <c r="A128" s="70"/>
      <c r="B128" s="70"/>
      <c r="C128" s="70"/>
      <c r="D128" s="71" t="s">
        <v>411</v>
      </c>
      <c r="E128" s="70"/>
      <c r="F128" s="72">
        <v>50.49</v>
      </c>
      <c r="G128" s="70"/>
      <c r="H128" s="101"/>
      <c r="I128" s="82"/>
      <c r="J128" s="82"/>
      <c r="K128" s="62"/>
    </row>
    <row r="129" spans="1:60" ht="12.75">
      <c r="A129" s="64" t="s">
        <v>51</v>
      </c>
      <c r="B129" s="64" t="s">
        <v>158</v>
      </c>
      <c r="C129" s="64" t="s">
        <v>205</v>
      </c>
      <c r="D129" s="64" t="s">
        <v>413</v>
      </c>
      <c r="E129" s="64" t="s">
        <v>630</v>
      </c>
      <c r="F129" s="67">
        <v>5.648</v>
      </c>
      <c r="G129" s="68"/>
      <c r="H129" s="100">
        <f>F129*G129</f>
        <v>0</v>
      </c>
      <c r="I129" s="81">
        <v>2.52511</v>
      </c>
      <c r="J129" s="81">
        <f>F129*I129</f>
        <v>14.26182128</v>
      </c>
      <c r="K129" s="61" t="s">
        <v>653</v>
      </c>
      <c r="X129" s="36">
        <f>IF(AO129="5",BH129,0)</f>
        <v>0</v>
      </c>
      <c r="Z129" s="36">
        <f>IF(AO129="1",BF129,0)</f>
        <v>0</v>
      </c>
      <c r="AA129" s="36">
        <f>IF(AO129="1",BG129,0)</f>
        <v>0</v>
      </c>
      <c r="AB129" s="36">
        <f>IF(AO129="7",BF129,0)</f>
        <v>0</v>
      </c>
      <c r="AC129" s="36">
        <f>IF(AO129="7",BG129,0)</f>
        <v>0</v>
      </c>
      <c r="AD129" s="36">
        <f>IF(AO129="2",BF129,0)</f>
        <v>0</v>
      </c>
      <c r="AE129" s="36">
        <f>IF(AO129="2",BG129,0)</f>
        <v>0</v>
      </c>
      <c r="AF129" s="36">
        <f>IF(AO129="0",BH129,0)</f>
        <v>0</v>
      </c>
      <c r="AG129" s="28" t="s">
        <v>158</v>
      </c>
      <c r="AH129" s="20">
        <f>IF(AL129=0,H129,0)</f>
        <v>0</v>
      </c>
      <c r="AI129" s="20">
        <f>IF(AL129=15,H129,0)</f>
        <v>0</v>
      </c>
      <c r="AJ129" s="20">
        <f>IF(AL129=21,H129,0)</f>
        <v>0</v>
      </c>
      <c r="AL129" s="36">
        <v>21</v>
      </c>
      <c r="AM129" s="36">
        <f>G129*0.802635220125786</f>
        <v>0</v>
      </c>
      <c r="AN129" s="36">
        <f>G129*(1-0.802635220125786)</f>
        <v>0</v>
      </c>
      <c r="AO129" s="32" t="s">
        <v>7</v>
      </c>
      <c r="AT129" s="36">
        <f>AU129+AV129</f>
        <v>0</v>
      </c>
      <c r="AU129" s="36">
        <f>F129*AM129</f>
        <v>0</v>
      </c>
      <c r="AV129" s="36">
        <f>F129*AN129</f>
        <v>0</v>
      </c>
      <c r="AW129" s="37" t="s">
        <v>674</v>
      </c>
      <c r="AX129" s="37" t="s">
        <v>694</v>
      </c>
      <c r="AY129" s="28" t="s">
        <v>705</v>
      </c>
      <c r="BA129" s="36">
        <f>AU129+AV129</f>
        <v>0</v>
      </c>
      <c r="BB129" s="36">
        <f>G129/(100-BC129)*100</f>
        <v>0</v>
      </c>
      <c r="BC129" s="36">
        <v>0</v>
      </c>
      <c r="BD129" s="36">
        <f>J129</f>
        <v>14.26182128</v>
      </c>
      <c r="BF129" s="20">
        <f>F129*AM129</f>
        <v>0</v>
      </c>
      <c r="BG129" s="20">
        <f>F129*AN129</f>
        <v>0</v>
      </c>
      <c r="BH129" s="20">
        <f>F129*G129</f>
        <v>0</v>
      </c>
    </row>
    <row r="130" spans="1:11" ht="12.75">
      <c r="A130" s="70"/>
      <c r="B130" s="70"/>
      <c r="C130" s="70"/>
      <c r="D130" s="71" t="s">
        <v>414</v>
      </c>
      <c r="E130" s="70"/>
      <c r="F130" s="72">
        <v>2.228</v>
      </c>
      <c r="G130" s="70"/>
      <c r="H130" s="101"/>
      <c r="I130" s="82"/>
      <c r="J130" s="82"/>
      <c r="K130" s="62"/>
    </row>
    <row r="131" spans="1:11" ht="12.75">
      <c r="A131" s="70"/>
      <c r="B131" s="70"/>
      <c r="C131" s="70"/>
      <c r="D131" s="71" t="s">
        <v>415</v>
      </c>
      <c r="E131" s="70"/>
      <c r="F131" s="72">
        <v>3.42</v>
      </c>
      <c r="G131" s="70"/>
      <c r="H131" s="101"/>
      <c r="I131" s="82"/>
      <c r="J131" s="82"/>
      <c r="K131" s="62"/>
    </row>
    <row r="132" spans="1:60" ht="12.75">
      <c r="A132" s="64" t="s">
        <v>52</v>
      </c>
      <c r="B132" s="64" t="s">
        <v>158</v>
      </c>
      <c r="C132" s="64" t="s">
        <v>206</v>
      </c>
      <c r="D132" s="64" t="s">
        <v>416</v>
      </c>
      <c r="E132" s="64" t="s">
        <v>632</v>
      </c>
      <c r="F132" s="67">
        <v>31.92</v>
      </c>
      <c r="G132" s="68"/>
      <c r="H132" s="100">
        <f>F132*G132</f>
        <v>0</v>
      </c>
      <c r="I132" s="81">
        <v>0.04965</v>
      </c>
      <c r="J132" s="81">
        <f>F132*I132</f>
        <v>1.5848280000000001</v>
      </c>
      <c r="K132" s="61" t="s">
        <v>653</v>
      </c>
      <c r="X132" s="36">
        <f>IF(AO132="5",BH132,0)</f>
        <v>0</v>
      </c>
      <c r="Z132" s="36">
        <f>IF(AO132="1",BF132,0)</f>
        <v>0</v>
      </c>
      <c r="AA132" s="36">
        <f>IF(AO132="1",BG132,0)</f>
        <v>0</v>
      </c>
      <c r="AB132" s="36">
        <f>IF(AO132="7",BF132,0)</f>
        <v>0</v>
      </c>
      <c r="AC132" s="36">
        <f>IF(AO132="7",BG132,0)</f>
        <v>0</v>
      </c>
      <c r="AD132" s="36">
        <f>IF(AO132="2",BF132,0)</f>
        <v>0</v>
      </c>
      <c r="AE132" s="36">
        <f>IF(AO132="2",BG132,0)</f>
        <v>0</v>
      </c>
      <c r="AF132" s="36">
        <f>IF(AO132="0",BH132,0)</f>
        <v>0</v>
      </c>
      <c r="AG132" s="28" t="s">
        <v>158</v>
      </c>
      <c r="AH132" s="20">
        <f>IF(AL132=0,H132,0)</f>
        <v>0</v>
      </c>
      <c r="AI132" s="20">
        <f>IF(AL132=15,H132,0)</f>
        <v>0</v>
      </c>
      <c r="AJ132" s="20">
        <f>IF(AL132=21,H132,0)</f>
        <v>0</v>
      </c>
      <c r="AL132" s="36">
        <v>21</v>
      </c>
      <c r="AM132" s="36">
        <f>G132*0.176793066088841</f>
        <v>0</v>
      </c>
      <c r="AN132" s="36">
        <f>G132*(1-0.176793066088841)</f>
        <v>0</v>
      </c>
      <c r="AO132" s="32" t="s">
        <v>7</v>
      </c>
      <c r="AT132" s="36">
        <f>AU132+AV132</f>
        <v>0</v>
      </c>
      <c r="AU132" s="36">
        <f>F132*AM132</f>
        <v>0</v>
      </c>
      <c r="AV132" s="36">
        <f>F132*AN132</f>
        <v>0</v>
      </c>
      <c r="AW132" s="37" t="s">
        <v>674</v>
      </c>
      <c r="AX132" s="37" t="s">
        <v>694</v>
      </c>
      <c r="AY132" s="28" t="s">
        <v>705</v>
      </c>
      <c r="BA132" s="36">
        <f>AU132+AV132</f>
        <v>0</v>
      </c>
      <c r="BB132" s="36">
        <f>G132/(100-BC132)*100</f>
        <v>0</v>
      </c>
      <c r="BC132" s="36">
        <v>0</v>
      </c>
      <c r="BD132" s="36">
        <f>J132</f>
        <v>1.5848280000000001</v>
      </c>
      <c r="BF132" s="20">
        <f>F132*AM132</f>
        <v>0</v>
      </c>
      <c r="BG132" s="20">
        <f>F132*AN132</f>
        <v>0</v>
      </c>
      <c r="BH132" s="20">
        <f>F132*G132</f>
        <v>0</v>
      </c>
    </row>
    <row r="133" spans="1:11" ht="12.75">
      <c r="A133" s="70"/>
      <c r="B133" s="70"/>
      <c r="C133" s="70"/>
      <c r="D133" s="71" t="s">
        <v>417</v>
      </c>
      <c r="E133" s="70"/>
      <c r="F133" s="72">
        <v>31.92</v>
      </c>
      <c r="G133" s="70"/>
      <c r="H133" s="101"/>
      <c r="I133" s="82"/>
      <c r="J133" s="82"/>
      <c r="K133" s="62"/>
    </row>
    <row r="134" spans="1:60" ht="12.75">
      <c r="A134" s="64" t="s">
        <v>53</v>
      </c>
      <c r="B134" s="64" t="s">
        <v>158</v>
      </c>
      <c r="C134" s="64" t="s">
        <v>207</v>
      </c>
      <c r="D134" s="64" t="s">
        <v>418</v>
      </c>
      <c r="E134" s="64" t="s">
        <v>632</v>
      </c>
      <c r="F134" s="67">
        <v>31.92</v>
      </c>
      <c r="G134" s="68"/>
      <c r="H134" s="100">
        <f>F134*G134</f>
        <v>0</v>
      </c>
      <c r="I134" s="81">
        <v>0</v>
      </c>
      <c r="J134" s="81">
        <f>F134*I134</f>
        <v>0</v>
      </c>
      <c r="K134" s="61" t="s">
        <v>653</v>
      </c>
      <c r="X134" s="36">
        <f>IF(AO134="5",BH134,0)</f>
        <v>0</v>
      </c>
      <c r="Z134" s="36">
        <f>IF(AO134="1",BF134,0)</f>
        <v>0</v>
      </c>
      <c r="AA134" s="36">
        <f>IF(AO134="1",BG134,0)</f>
        <v>0</v>
      </c>
      <c r="AB134" s="36">
        <f>IF(AO134="7",BF134,0)</f>
        <v>0</v>
      </c>
      <c r="AC134" s="36">
        <f>IF(AO134="7",BG134,0)</f>
        <v>0</v>
      </c>
      <c r="AD134" s="36">
        <f>IF(AO134="2",BF134,0)</f>
        <v>0</v>
      </c>
      <c r="AE134" s="36">
        <f>IF(AO134="2",BG134,0)</f>
        <v>0</v>
      </c>
      <c r="AF134" s="36">
        <f>IF(AO134="0",BH134,0)</f>
        <v>0</v>
      </c>
      <c r="AG134" s="28" t="s">
        <v>158</v>
      </c>
      <c r="AH134" s="20">
        <f>IF(AL134=0,H134,0)</f>
        <v>0</v>
      </c>
      <c r="AI134" s="20">
        <f>IF(AL134=15,H134,0)</f>
        <v>0</v>
      </c>
      <c r="AJ134" s="20">
        <f>IF(AL134=21,H134,0)</f>
        <v>0</v>
      </c>
      <c r="AL134" s="36">
        <v>21</v>
      </c>
      <c r="AM134" s="36">
        <f>G134*0</f>
        <v>0</v>
      </c>
      <c r="AN134" s="36">
        <f>G134*(1-0)</f>
        <v>0</v>
      </c>
      <c r="AO134" s="32" t="s">
        <v>7</v>
      </c>
      <c r="AT134" s="36">
        <f>AU134+AV134</f>
        <v>0</v>
      </c>
      <c r="AU134" s="36">
        <f>F134*AM134</f>
        <v>0</v>
      </c>
      <c r="AV134" s="36">
        <f>F134*AN134</f>
        <v>0</v>
      </c>
      <c r="AW134" s="37" t="s">
        <v>674</v>
      </c>
      <c r="AX134" s="37" t="s">
        <v>694</v>
      </c>
      <c r="AY134" s="28" t="s">
        <v>705</v>
      </c>
      <c r="BA134" s="36">
        <f>AU134+AV134</f>
        <v>0</v>
      </c>
      <c r="BB134" s="36">
        <f>G134/(100-BC134)*100</f>
        <v>0</v>
      </c>
      <c r="BC134" s="36">
        <v>0</v>
      </c>
      <c r="BD134" s="36">
        <f>J134</f>
        <v>0</v>
      </c>
      <c r="BF134" s="20">
        <f>F134*AM134</f>
        <v>0</v>
      </c>
      <c r="BG134" s="20">
        <f>F134*AN134</f>
        <v>0</v>
      </c>
      <c r="BH134" s="20">
        <f>F134*G134</f>
        <v>0</v>
      </c>
    </row>
    <row r="135" spans="1:11" ht="12.75">
      <c r="A135" s="70"/>
      <c r="B135" s="70"/>
      <c r="C135" s="70"/>
      <c r="D135" s="71" t="s">
        <v>417</v>
      </c>
      <c r="E135" s="70"/>
      <c r="F135" s="72">
        <v>31.92</v>
      </c>
      <c r="G135" s="70"/>
      <c r="H135" s="101"/>
      <c r="I135" s="82"/>
      <c r="J135" s="82"/>
      <c r="K135" s="62"/>
    </row>
    <row r="136" spans="1:60" ht="12.75">
      <c r="A136" s="64" t="s">
        <v>54</v>
      </c>
      <c r="B136" s="64" t="s">
        <v>158</v>
      </c>
      <c r="C136" s="64" t="s">
        <v>208</v>
      </c>
      <c r="D136" s="64" t="s">
        <v>419</v>
      </c>
      <c r="E136" s="64" t="s">
        <v>631</v>
      </c>
      <c r="F136" s="67">
        <v>15.96</v>
      </c>
      <c r="G136" s="68"/>
      <c r="H136" s="100">
        <f>F136*G136</f>
        <v>0</v>
      </c>
      <c r="I136" s="81">
        <v>0.00782</v>
      </c>
      <c r="J136" s="81">
        <f>F136*I136</f>
        <v>0.12480720000000002</v>
      </c>
      <c r="K136" s="61" t="s">
        <v>653</v>
      </c>
      <c r="X136" s="36">
        <f>IF(AO136="5",BH136,0)</f>
        <v>0</v>
      </c>
      <c r="Z136" s="36">
        <f>IF(AO136="1",BF136,0)</f>
        <v>0</v>
      </c>
      <c r="AA136" s="36">
        <f>IF(AO136="1",BG136,0)</f>
        <v>0</v>
      </c>
      <c r="AB136" s="36">
        <f>IF(AO136="7",BF136,0)</f>
        <v>0</v>
      </c>
      <c r="AC136" s="36">
        <f>IF(AO136="7",BG136,0)</f>
        <v>0</v>
      </c>
      <c r="AD136" s="36">
        <f>IF(AO136="2",BF136,0)</f>
        <v>0</v>
      </c>
      <c r="AE136" s="36">
        <f>IF(AO136="2",BG136,0)</f>
        <v>0</v>
      </c>
      <c r="AF136" s="36">
        <f>IF(AO136="0",BH136,0)</f>
        <v>0</v>
      </c>
      <c r="AG136" s="28" t="s">
        <v>158</v>
      </c>
      <c r="AH136" s="20">
        <f>IF(AL136=0,H136,0)</f>
        <v>0</v>
      </c>
      <c r="AI136" s="20">
        <f>IF(AL136=15,H136,0)</f>
        <v>0</v>
      </c>
      <c r="AJ136" s="20">
        <f>IF(AL136=21,H136,0)</f>
        <v>0</v>
      </c>
      <c r="AL136" s="36">
        <v>21</v>
      </c>
      <c r="AM136" s="36">
        <f>G136*0.229884199257035</f>
        <v>0</v>
      </c>
      <c r="AN136" s="36">
        <f>G136*(1-0.229884199257035)</f>
        <v>0</v>
      </c>
      <c r="AO136" s="32" t="s">
        <v>7</v>
      </c>
      <c r="AT136" s="36">
        <f>AU136+AV136</f>
        <v>0</v>
      </c>
      <c r="AU136" s="36">
        <f>F136*AM136</f>
        <v>0</v>
      </c>
      <c r="AV136" s="36">
        <f>F136*AN136</f>
        <v>0</v>
      </c>
      <c r="AW136" s="37" t="s">
        <v>674</v>
      </c>
      <c r="AX136" s="37" t="s">
        <v>694</v>
      </c>
      <c r="AY136" s="28" t="s">
        <v>705</v>
      </c>
      <c r="BA136" s="36">
        <f>AU136+AV136</f>
        <v>0</v>
      </c>
      <c r="BB136" s="36">
        <f>G136/(100-BC136)*100</f>
        <v>0</v>
      </c>
      <c r="BC136" s="36">
        <v>0</v>
      </c>
      <c r="BD136" s="36">
        <f>J136</f>
        <v>0.12480720000000002</v>
      </c>
      <c r="BF136" s="20">
        <f>F136*AM136</f>
        <v>0</v>
      </c>
      <c r="BG136" s="20">
        <f>F136*AN136</f>
        <v>0</v>
      </c>
      <c r="BH136" s="20">
        <f>F136*G136</f>
        <v>0</v>
      </c>
    </row>
    <row r="137" spans="1:11" ht="12.75">
      <c r="A137" s="70"/>
      <c r="B137" s="70"/>
      <c r="C137" s="70"/>
      <c r="D137" s="71" t="s">
        <v>420</v>
      </c>
      <c r="E137" s="70"/>
      <c r="F137" s="72">
        <v>15.96</v>
      </c>
      <c r="G137" s="70"/>
      <c r="H137" s="101"/>
      <c r="I137" s="82"/>
      <c r="J137" s="82"/>
      <c r="K137" s="62"/>
    </row>
    <row r="138" spans="1:60" ht="12.75">
      <c r="A138" s="64" t="s">
        <v>55</v>
      </c>
      <c r="B138" s="64" t="s">
        <v>158</v>
      </c>
      <c r="C138" s="64" t="s">
        <v>209</v>
      </c>
      <c r="D138" s="64" t="s">
        <v>421</v>
      </c>
      <c r="E138" s="64" t="s">
        <v>631</v>
      </c>
      <c r="F138" s="67">
        <v>15.96</v>
      </c>
      <c r="G138" s="68"/>
      <c r="H138" s="100">
        <f>F138*G138</f>
        <v>0</v>
      </c>
      <c r="I138" s="81">
        <v>0</v>
      </c>
      <c r="J138" s="81">
        <f>F138*I138</f>
        <v>0</v>
      </c>
      <c r="K138" s="61" t="s">
        <v>653</v>
      </c>
      <c r="X138" s="36">
        <f>IF(AO138="5",BH138,0)</f>
        <v>0</v>
      </c>
      <c r="Z138" s="36">
        <f>IF(AO138="1",BF138,0)</f>
        <v>0</v>
      </c>
      <c r="AA138" s="36">
        <f>IF(AO138="1",BG138,0)</f>
        <v>0</v>
      </c>
      <c r="AB138" s="36">
        <f>IF(AO138="7",BF138,0)</f>
        <v>0</v>
      </c>
      <c r="AC138" s="36">
        <f>IF(AO138="7",BG138,0)</f>
        <v>0</v>
      </c>
      <c r="AD138" s="36">
        <f>IF(AO138="2",BF138,0)</f>
        <v>0</v>
      </c>
      <c r="AE138" s="36">
        <f>IF(AO138="2",BG138,0)</f>
        <v>0</v>
      </c>
      <c r="AF138" s="36">
        <f>IF(AO138="0",BH138,0)</f>
        <v>0</v>
      </c>
      <c r="AG138" s="28" t="s">
        <v>158</v>
      </c>
      <c r="AH138" s="20">
        <f>IF(AL138=0,H138,0)</f>
        <v>0</v>
      </c>
      <c r="AI138" s="20">
        <f>IF(AL138=15,H138,0)</f>
        <v>0</v>
      </c>
      <c r="AJ138" s="20">
        <f>IF(AL138=21,H138,0)</f>
        <v>0</v>
      </c>
      <c r="AL138" s="36">
        <v>21</v>
      </c>
      <c r="AM138" s="36">
        <f>G138*0</f>
        <v>0</v>
      </c>
      <c r="AN138" s="36">
        <f>G138*(1-0)</f>
        <v>0</v>
      </c>
      <c r="AO138" s="32" t="s">
        <v>7</v>
      </c>
      <c r="AT138" s="36">
        <f>AU138+AV138</f>
        <v>0</v>
      </c>
      <c r="AU138" s="36">
        <f>F138*AM138</f>
        <v>0</v>
      </c>
      <c r="AV138" s="36">
        <f>F138*AN138</f>
        <v>0</v>
      </c>
      <c r="AW138" s="37" t="s">
        <v>674</v>
      </c>
      <c r="AX138" s="37" t="s">
        <v>694</v>
      </c>
      <c r="AY138" s="28" t="s">
        <v>705</v>
      </c>
      <c r="BA138" s="36">
        <f>AU138+AV138</f>
        <v>0</v>
      </c>
      <c r="BB138" s="36">
        <f>G138/(100-BC138)*100</f>
        <v>0</v>
      </c>
      <c r="BC138" s="36">
        <v>0</v>
      </c>
      <c r="BD138" s="36">
        <f>J138</f>
        <v>0</v>
      </c>
      <c r="BF138" s="20">
        <f>F138*AM138</f>
        <v>0</v>
      </c>
      <c r="BG138" s="20">
        <f>F138*AN138</f>
        <v>0</v>
      </c>
      <c r="BH138" s="20">
        <f>F138*G138</f>
        <v>0</v>
      </c>
    </row>
    <row r="139" spans="1:11" ht="12.75">
      <c r="A139" s="70"/>
      <c r="B139" s="70"/>
      <c r="C139" s="70"/>
      <c r="D139" s="71" t="s">
        <v>420</v>
      </c>
      <c r="E139" s="70"/>
      <c r="F139" s="72">
        <v>15.96</v>
      </c>
      <c r="G139" s="70"/>
      <c r="H139" s="101"/>
      <c r="I139" s="82"/>
      <c r="J139" s="82"/>
      <c r="K139" s="62"/>
    </row>
    <row r="140" spans="1:60" ht="12.75">
      <c r="A140" s="64" t="s">
        <v>56</v>
      </c>
      <c r="B140" s="64" t="s">
        <v>158</v>
      </c>
      <c r="C140" s="64" t="s">
        <v>210</v>
      </c>
      <c r="D140" s="64" t="s">
        <v>422</v>
      </c>
      <c r="E140" s="64" t="s">
        <v>633</v>
      </c>
      <c r="F140" s="67">
        <v>0.678</v>
      </c>
      <c r="G140" s="68"/>
      <c r="H140" s="100">
        <f>F140*G140</f>
        <v>0</v>
      </c>
      <c r="I140" s="81">
        <v>1.01665</v>
      </c>
      <c r="J140" s="81">
        <f>F140*I140</f>
        <v>0.6892887000000001</v>
      </c>
      <c r="K140" s="61" t="s">
        <v>653</v>
      </c>
      <c r="X140" s="36">
        <f>IF(AO140="5",BH140,0)</f>
        <v>0</v>
      </c>
      <c r="Z140" s="36">
        <f>IF(AO140="1",BF140,0)</f>
        <v>0</v>
      </c>
      <c r="AA140" s="36">
        <f>IF(AO140="1",BG140,0)</f>
        <v>0</v>
      </c>
      <c r="AB140" s="36">
        <f>IF(AO140="7",BF140,0)</f>
        <v>0</v>
      </c>
      <c r="AC140" s="36">
        <f>IF(AO140="7",BG140,0)</f>
        <v>0</v>
      </c>
      <c r="AD140" s="36">
        <f>IF(AO140="2",BF140,0)</f>
        <v>0</v>
      </c>
      <c r="AE140" s="36">
        <f>IF(AO140="2",BG140,0)</f>
        <v>0</v>
      </c>
      <c r="AF140" s="36">
        <f>IF(AO140="0",BH140,0)</f>
        <v>0</v>
      </c>
      <c r="AG140" s="28" t="s">
        <v>158</v>
      </c>
      <c r="AH140" s="20">
        <f>IF(AL140=0,H140,0)</f>
        <v>0</v>
      </c>
      <c r="AI140" s="20">
        <f>IF(AL140=15,H140,0)</f>
        <v>0</v>
      </c>
      <c r="AJ140" s="20">
        <f>IF(AL140=21,H140,0)</f>
        <v>0</v>
      </c>
      <c r="AL140" s="36">
        <v>21</v>
      </c>
      <c r="AM140" s="36">
        <f>G140*0.639862571577304</f>
        <v>0</v>
      </c>
      <c r="AN140" s="36">
        <f>G140*(1-0.639862571577304)</f>
        <v>0</v>
      </c>
      <c r="AO140" s="32" t="s">
        <v>7</v>
      </c>
      <c r="AT140" s="36">
        <f>AU140+AV140</f>
        <v>0</v>
      </c>
      <c r="AU140" s="36">
        <f>F140*AM140</f>
        <v>0</v>
      </c>
      <c r="AV140" s="36">
        <f>F140*AN140</f>
        <v>0</v>
      </c>
      <c r="AW140" s="37" t="s">
        <v>674</v>
      </c>
      <c r="AX140" s="37" t="s">
        <v>694</v>
      </c>
      <c r="AY140" s="28" t="s">
        <v>705</v>
      </c>
      <c r="BA140" s="36">
        <f>AU140+AV140</f>
        <v>0</v>
      </c>
      <c r="BB140" s="36">
        <f>G140/(100-BC140)*100</f>
        <v>0</v>
      </c>
      <c r="BC140" s="36">
        <v>0</v>
      </c>
      <c r="BD140" s="36">
        <f>J140</f>
        <v>0.6892887000000001</v>
      </c>
      <c r="BF140" s="20">
        <f>F140*AM140</f>
        <v>0</v>
      </c>
      <c r="BG140" s="20">
        <f>F140*AN140</f>
        <v>0</v>
      </c>
      <c r="BH140" s="20">
        <f>F140*G140</f>
        <v>0</v>
      </c>
    </row>
    <row r="141" spans="1:11" ht="12.75">
      <c r="A141" s="70"/>
      <c r="B141" s="70"/>
      <c r="C141" s="70"/>
      <c r="D141" s="71" t="s">
        <v>423</v>
      </c>
      <c r="E141" s="70"/>
      <c r="F141" s="72">
        <v>0.678</v>
      </c>
      <c r="G141" s="70"/>
      <c r="H141" s="101"/>
      <c r="I141" s="82"/>
      <c r="J141" s="82"/>
      <c r="K141" s="62"/>
    </row>
    <row r="142" spans="1:60" ht="12.75">
      <c r="A142" s="64" t="s">
        <v>57</v>
      </c>
      <c r="B142" s="64" t="s">
        <v>158</v>
      </c>
      <c r="C142" s="64" t="s">
        <v>211</v>
      </c>
      <c r="D142" s="64" t="s">
        <v>424</v>
      </c>
      <c r="E142" s="64" t="s">
        <v>632</v>
      </c>
      <c r="F142" s="67">
        <v>17.712</v>
      </c>
      <c r="G142" s="68"/>
      <c r="H142" s="100">
        <f>F142*G142</f>
        <v>0</v>
      </c>
      <c r="I142" s="81">
        <v>0.00048</v>
      </c>
      <c r="J142" s="81">
        <f>F142*I142</f>
        <v>0.00850176</v>
      </c>
      <c r="K142" s="61" t="s">
        <v>653</v>
      </c>
      <c r="X142" s="36">
        <f>IF(AO142="5",BH142,0)</f>
        <v>0</v>
      </c>
      <c r="Z142" s="36">
        <f>IF(AO142="1",BF142,0)</f>
        <v>0</v>
      </c>
      <c r="AA142" s="36">
        <f>IF(AO142="1",BG142,0)</f>
        <v>0</v>
      </c>
      <c r="AB142" s="36">
        <f>IF(AO142="7",BF142,0)</f>
        <v>0</v>
      </c>
      <c r="AC142" s="36">
        <f>IF(AO142="7",BG142,0)</f>
        <v>0</v>
      </c>
      <c r="AD142" s="36">
        <f>IF(AO142="2",BF142,0)</f>
        <v>0</v>
      </c>
      <c r="AE142" s="36">
        <f>IF(AO142="2",BG142,0)</f>
        <v>0</v>
      </c>
      <c r="AF142" s="36">
        <f>IF(AO142="0",BH142,0)</f>
        <v>0</v>
      </c>
      <c r="AG142" s="28" t="s">
        <v>158</v>
      </c>
      <c r="AH142" s="20">
        <f>IF(AL142=0,H142,0)</f>
        <v>0</v>
      </c>
      <c r="AI142" s="20">
        <f>IF(AL142=15,H142,0)</f>
        <v>0</v>
      </c>
      <c r="AJ142" s="20">
        <f>IF(AL142=21,H142,0)</f>
        <v>0</v>
      </c>
      <c r="AL142" s="36">
        <v>21</v>
      </c>
      <c r="AM142" s="36">
        <f>G142*0.121657924422806</f>
        <v>0</v>
      </c>
      <c r="AN142" s="36">
        <f>G142*(1-0.121657924422806)</f>
        <v>0</v>
      </c>
      <c r="AO142" s="32" t="s">
        <v>7</v>
      </c>
      <c r="AT142" s="36">
        <f>AU142+AV142</f>
        <v>0</v>
      </c>
      <c r="AU142" s="36">
        <f>F142*AM142</f>
        <v>0</v>
      </c>
      <c r="AV142" s="36">
        <f>F142*AN142</f>
        <v>0</v>
      </c>
      <c r="AW142" s="37" t="s">
        <v>674</v>
      </c>
      <c r="AX142" s="37" t="s">
        <v>694</v>
      </c>
      <c r="AY142" s="28" t="s">
        <v>705</v>
      </c>
      <c r="BA142" s="36">
        <f>AU142+AV142</f>
        <v>0</v>
      </c>
      <c r="BB142" s="36">
        <f>G142/(100-BC142)*100</f>
        <v>0</v>
      </c>
      <c r="BC142" s="36">
        <v>0</v>
      </c>
      <c r="BD142" s="36">
        <f>J142</f>
        <v>0.00850176</v>
      </c>
      <c r="BF142" s="20">
        <f>F142*AM142</f>
        <v>0</v>
      </c>
      <c r="BG142" s="20">
        <f>F142*AN142</f>
        <v>0</v>
      </c>
      <c r="BH142" s="20">
        <f>F142*G142</f>
        <v>0</v>
      </c>
    </row>
    <row r="143" spans="1:11" ht="12.75">
      <c r="A143" s="65"/>
      <c r="B143" s="65"/>
      <c r="C143" s="65"/>
      <c r="D143" s="66" t="s">
        <v>425</v>
      </c>
      <c r="E143" s="65"/>
      <c r="F143" s="69">
        <v>17.712</v>
      </c>
      <c r="G143" s="65"/>
      <c r="H143" s="65"/>
      <c r="I143" s="83"/>
      <c r="J143" s="83"/>
      <c r="K143" s="63"/>
    </row>
    <row r="144" spans="1:45" ht="12.75">
      <c r="A144" s="4"/>
      <c r="B144" s="14" t="s">
        <v>158</v>
      </c>
      <c r="C144" s="14" t="s">
        <v>67</v>
      </c>
      <c r="D144" s="14" t="s">
        <v>426</v>
      </c>
      <c r="E144" s="4" t="s">
        <v>6</v>
      </c>
      <c r="F144" s="4" t="s">
        <v>6</v>
      </c>
      <c r="G144" s="4"/>
      <c r="H144" s="39">
        <f>SUM(H145:H157)</f>
        <v>0</v>
      </c>
      <c r="I144" s="80"/>
      <c r="J144" s="80">
        <f>SUM(J145:J157)</f>
        <v>5.04873292</v>
      </c>
      <c r="K144" s="28"/>
      <c r="AG144" s="28" t="s">
        <v>158</v>
      </c>
      <c r="AQ144" s="39">
        <f>SUM(AH145:AH157)</f>
        <v>0</v>
      </c>
      <c r="AR144" s="39">
        <f>SUM(AI145:AI157)</f>
        <v>0</v>
      </c>
      <c r="AS144" s="39">
        <f>SUM(AJ145:AJ157)</f>
        <v>0</v>
      </c>
    </row>
    <row r="145" spans="1:60" ht="12.75">
      <c r="A145" s="64" t="s">
        <v>58</v>
      </c>
      <c r="B145" s="64" t="s">
        <v>158</v>
      </c>
      <c r="C145" s="64" t="s">
        <v>212</v>
      </c>
      <c r="D145" s="64" t="s">
        <v>427</v>
      </c>
      <c r="E145" s="64" t="s">
        <v>631</v>
      </c>
      <c r="F145" s="67">
        <v>224.19</v>
      </c>
      <c r="G145" s="68"/>
      <c r="H145" s="100">
        <f>F145*G145</f>
        <v>0</v>
      </c>
      <c r="I145" s="81">
        <v>0.00032</v>
      </c>
      <c r="J145" s="81">
        <f>F145*I145</f>
        <v>0.07174080000000001</v>
      </c>
      <c r="K145" s="61" t="s">
        <v>653</v>
      </c>
      <c r="X145" s="36">
        <f>IF(AO145="5",BH145,0)</f>
        <v>0</v>
      </c>
      <c r="Z145" s="36">
        <f>IF(AO145="1",BF145,0)</f>
        <v>0</v>
      </c>
      <c r="AA145" s="36">
        <f>IF(AO145="1",BG145,0)</f>
        <v>0</v>
      </c>
      <c r="AB145" s="36">
        <f>IF(AO145="7",BF145,0)</f>
        <v>0</v>
      </c>
      <c r="AC145" s="36">
        <f>IF(AO145="7",BG145,0)</f>
        <v>0</v>
      </c>
      <c r="AD145" s="36">
        <f>IF(AO145="2",BF145,0)</f>
        <v>0</v>
      </c>
      <c r="AE145" s="36">
        <f>IF(AO145="2",BG145,0)</f>
        <v>0</v>
      </c>
      <c r="AF145" s="36">
        <f>IF(AO145="0",BH145,0)</f>
        <v>0</v>
      </c>
      <c r="AG145" s="28" t="s">
        <v>158</v>
      </c>
      <c r="AH145" s="20">
        <f>IF(AL145=0,H145,0)</f>
        <v>0</v>
      </c>
      <c r="AI145" s="20">
        <f>IF(AL145=15,H145,0)</f>
        <v>0</v>
      </c>
      <c r="AJ145" s="20">
        <f>IF(AL145=21,H145,0)</f>
        <v>0</v>
      </c>
      <c r="AL145" s="36">
        <v>21</v>
      </c>
      <c r="AM145" s="36">
        <f>G145*0.547161678629515</f>
        <v>0</v>
      </c>
      <c r="AN145" s="36">
        <f>G145*(1-0.547161678629515)</f>
        <v>0</v>
      </c>
      <c r="AO145" s="32" t="s">
        <v>7</v>
      </c>
      <c r="AT145" s="36">
        <f>AU145+AV145</f>
        <v>0</v>
      </c>
      <c r="AU145" s="36">
        <f>F145*AM145</f>
        <v>0</v>
      </c>
      <c r="AV145" s="36">
        <f>F145*AN145</f>
        <v>0</v>
      </c>
      <c r="AW145" s="37" t="s">
        <v>675</v>
      </c>
      <c r="AX145" s="37" t="s">
        <v>695</v>
      </c>
      <c r="AY145" s="28" t="s">
        <v>705</v>
      </c>
      <c r="BA145" s="36">
        <f>AU145+AV145</f>
        <v>0</v>
      </c>
      <c r="BB145" s="36">
        <f>G145/(100-BC145)*100</f>
        <v>0</v>
      </c>
      <c r="BC145" s="36">
        <v>0</v>
      </c>
      <c r="BD145" s="36">
        <f>J145</f>
        <v>0.07174080000000001</v>
      </c>
      <c r="BF145" s="20">
        <f>F145*AM145</f>
        <v>0</v>
      </c>
      <c r="BG145" s="20">
        <f>F145*AN145</f>
        <v>0</v>
      </c>
      <c r="BH145" s="20">
        <f>F145*G145</f>
        <v>0</v>
      </c>
    </row>
    <row r="146" spans="1:11" ht="12.75">
      <c r="A146" s="70"/>
      <c r="B146" s="70"/>
      <c r="C146" s="70"/>
      <c r="D146" s="71" t="s">
        <v>428</v>
      </c>
      <c r="E146" s="70"/>
      <c r="F146" s="72">
        <v>123.84</v>
      </c>
      <c r="G146" s="70"/>
      <c r="H146" s="101"/>
      <c r="I146" s="82"/>
      <c r="J146" s="82"/>
      <c r="K146" s="62"/>
    </row>
    <row r="147" spans="1:11" ht="12.75">
      <c r="A147" s="70"/>
      <c r="B147" s="70"/>
      <c r="C147" s="70"/>
      <c r="D147" s="71" t="s">
        <v>429</v>
      </c>
      <c r="E147" s="70"/>
      <c r="F147" s="72">
        <v>96.39</v>
      </c>
      <c r="G147" s="70"/>
      <c r="H147" s="101"/>
      <c r="I147" s="82"/>
      <c r="J147" s="82"/>
      <c r="K147" s="62"/>
    </row>
    <row r="148" spans="1:11" ht="12.75">
      <c r="A148" s="70"/>
      <c r="B148" s="70"/>
      <c r="C148" s="70"/>
      <c r="D148" s="71" t="s">
        <v>430</v>
      </c>
      <c r="E148" s="70"/>
      <c r="F148" s="72">
        <v>3.96</v>
      </c>
      <c r="G148" s="70"/>
      <c r="H148" s="101"/>
      <c r="I148" s="82"/>
      <c r="J148" s="82"/>
      <c r="K148" s="62"/>
    </row>
    <row r="149" spans="1:60" ht="12.75">
      <c r="A149" s="64" t="s">
        <v>59</v>
      </c>
      <c r="B149" s="64" t="s">
        <v>158</v>
      </c>
      <c r="C149" s="64" t="s">
        <v>213</v>
      </c>
      <c r="D149" s="64" t="s">
        <v>431</v>
      </c>
      <c r="E149" s="64" t="s">
        <v>631</v>
      </c>
      <c r="F149" s="67">
        <v>14.688</v>
      </c>
      <c r="G149" s="68"/>
      <c r="H149" s="100">
        <f>F149*G149</f>
        <v>0</v>
      </c>
      <c r="I149" s="81">
        <v>4E-05</v>
      </c>
      <c r="J149" s="81">
        <f>F149*I149</f>
        <v>0.0005875200000000001</v>
      </c>
      <c r="K149" s="61" t="s">
        <v>653</v>
      </c>
      <c r="X149" s="36">
        <f>IF(AO149="5",BH149,0)</f>
        <v>0</v>
      </c>
      <c r="Z149" s="36">
        <f>IF(AO149="1",BF149,0)</f>
        <v>0</v>
      </c>
      <c r="AA149" s="36">
        <f>IF(AO149="1",BG149,0)</f>
        <v>0</v>
      </c>
      <c r="AB149" s="36">
        <f>IF(AO149="7",BF149,0)</f>
        <v>0</v>
      </c>
      <c r="AC149" s="36">
        <f>IF(AO149="7",BG149,0)</f>
        <v>0</v>
      </c>
      <c r="AD149" s="36">
        <f>IF(AO149="2",BF149,0)</f>
        <v>0</v>
      </c>
      <c r="AE149" s="36">
        <f>IF(AO149="2",BG149,0)</f>
        <v>0</v>
      </c>
      <c r="AF149" s="36">
        <f>IF(AO149="0",BH149,0)</f>
        <v>0</v>
      </c>
      <c r="AG149" s="28" t="s">
        <v>158</v>
      </c>
      <c r="AH149" s="20">
        <f>IF(AL149=0,H149,0)</f>
        <v>0</v>
      </c>
      <c r="AI149" s="20">
        <f>IF(AL149=15,H149,0)</f>
        <v>0</v>
      </c>
      <c r="AJ149" s="20">
        <f>IF(AL149=21,H149,0)</f>
        <v>0</v>
      </c>
      <c r="AL149" s="36">
        <v>21</v>
      </c>
      <c r="AM149" s="36">
        <f>G149*0.293422279289906</f>
        <v>0</v>
      </c>
      <c r="AN149" s="36">
        <f>G149*(1-0.293422279289906)</f>
        <v>0</v>
      </c>
      <c r="AO149" s="32" t="s">
        <v>7</v>
      </c>
      <c r="AT149" s="36">
        <f>AU149+AV149</f>
        <v>0</v>
      </c>
      <c r="AU149" s="36">
        <f>F149*AM149</f>
        <v>0</v>
      </c>
      <c r="AV149" s="36">
        <f>F149*AN149</f>
        <v>0</v>
      </c>
      <c r="AW149" s="37" t="s">
        <v>675</v>
      </c>
      <c r="AX149" s="37" t="s">
        <v>695</v>
      </c>
      <c r="AY149" s="28" t="s">
        <v>705</v>
      </c>
      <c r="BA149" s="36">
        <f>AU149+AV149</f>
        <v>0</v>
      </c>
      <c r="BB149" s="36">
        <f>G149/(100-BC149)*100</f>
        <v>0</v>
      </c>
      <c r="BC149" s="36">
        <v>0</v>
      </c>
      <c r="BD149" s="36">
        <f>J149</f>
        <v>0.0005875200000000001</v>
      </c>
      <c r="BF149" s="20">
        <f>F149*AM149</f>
        <v>0</v>
      </c>
      <c r="BG149" s="20">
        <f>F149*AN149</f>
        <v>0</v>
      </c>
      <c r="BH149" s="20">
        <f>F149*G149</f>
        <v>0</v>
      </c>
    </row>
    <row r="150" spans="1:11" ht="12.75">
      <c r="A150" s="70"/>
      <c r="B150" s="70"/>
      <c r="C150" s="70"/>
      <c r="D150" s="71" t="s">
        <v>432</v>
      </c>
      <c r="E150" s="70"/>
      <c r="F150" s="72">
        <v>14.688</v>
      </c>
      <c r="G150" s="70"/>
      <c r="H150" s="101"/>
      <c r="I150" s="82"/>
      <c r="J150" s="82"/>
      <c r="K150" s="62"/>
    </row>
    <row r="151" spans="1:60" ht="12.75">
      <c r="A151" s="64" t="s">
        <v>60</v>
      </c>
      <c r="B151" s="64" t="s">
        <v>158</v>
      </c>
      <c r="C151" s="64" t="s">
        <v>214</v>
      </c>
      <c r="D151" s="64" t="s">
        <v>433</v>
      </c>
      <c r="E151" s="64" t="s">
        <v>631</v>
      </c>
      <c r="F151" s="67">
        <v>3.85</v>
      </c>
      <c r="G151" s="68"/>
      <c r="H151" s="100">
        <f>F151*G151</f>
        <v>0</v>
      </c>
      <c r="I151" s="81">
        <v>0.00367</v>
      </c>
      <c r="J151" s="81">
        <f>F151*I151</f>
        <v>0.014129500000000001</v>
      </c>
      <c r="K151" s="61" t="s">
        <v>653</v>
      </c>
      <c r="X151" s="36">
        <f>IF(AO151="5",BH151,0)</f>
        <v>0</v>
      </c>
      <c r="Z151" s="36">
        <f>IF(AO151="1",BF151,0)</f>
        <v>0</v>
      </c>
      <c r="AA151" s="36">
        <f>IF(AO151="1",BG151,0)</f>
        <v>0</v>
      </c>
      <c r="AB151" s="36">
        <f>IF(AO151="7",BF151,0)</f>
        <v>0</v>
      </c>
      <c r="AC151" s="36">
        <f>IF(AO151="7",BG151,0)</f>
        <v>0</v>
      </c>
      <c r="AD151" s="36">
        <f>IF(AO151="2",BF151,0)</f>
        <v>0</v>
      </c>
      <c r="AE151" s="36">
        <f>IF(AO151="2",BG151,0)</f>
        <v>0</v>
      </c>
      <c r="AF151" s="36">
        <f>IF(AO151="0",BH151,0)</f>
        <v>0</v>
      </c>
      <c r="AG151" s="28" t="s">
        <v>158</v>
      </c>
      <c r="AH151" s="20">
        <f>IF(AL151=0,H151,0)</f>
        <v>0</v>
      </c>
      <c r="AI151" s="20">
        <f>IF(AL151=15,H151,0)</f>
        <v>0</v>
      </c>
      <c r="AJ151" s="20">
        <f>IF(AL151=21,H151,0)</f>
        <v>0</v>
      </c>
      <c r="AL151" s="36">
        <v>21</v>
      </c>
      <c r="AM151" s="36">
        <f>G151*0.259367002777839</f>
        <v>0</v>
      </c>
      <c r="AN151" s="36">
        <f>G151*(1-0.259367002777839)</f>
        <v>0</v>
      </c>
      <c r="AO151" s="32" t="s">
        <v>7</v>
      </c>
      <c r="AT151" s="36">
        <f>AU151+AV151</f>
        <v>0</v>
      </c>
      <c r="AU151" s="36">
        <f>F151*AM151</f>
        <v>0</v>
      </c>
      <c r="AV151" s="36">
        <f>F151*AN151</f>
        <v>0</v>
      </c>
      <c r="AW151" s="37" t="s">
        <v>675</v>
      </c>
      <c r="AX151" s="37" t="s">
        <v>695</v>
      </c>
      <c r="AY151" s="28" t="s">
        <v>705</v>
      </c>
      <c r="BA151" s="36">
        <f>AU151+AV151</f>
        <v>0</v>
      </c>
      <c r="BB151" s="36">
        <f>G151/(100-BC151)*100</f>
        <v>0</v>
      </c>
      <c r="BC151" s="36">
        <v>0</v>
      </c>
      <c r="BD151" s="36">
        <f>J151</f>
        <v>0.014129500000000001</v>
      </c>
      <c r="BF151" s="20">
        <f>F151*AM151</f>
        <v>0</v>
      </c>
      <c r="BG151" s="20">
        <f>F151*AN151</f>
        <v>0</v>
      </c>
      <c r="BH151" s="20">
        <f>F151*G151</f>
        <v>0</v>
      </c>
    </row>
    <row r="152" spans="1:11" ht="12.75">
      <c r="A152" s="70"/>
      <c r="B152" s="70"/>
      <c r="C152" s="70"/>
      <c r="D152" s="71" t="s">
        <v>434</v>
      </c>
      <c r="E152" s="70"/>
      <c r="F152" s="72">
        <v>3.85</v>
      </c>
      <c r="G152" s="70"/>
      <c r="H152" s="101"/>
      <c r="I152" s="82"/>
      <c r="J152" s="82"/>
      <c r="K152" s="62"/>
    </row>
    <row r="153" spans="1:60" ht="12.75">
      <c r="A153" s="64" t="s">
        <v>61</v>
      </c>
      <c r="B153" s="64" t="s">
        <v>158</v>
      </c>
      <c r="C153" s="64" t="s">
        <v>215</v>
      </c>
      <c r="D153" s="64" t="s">
        <v>435</v>
      </c>
      <c r="E153" s="64" t="s">
        <v>631</v>
      </c>
      <c r="F153" s="67">
        <v>123.84</v>
      </c>
      <c r="G153" s="68"/>
      <c r="H153" s="100">
        <f>F153*G153</f>
        <v>0</v>
      </c>
      <c r="I153" s="81">
        <v>0.021</v>
      </c>
      <c r="J153" s="81">
        <f>F153*I153</f>
        <v>2.6006400000000003</v>
      </c>
      <c r="K153" s="61" t="s">
        <v>653</v>
      </c>
      <c r="X153" s="36">
        <f>IF(AO153="5",BH153,0)</f>
        <v>0</v>
      </c>
      <c r="Z153" s="36">
        <f>IF(AO153="1",BF153,0)</f>
        <v>0</v>
      </c>
      <c r="AA153" s="36">
        <f>IF(AO153="1",BG153,0)</f>
        <v>0</v>
      </c>
      <c r="AB153" s="36">
        <f>IF(AO153="7",BF153,0)</f>
        <v>0</v>
      </c>
      <c r="AC153" s="36">
        <f>IF(AO153="7",BG153,0)</f>
        <v>0</v>
      </c>
      <c r="AD153" s="36">
        <f>IF(AO153="2",BF153,0)</f>
        <v>0</v>
      </c>
      <c r="AE153" s="36">
        <f>IF(AO153="2",BG153,0)</f>
        <v>0</v>
      </c>
      <c r="AF153" s="36">
        <f>IF(AO153="0",BH153,0)</f>
        <v>0</v>
      </c>
      <c r="AG153" s="28" t="s">
        <v>158</v>
      </c>
      <c r="AH153" s="20">
        <f>IF(AL153=0,H153,0)</f>
        <v>0</v>
      </c>
      <c r="AI153" s="20">
        <f>IF(AL153=15,H153,0)</f>
        <v>0</v>
      </c>
      <c r="AJ153" s="20">
        <f>IF(AL153=21,H153,0)</f>
        <v>0</v>
      </c>
      <c r="AL153" s="36">
        <v>21</v>
      </c>
      <c r="AM153" s="36">
        <f>G153*0.359774436090226</f>
        <v>0</v>
      </c>
      <c r="AN153" s="36">
        <f>G153*(1-0.359774436090226)</f>
        <v>0</v>
      </c>
      <c r="AO153" s="32" t="s">
        <v>7</v>
      </c>
      <c r="AT153" s="36">
        <f>AU153+AV153</f>
        <v>0</v>
      </c>
      <c r="AU153" s="36">
        <f>F153*AM153</f>
        <v>0</v>
      </c>
      <c r="AV153" s="36">
        <f>F153*AN153</f>
        <v>0</v>
      </c>
      <c r="AW153" s="37" t="s">
        <v>675</v>
      </c>
      <c r="AX153" s="37" t="s">
        <v>695</v>
      </c>
      <c r="AY153" s="28" t="s">
        <v>705</v>
      </c>
      <c r="BA153" s="36">
        <f>AU153+AV153</f>
        <v>0</v>
      </c>
      <c r="BB153" s="36">
        <f>G153/(100-BC153)*100</f>
        <v>0</v>
      </c>
      <c r="BC153" s="36">
        <v>0</v>
      </c>
      <c r="BD153" s="36">
        <f>J153</f>
        <v>2.6006400000000003</v>
      </c>
      <c r="BF153" s="20">
        <f>F153*AM153</f>
        <v>0</v>
      </c>
      <c r="BG153" s="20">
        <f>F153*AN153</f>
        <v>0</v>
      </c>
      <c r="BH153" s="20">
        <f>F153*G153</f>
        <v>0</v>
      </c>
    </row>
    <row r="154" spans="1:11" ht="12.75">
      <c r="A154" s="70"/>
      <c r="B154" s="70"/>
      <c r="C154" s="70"/>
      <c r="D154" s="71" t="s">
        <v>436</v>
      </c>
      <c r="E154" s="70"/>
      <c r="F154" s="72">
        <v>123.84</v>
      </c>
      <c r="G154" s="70"/>
      <c r="H154" s="101"/>
      <c r="I154" s="82"/>
      <c r="J154" s="82"/>
      <c r="K154" s="62"/>
    </row>
    <row r="155" spans="1:60" ht="12.75">
      <c r="A155" s="64" t="s">
        <v>62</v>
      </c>
      <c r="B155" s="64" t="s">
        <v>158</v>
      </c>
      <c r="C155" s="64" t="s">
        <v>216</v>
      </c>
      <c r="D155" s="64" t="s">
        <v>437</v>
      </c>
      <c r="E155" s="64" t="s">
        <v>631</v>
      </c>
      <c r="F155" s="67">
        <v>96.39</v>
      </c>
      <c r="G155" s="68"/>
      <c r="H155" s="100">
        <f>F155*G155</f>
        <v>0</v>
      </c>
      <c r="I155" s="81">
        <v>0.02233</v>
      </c>
      <c r="J155" s="81">
        <f>F155*I155</f>
        <v>2.1523887</v>
      </c>
      <c r="K155" s="61" t="s">
        <v>653</v>
      </c>
      <c r="X155" s="36">
        <f>IF(AO155="5",BH155,0)</f>
        <v>0</v>
      </c>
      <c r="Z155" s="36">
        <f>IF(AO155="1",BF155,0)</f>
        <v>0</v>
      </c>
      <c r="AA155" s="36">
        <f>IF(AO155="1",BG155,0)</f>
        <v>0</v>
      </c>
      <c r="AB155" s="36">
        <f>IF(AO155="7",BF155,0)</f>
        <v>0</v>
      </c>
      <c r="AC155" s="36">
        <f>IF(AO155="7",BG155,0)</f>
        <v>0</v>
      </c>
      <c r="AD155" s="36">
        <f>IF(AO155="2",BF155,0)</f>
        <v>0</v>
      </c>
      <c r="AE155" s="36">
        <f>IF(AO155="2",BG155,0)</f>
        <v>0</v>
      </c>
      <c r="AF155" s="36">
        <f>IF(AO155="0",BH155,0)</f>
        <v>0</v>
      </c>
      <c r="AG155" s="28" t="s">
        <v>158</v>
      </c>
      <c r="AH155" s="20">
        <f>IF(AL155=0,H155,0)</f>
        <v>0</v>
      </c>
      <c r="AI155" s="20">
        <f>IF(AL155=15,H155,0)</f>
        <v>0</v>
      </c>
      <c r="AJ155" s="20">
        <f>IF(AL155=21,H155,0)</f>
        <v>0</v>
      </c>
      <c r="AL155" s="36">
        <v>21</v>
      </c>
      <c r="AM155" s="36">
        <f>G155*0.379560300554999</f>
        <v>0</v>
      </c>
      <c r="AN155" s="36">
        <f>G155*(1-0.379560300554999)</f>
        <v>0</v>
      </c>
      <c r="AO155" s="32" t="s">
        <v>7</v>
      </c>
      <c r="AT155" s="36">
        <f>AU155+AV155</f>
        <v>0</v>
      </c>
      <c r="AU155" s="36">
        <f>F155*AM155</f>
        <v>0</v>
      </c>
      <c r="AV155" s="36">
        <f>F155*AN155</f>
        <v>0</v>
      </c>
      <c r="AW155" s="37" t="s">
        <v>675</v>
      </c>
      <c r="AX155" s="37" t="s">
        <v>695</v>
      </c>
      <c r="AY155" s="28" t="s">
        <v>705</v>
      </c>
      <c r="BA155" s="36">
        <f>AU155+AV155</f>
        <v>0</v>
      </c>
      <c r="BB155" s="36">
        <f>G155/(100-BC155)*100</f>
        <v>0</v>
      </c>
      <c r="BC155" s="36">
        <v>0</v>
      </c>
      <c r="BD155" s="36">
        <f>J155</f>
        <v>2.1523887</v>
      </c>
      <c r="BF155" s="20">
        <f>F155*AM155</f>
        <v>0</v>
      </c>
      <c r="BG155" s="20">
        <f>F155*AN155</f>
        <v>0</v>
      </c>
      <c r="BH155" s="20">
        <f>F155*G155</f>
        <v>0</v>
      </c>
    </row>
    <row r="156" spans="1:11" ht="12.75">
      <c r="A156" s="70"/>
      <c r="B156" s="70"/>
      <c r="C156" s="70"/>
      <c r="D156" s="71" t="s">
        <v>438</v>
      </c>
      <c r="E156" s="70"/>
      <c r="F156" s="72">
        <v>96.39</v>
      </c>
      <c r="G156" s="70"/>
      <c r="H156" s="101"/>
      <c r="I156" s="82"/>
      <c r="J156" s="82"/>
      <c r="K156" s="62"/>
    </row>
    <row r="157" spans="1:60" ht="12.75">
      <c r="A157" s="64" t="s">
        <v>63</v>
      </c>
      <c r="B157" s="64" t="s">
        <v>158</v>
      </c>
      <c r="C157" s="64" t="s">
        <v>217</v>
      </c>
      <c r="D157" s="64" t="s">
        <v>439</v>
      </c>
      <c r="E157" s="64" t="s">
        <v>631</v>
      </c>
      <c r="F157" s="67">
        <v>3.96</v>
      </c>
      <c r="G157" s="68"/>
      <c r="H157" s="100">
        <f>F157*G157</f>
        <v>0</v>
      </c>
      <c r="I157" s="81">
        <v>0.05284</v>
      </c>
      <c r="J157" s="81">
        <f>F157*I157</f>
        <v>0.2092464</v>
      </c>
      <c r="K157" s="61" t="s">
        <v>653</v>
      </c>
      <c r="X157" s="36">
        <f>IF(AO157="5",BH157,0)</f>
        <v>0</v>
      </c>
      <c r="Z157" s="36">
        <f>IF(AO157="1",BF157,0)</f>
        <v>0</v>
      </c>
      <c r="AA157" s="36">
        <f>IF(AO157="1",BG157,0)</f>
        <v>0</v>
      </c>
      <c r="AB157" s="36">
        <f>IF(AO157="7",BF157,0)</f>
        <v>0</v>
      </c>
      <c r="AC157" s="36">
        <f>IF(AO157="7",BG157,0)</f>
        <v>0</v>
      </c>
      <c r="AD157" s="36">
        <f>IF(AO157="2",BF157,0)</f>
        <v>0</v>
      </c>
      <c r="AE157" s="36">
        <f>IF(AO157="2",BG157,0)</f>
        <v>0</v>
      </c>
      <c r="AF157" s="36">
        <f>IF(AO157="0",BH157,0)</f>
        <v>0</v>
      </c>
      <c r="AG157" s="28" t="s">
        <v>158</v>
      </c>
      <c r="AH157" s="20">
        <f>IF(AL157=0,H157,0)</f>
        <v>0</v>
      </c>
      <c r="AI157" s="20">
        <f>IF(AL157=15,H157,0)</f>
        <v>0</v>
      </c>
      <c r="AJ157" s="20">
        <f>IF(AL157=21,H157,0)</f>
        <v>0</v>
      </c>
      <c r="AL157" s="36">
        <v>21</v>
      </c>
      <c r="AM157" s="36">
        <f>G157*0.161449340716824</f>
        <v>0</v>
      </c>
      <c r="AN157" s="36">
        <f>G157*(1-0.161449340716824)</f>
        <v>0</v>
      </c>
      <c r="AO157" s="32" t="s">
        <v>7</v>
      </c>
      <c r="AT157" s="36">
        <f>AU157+AV157</f>
        <v>0</v>
      </c>
      <c r="AU157" s="36">
        <f>F157*AM157</f>
        <v>0</v>
      </c>
      <c r="AV157" s="36">
        <f>F157*AN157</f>
        <v>0</v>
      </c>
      <c r="AW157" s="37" t="s">
        <v>675</v>
      </c>
      <c r="AX157" s="37" t="s">
        <v>695</v>
      </c>
      <c r="AY157" s="28" t="s">
        <v>705</v>
      </c>
      <c r="BA157" s="36">
        <f>AU157+AV157</f>
        <v>0</v>
      </c>
      <c r="BB157" s="36">
        <f>G157/(100-BC157)*100</f>
        <v>0</v>
      </c>
      <c r="BC157" s="36">
        <v>0</v>
      </c>
      <c r="BD157" s="36">
        <f>J157</f>
        <v>0.2092464</v>
      </c>
      <c r="BF157" s="20">
        <f>F157*AM157</f>
        <v>0</v>
      </c>
      <c r="BG157" s="20">
        <f>F157*AN157</f>
        <v>0</v>
      </c>
      <c r="BH157" s="20">
        <f>F157*G157</f>
        <v>0</v>
      </c>
    </row>
    <row r="158" spans="1:11" ht="12.75">
      <c r="A158" s="65"/>
      <c r="B158" s="65"/>
      <c r="C158" s="65"/>
      <c r="D158" s="66" t="s">
        <v>440</v>
      </c>
      <c r="E158" s="65"/>
      <c r="F158" s="69">
        <v>3.96</v>
      </c>
      <c r="G158" s="65"/>
      <c r="H158" s="65"/>
      <c r="I158" s="83"/>
      <c r="J158" s="83"/>
      <c r="K158" s="63"/>
    </row>
    <row r="159" spans="1:45" ht="12.75">
      <c r="A159" s="4"/>
      <c r="B159" s="14" t="s">
        <v>158</v>
      </c>
      <c r="C159" s="14" t="s">
        <v>68</v>
      </c>
      <c r="D159" s="14" t="s">
        <v>441</v>
      </c>
      <c r="E159" s="4" t="s">
        <v>6</v>
      </c>
      <c r="F159" s="4" t="s">
        <v>6</v>
      </c>
      <c r="G159" s="4"/>
      <c r="H159" s="39">
        <f>SUM(H160:H170)</f>
        <v>0</v>
      </c>
      <c r="I159" s="80"/>
      <c r="J159" s="80">
        <f>SUM(J160:J170)</f>
        <v>4.43036182</v>
      </c>
      <c r="K159" s="28"/>
      <c r="AG159" s="28" t="s">
        <v>158</v>
      </c>
      <c r="AQ159" s="39">
        <f>SUM(AH160:AH170)</f>
        <v>0</v>
      </c>
      <c r="AR159" s="39">
        <f>SUM(AI160:AI170)</f>
        <v>0</v>
      </c>
      <c r="AS159" s="39">
        <f>SUM(AJ160:AJ170)</f>
        <v>0</v>
      </c>
    </row>
    <row r="160" spans="1:60" ht="12.75">
      <c r="A160" s="64" t="s">
        <v>64</v>
      </c>
      <c r="B160" s="64" t="s">
        <v>158</v>
      </c>
      <c r="C160" s="64" t="s">
        <v>212</v>
      </c>
      <c r="D160" s="64" t="s">
        <v>427</v>
      </c>
      <c r="E160" s="64" t="s">
        <v>631</v>
      </c>
      <c r="F160" s="67">
        <v>82.32</v>
      </c>
      <c r="G160" s="68"/>
      <c r="H160" s="100">
        <f>F160*G160</f>
        <v>0</v>
      </c>
      <c r="I160" s="81">
        <v>0.00032</v>
      </c>
      <c r="J160" s="81">
        <f>F160*I160</f>
        <v>0.0263424</v>
      </c>
      <c r="K160" s="61" t="s">
        <v>653</v>
      </c>
      <c r="X160" s="36">
        <f>IF(AO160="5",BH160,0)</f>
        <v>0</v>
      </c>
      <c r="Z160" s="36">
        <f>IF(AO160="1",BF160,0)</f>
        <v>0</v>
      </c>
      <c r="AA160" s="36">
        <f>IF(AO160="1",BG160,0)</f>
        <v>0</v>
      </c>
      <c r="AB160" s="36">
        <f>IF(AO160="7",BF160,0)</f>
        <v>0</v>
      </c>
      <c r="AC160" s="36">
        <f>IF(AO160="7",BG160,0)</f>
        <v>0</v>
      </c>
      <c r="AD160" s="36">
        <f>IF(AO160="2",BF160,0)</f>
        <v>0</v>
      </c>
      <c r="AE160" s="36">
        <f>IF(AO160="2",BG160,0)</f>
        <v>0</v>
      </c>
      <c r="AF160" s="36">
        <f>IF(AO160="0",BH160,0)</f>
        <v>0</v>
      </c>
      <c r="AG160" s="28" t="s">
        <v>158</v>
      </c>
      <c r="AH160" s="20">
        <f>IF(AL160=0,H160,0)</f>
        <v>0</v>
      </c>
      <c r="AI160" s="20">
        <f>IF(AL160=15,H160,0)</f>
        <v>0</v>
      </c>
      <c r="AJ160" s="20">
        <f>IF(AL160=21,H160,0)</f>
        <v>0</v>
      </c>
      <c r="AL160" s="36">
        <v>21</v>
      </c>
      <c r="AM160" s="36">
        <f>G160*0.547161959054918</f>
        <v>0</v>
      </c>
      <c r="AN160" s="36">
        <f>G160*(1-0.547161959054918)</f>
        <v>0</v>
      </c>
      <c r="AO160" s="32" t="s">
        <v>7</v>
      </c>
      <c r="AT160" s="36">
        <f>AU160+AV160</f>
        <v>0</v>
      </c>
      <c r="AU160" s="36">
        <f>F160*AM160</f>
        <v>0</v>
      </c>
      <c r="AV160" s="36">
        <f>F160*AN160</f>
        <v>0</v>
      </c>
      <c r="AW160" s="37" t="s">
        <v>676</v>
      </c>
      <c r="AX160" s="37" t="s">
        <v>695</v>
      </c>
      <c r="AY160" s="28" t="s">
        <v>705</v>
      </c>
      <c r="BA160" s="36">
        <f>AU160+AV160</f>
        <v>0</v>
      </c>
      <c r="BB160" s="36">
        <f>G160/(100-BC160)*100</f>
        <v>0</v>
      </c>
      <c r="BC160" s="36">
        <v>0</v>
      </c>
      <c r="BD160" s="36">
        <f>J160</f>
        <v>0.0263424</v>
      </c>
      <c r="BF160" s="20">
        <f>F160*AM160</f>
        <v>0</v>
      </c>
      <c r="BG160" s="20">
        <f>F160*AN160</f>
        <v>0</v>
      </c>
      <c r="BH160" s="20">
        <f>F160*G160</f>
        <v>0</v>
      </c>
    </row>
    <row r="161" spans="1:11" ht="12.75">
      <c r="A161" s="70"/>
      <c r="B161" s="70"/>
      <c r="C161" s="70"/>
      <c r="D161" s="71" t="s">
        <v>442</v>
      </c>
      <c r="E161" s="70"/>
      <c r="F161" s="72">
        <v>82.32</v>
      </c>
      <c r="G161" s="70"/>
      <c r="H161" s="101"/>
      <c r="I161" s="82"/>
      <c r="J161" s="82"/>
      <c r="K161" s="62"/>
    </row>
    <row r="162" spans="1:60" ht="12.75">
      <c r="A162" s="64" t="s">
        <v>65</v>
      </c>
      <c r="B162" s="64" t="s">
        <v>158</v>
      </c>
      <c r="C162" s="64" t="s">
        <v>218</v>
      </c>
      <c r="D162" s="64" t="s">
        <v>443</v>
      </c>
      <c r="E162" s="64" t="s">
        <v>631</v>
      </c>
      <c r="F162" s="67">
        <v>14.688</v>
      </c>
      <c r="G162" s="68"/>
      <c r="H162" s="100">
        <f>F162*G162</f>
        <v>0</v>
      </c>
      <c r="I162" s="81">
        <v>4E-05</v>
      </c>
      <c r="J162" s="81">
        <f>F162*I162</f>
        <v>0.0005875200000000001</v>
      </c>
      <c r="K162" s="61" t="s">
        <v>653</v>
      </c>
      <c r="X162" s="36">
        <f>IF(AO162="5",BH162,0)</f>
        <v>0</v>
      </c>
      <c r="Z162" s="36">
        <f>IF(AO162="1",BF162,0)</f>
        <v>0</v>
      </c>
      <c r="AA162" s="36">
        <f>IF(AO162="1",BG162,0)</f>
        <v>0</v>
      </c>
      <c r="AB162" s="36">
        <f>IF(AO162="7",BF162,0)</f>
        <v>0</v>
      </c>
      <c r="AC162" s="36">
        <f>IF(AO162="7",BG162,0)</f>
        <v>0</v>
      </c>
      <c r="AD162" s="36">
        <f>IF(AO162="2",BF162,0)</f>
        <v>0</v>
      </c>
      <c r="AE162" s="36">
        <f>IF(AO162="2",BG162,0)</f>
        <v>0</v>
      </c>
      <c r="AF162" s="36">
        <f>IF(AO162="0",BH162,0)</f>
        <v>0</v>
      </c>
      <c r="AG162" s="28" t="s">
        <v>158</v>
      </c>
      <c r="AH162" s="20">
        <f>IF(AL162=0,H162,0)</f>
        <v>0</v>
      </c>
      <c r="AI162" s="20">
        <f>IF(AL162=15,H162,0)</f>
        <v>0</v>
      </c>
      <c r="AJ162" s="20">
        <f>IF(AL162=21,H162,0)</f>
        <v>0</v>
      </c>
      <c r="AL162" s="36">
        <v>21</v>
      </c>
      <c r="AM162" s="36">
        <f>G162*0.328030342025059</f>
        <v>0</v>
      </c>
      <c r="AN162" s="36">
        <f>G162*(1-0.328030342025059)</f>
        <v>0</v>
      </c>
      <c r="AO162" s="32" t="s">
        <v>7</v>
      </c>
      <c r="AT162" s="36">
        <f>AU162+AV162</f>
        <v>0</v>
      </c>
      <c r="AU162" s="36">
        <f>F162*AM162</f>
        <v>0</v>
      </c>
      <c r="AV162" s="36">
        <f>F162*AN162</f>
        <v>0</v>
      </c>
      <c r="AW162" s="37" t="s">
        <v>676</v>
      </c>
      <c r="AX162" s="37" t="s">
        <v>695</v>
      </c>
      <c r="AY162" s="28" t="s">
        <v>705</v>
      </c>
      <c r="BA162" s="36">
        <f>AU162+AV162</f>
        <v>0</v>
      </c>
      <c r="BB162" s="36">
        <f>G162/(100-BC162)*100</f>
        <v>0</v>
      </c>
      <c r="BC162" s="36">
        <v>0</v>
      </c>
      <c r="BD162" s="36">
        <f>J162</f>
        <v>0.0005875200000000001</v>
      </c>
      <c r="BF162" s="20">
        <f>F162*AM162</f>
        <v>0</v>
      </c>
      <c r="BG162" s="20">
        <f>F162*AN162</f>
        <v>0</v>
      </c>
      <c r="BH162" s="20">
        <f>F162*G162</f>
        <v>0</v>
      </c>
    </row>
    <row r="163" spans="1:11" ht="12.75">
      <c r="A163" s="70"/>
      <c r="B163" s="70"/>
      <c r="C163" s="70"/>
      <c r="D163" s="71" t="s">
        <v>432</v>
      </c>
      <c r="E163" s="70"/>
      <c r="F163" s="72">
        <v>14.688</v>
      </c>
      <c r="G163" s="70"/>
      <c r="H163" s="101"/>
      <c r="I163" s="82"/>
      <c r="J163" s="82"/>
      <c r="K163" s="62"/>
    </row>
    <row r="164" spans="1:60" ht="12.75">
      <c r="A164" s="64" t="s">
        <v>66</v>
      </c>
      <c r="B164" s="64" t="s">
        <v>158</v>
      </c>
      <c r="C164" s="64" t="s">
        <v>219</v>
      </c>
      <c r="D164" s="64" t="s">
        <v>444</v>
      </c>
      <c r="E164" s="64" t="s">
        <v>631</v>
      </c>
      <c r="F164" s="67">
        <v>3.85</v>
      </c>
      <c r="G164" s="68"/>
      <c r="H164" s="100">
        <f>F164*G164</f>
        <v>0</v>
      </c>
      <c r="I164" s="81">
        <v>0.00367</v>
      </c>
      <c r="J164" s="81">
        <f>F164*I164</f>
        <v>0.014129500000000001</v>
      </c>
      <c r="K164" s="61" t="s">
        <v>653</v>
      </c>
      <c r="X164" s="36">
        <f>IF(AO164="5",BH164,0)</f>
        <v>0</v>
      </c>
      <c r="Z164" s="36">
        <f>IF(AO164="1",BF164,0)</f>
        <v>0</v>
      </c>
      <c r="AA164" s="36">
        <f>IF(AO164="1",BG164,0)</f>
        <v>0</v>
      </c>
      <c r="AB164" s="36">
        <f>IF(AO164="7",BF164,0)</f>
        <v>0</v>
      </c>
      <c r="AC164" s="36">
        <f>IF(AO164="7",BG164,0)</f>
        <v>0</v>
      </c>
      <c r="AD164" s="36">
        <f>IF(AO164="2",BF164,0)</f>
        <v>0</v>
      </c>
      <c r="AE164" s="36">
        <f>IF(AO164="2",BG164,0)</f>
        <v>0</v>
      </c>
      <c r="AF164" s="36">
        <f>IF(AO164="0",BH164,0)</f>
        <v>0</v>
      </c>
      <c r="AG164" s="28" t="s">
        <v>158</v>
      </c>
      <c r="AH164" s="20">
        <f>IF(AL164=0,H164,0)</f>
        <v>0</v>
      </c>
      <c r="AI164" s="20">
        <f>IF(AL164=15,H164,0)</f>
        <v>0</v>
      </c>
      <c r="AJ164" s="20">
        <f>IF(AL164=21,H164,0)</f>
        <v>0</v>
      </c>
      <c r="AL164" s="36">
        <v>21</v>
      </c>
      <c r="AM164" s="36">
        <f>G164*0.259367002777839</f>
        <v>0</v>
      </c>
      <c r="AN164" s="36">
        <f>G164*(1-0.259367002777839)</f>
        <v>0</v>
      </c>
      <c r="AO164" s="32" t="s">
        <v>7</v>
      </c>
      <c r="AT164" s="36">
        <f>AU164+AV164</f>
        <v>0</v>
      </c>
      <c r="AU164" s="36">
        <f>F164*AM164</f>
        <v>0</v>
      </c>
      <c r="AV164" s="36">
        <f>F164*AN164</f>
        <v>0</v>
      </c>
      <c r="AW164" s="37" t="s">
        <v>676</v>
      </c>
      <c r="AX164" s="37" t="s">
        <v>695</v>
      </c>
      <c r="AY164" s="28" t="s">
        <v>705</v>
      </c>
      <c r="BA164" s="36">
        <f>AU164+AV164</f>
        <v>0</v>
      </c>
      <c r="BB164" s="36">
        <f>G164/(100-BC164)*100</f>
        <v>0</v>
      </c>
      <c r="BC164" s="36">
        <v>0</v>
      </c>
      <c r="BD164" s="36">
        <f>J164</f>
        <v>0.014129500000000001</v>
      </c>
      <c r="BF164" s="20">
        <f>F164*AM164</f>
        <v>0</v>
      </c>
      <c r="BG164" s="20">
        <f>F164*AN164</f>
        <v>0</v>
      </c>
      <c r="BH164" s="20">
        <f>F164*G164</f>
        <v>0</v>
      </c>
    </row>
    <row r="165" spans="1:11" ht="12.75">
      <c r="A165" s="70"/>
      <c r="B165" s="70"/>
      <c r="C165" s="70"/>
      <c r="D165" s="71" t="s">
        <v>445</v>
      </c>
      <c r="E165" s="70"/>
      <c r="F165" s="72">
        <v>3.85</v>
      </c>
      <c r="G165" s="70"/>
      <c r="H165" s="101"/>
      <c r="I165" s="82"/>
      <c r="J165" s="82"/>
      <c r="K165" s="62"/>
    </row>
    <row r="166" spans="1:60" ht="12.75">
      <c r="A166" s="64" t="s">
        <v>67</v>
      </c>
      <c r="B166" s="64" t="s">
        <v>158</v>
      </c>
      <c r="C166" s="64" t="s">
        <v>220</v>
      </c>
      <c r="D166" s="64" t="s">
        <v>446</v>
      </c>
      <c r="E166" s="64" t="s">
        <v>631</v>
      </c>
      <c r="F166" s="67">
        <v>82.32</v>
      </c>
      <c r="G166" s="68"/>
      <c r="H166" s="100">
        <f>F166*G166</f>
        <v>0</v>
      </c>
      <c r="I166" s="81">
        <v>0.05258</v>
      </c>
      <c r="J166" s="81">
        <f>F166*I166</f>
        <v>4.3283856</v>
      </c>
      <c r="K166" s="61" t="s">
        <v>653</v>
      </c>
      <c r="X166" s="36">
        <f>IF(AO166="5",BH166,0)</f>
        <v>0</v>
      </c>
      <c r="Z166" s="36">
        <f>IF(AO166="1",BF166,0)</f>
        <v>0</v>
      </c>
      <c r="AA166" s="36">
        <f>IF(AO166="1",BG166,0)</f>
        <v>0</v>
      </c>
      <c r="AB166" s="36">
        <f>IF(AO166="7",BF166,0)</f>
        <v>0</v>
      </c>
      <c r="AC166" s="36">
        <f>IF(AO166="7",BG166,0)</f>
        <v>0</v>
      </c>
      <c r="AD166" s="36">
        <f>IF(AO166="2",BF166,0)</f>
        <v>0</v>
      </c>
      <c r="AE166" s="36">
        <f>IF(AO166="2",BG166,0)</f>
        <v>0</v>
      </c>
      <c r="AF166" s="36">
        <f>IF(AO166="0",BH166,0)</f>
        <v>0</v>
      </c>
      <c r="AG166" s="28" t="s">
        <v>158</v>
      </c>
      <c r="AH166" s="20">
        <f>IF(AL166=0,H166,0)</f>
        <v>0</v>
      </c>
      <c r="AI166" s="20">
        <f>IF(AL166=15,H166,0)</f>
        <v>0</v>
      </c>
      <c r="AJ166" s="20">
        <f>IF(AL166=21,H166,0)</f>
        <v>0</v>
      </c>
      <c r="AL166" s="36">
        <v>21</v>
      </c>
      <c r="AM166" s="36">
        <f>G166*0.099300579450328</f>
        <v>0</v>
      </c>
      <c r="AN166" s="36">
        <f>G166*(1-0.099300579450328)</f>
        <v>0</v>
      </c>
      <c r="AO166" s="32" t="s">
        <v>7</v>
      </c>
      <c r="AT166" s="36">
        <f>AU166+AV166</f>
        <v>0</v>
      </c>
      <c r="AU166" s="36">
        <f>F166*AM166</f>
        <v>0</v>
      </c>
      <c r="AV166" s="36">
        <f>F166*AN166</f>
        <v>0</v>
      </c>
      <c r="AW166" s="37" t="s">
        <v>676</v>
      </c>
      <c r="AX166" s="37" t="s">
        <v>695</v>
      </c>
      <c r="AY166" s="28" t="s">
        <v>705</v>
      </c>
      <c r="BA166" s="36">
        <f>AU166+AV166</f>
        <v>0</v>
      </c>
      <c r="BB166" s="36">
        <f>G166/(100-BC166)*100</f>
        <v>0</v>
      </c>
      <c r="BC166" s="36">
        <v>0</v>
      </c>
      <c r="BD166" s="36">
        <f>J166</f>
        <v>4.3283856</v>
      </c>
      <c r="BF166" s="20">
        <f>F166*AM166</f>
        <v>0</v>
      </c>
      <c r="BG166" s="20">
        <f>F166*AN166</f>
        <v>0</v>
      </c>
      <c r="BH166" s="20">
        <f>F166*G166</f>
        <v>0</v>
      </c>
    </row>
    <row r="167" spans="1:11" ht="12.75">
      <c r="A167" s="70"/>
      <c r="B167" s="70"/>
      <c r="C167" s="70"/>
      <c r="D167" s="71" t="s">
        <v>442</v>
      </c>
      <c r="E167" s="70"/>
      <c r="F167" s="72">
        <v>82.32</v>
      </c>
      <c r="G167" s="70"/>
      <c r="H167" s="101"/>
      <c r="I167" s="82"/>
      <c r="J167" s="82"/>
      <c r="K167" s="62"/>
    </row>
    <row r="168" spans="1:60" ht="12.75">
      <c r="A168" s="64" t="s">
        <v>68</v>
      </c>
      <c r="B168" s="64" t="s">
        <v>158</v>
      </c>
      <c r="C168" s="64" t="s">
        <v>221</v>
      </c>
      <c r="D168" s="64" t="s">
        <v>447</v>
      </c>
      <c r="E168" s="64" t="s">
        <v>631</v>
      </c>
      <c r="F168" s="67">
        <v>82.32</v>
      </c>
      <c r="G168" s="68"/>
      <c r="H168" s="100">
        <f>F168*G168</f>
        <v>0</v>
      </c>
      <c r="I168" s="81">
        <v>0.00021</v>
      </c>
      <c r="J168" s="81">
        <f>F168*I168</f>
        <v>0.0172872</v>
      </c>
      <c r="K168" s="61" t="s">
        <v>653</v>
      </c>
      <c r="X168" s="36">
        <f>IF(AO168="5",BH168,0)</f>
        <v>0</v>
      </c>
      <c r="Z168" s="36">
        <f>IF(AO168="1",BF168,0)</f>
        <v>0</v>
      </c>
      <c r="AA168" s="36">
        <f>IF(AO168="1",BG168,0)</f>
        <v>0</v>
      </c>
      <c r="AB168" s="36">
        <f>IF(AO168="7",BF168,0)</f>
        <v>0</v>
      </c>
      <c r="AC168" s="36">
        <f>IF(AO168="7",BG168,0)</f>
        <v>0</v>
      </c>
      <c r="AD168" s="36">
        <f>IF(AO168="2",BF168,0)</f>
        <v>0</v>
      </c>
      <c r="AE168" s="36">
        <f>IF(AO168="2",BG168,0)</f>
        <v>0</v>
      </c>
      <c r="AF168" s="36">
        <f>IF(AO168="0",BH168,0)</f>
        <v>0</v>
      </c>
      <c r="AG168" s="28" t="s">
        <v>158</v>
      </c>
      <c r="AH168" s="20">
        <f>IF(AL168=0,H168,0)</f>
        <v>0</v>
      </c>
      <c r="AI168" s="20">
        <f>IF(AL168=15,H168,0)</f>
        <v>0</v>
      </c>
      <c r="AJ168" s="20">
        <f>IF(AL168=21,H168,0)</f>
        <v>0</v>
      </c>
      <c r="AL168" s="36">
        <v>21</v>
      </c>
      <c r="AM168" s="36">
        <f>G168*0.557948231613424</f>
        <v>0</v>
      </c>
      <c r="AN168" s="36">
        <f>G168*(1-0.557948231613424)</f>
        <v>0</v>
      </c>
      <c r="AO168" s="32" t="s">
        <v>7</v>
      </c>
      <c r="AT168" s="36">
        <f>AU168+AV168</f>
        <v>0</v>
      </c>
      <c r="AU168" s="36">
        <f>F168*AM168</f>
        <v>0</v>
      </c>
      <c r="AV168" s="36">
        <f>F168*AN168</f>
        <v>0</v>
      </c>
      <c r="AW168" s="37" t="s">
        <v>676</v>
      </c>
      <c r="AX168" s="37" t="s">
        <v>695</v>
      </c>
      <c r="AY168" s="28" t="s">
        <v>705</v>
      </c>
      <c r="BA168" s="36">
        <f>AU168+AV168</f>
        <v>0</v>
      </c>
      <c r="BB168" s="36">
        <f>G168/(100-BC168)*100</f>
        <v>0</v>
      </c>
      <c r="BC168" s="36">
        <v>0</v>
      </c>
      <c r="BD168" s="36">
        <f>J168</f>
        <v>0.0172872</v>
      </c>
      <c r="BF168" s="20">
        <f>F168*AM168</f>
        <v>0</v>
      </c>
      <c r="BG168" s="20">
        <f>F168*AN168</f>
        <v>0</v>
      </c>
      <c r="BH168" s="20">
        <f>F168*G168</f>
        <v>0</v>
      </c>
    </row>
    <row r="169" spans="1:11" ht="12.75">
      <c r="A169" s="70"/>
      <c r="B169" s="70"/>
      <c r="C169" s="70"/>
      <c r="D169" s="71" t="s">
        <v>442</v>
      </c>
      <c r="E169" s="70"/>
      <c r="F169" s="72">
        <v>82.32</v>
      </c>
      <c r="G169" s="70"/>
      <c r="H169" s="101"/>
      <c r="I169" s="82"/>
      <c r="J169" s="82"/>
      <c r="K169" s="62"/>
    </row>
    <row r="170" spans="1:60" ht="12.75">
      <c r="A170" s="64" t="s">
        <v>69</v>
      </c>
      <c r="B170" s="64" t="s">
        <v>158</v>
      </c>
      <c r="C170" s="64" t="s">
        <v>222</v>
      </c>
      <c r="D170" s="64" t="s">
        <v>448</v>
      </c>
      <c r="E170" s="64" t="s">
        <v>631</v>
      </c>
      <c r="F170" s="67">
        <v>82.32</v>
      </c>
      <c r="G170" s="68"/>
      <c r="H170" s="100">
        <f>F170*G170</f>
        <v>0</v>
      </c>
      <c r="I170" s="81">
        <v>0.00053</v>
      </c>
      <c r="J170" s="81">
        <f>F170*I170</f>
        <v>0.0436296</v>
      </c>
      <c r="K170" s="61" t="s">
        <v>653</v>
      </c>
      <c r="X170" s="36">
        <f>IF(AO170="5",BH170,0)</f>
        <v>0</v>
      </c>
      <c r="Z170" s="36">
        <f>IF(AO170="1",BF170,0)</f>
        <v>0</v>
      </c>
      <c r="AA170" s="36">
        <f>IF(AO170="1",BG170,0)</f>
        <v>0</v>
      </c>
      <c r="AB170" s="36">
        <f>IF(AO170="7",BF170,0)</f>
        <v>0</v>
      </c>
      <c r="AC170" s="36">
        <f>IF(AO170="7",BG170,0)</f>
        <v>0</v>
      </c>
      <c r="AD170" s="36">
        <f>IF(AO170="2",BF170,0)</f>
        <v>0</v>
      </c>
      <c r="AE170" s="36">
        <f>IF(AO170="2",BG170,0)</f>
        <v>0</v>
      </c>
      <c r="AF170" s="36">
        <f>IF(AO170="0",BH170,0)</f>
        <v>0</v>
      </c>
      <c r="AG170" s="28" t="s">
        <v>158</v>
      </c>
      <c r="AH170" s="20">
        <f>IF(AL170=0,H170,0)</f>
        <v>0</v>
      </c>
      <c r="AI170" s="20">
        <f>IF(AL170=15,H170,0)</f>
        <v>0</v>
      </c>
      <c r="AJ170" s="20">
        <f>IF(AL170=21,H170,0)</f>
        <v>0</v>
      </c>
      <c r="AL170" s="36">
        <v>21</v>
      </c>
      <c r="AM170" s="36">
        <f>G170*0.478063134563232</f>
        <v>0</v>
      </c>
      <c r="AN170" s="36">
        <f>G170*(1-0.478063134563232)</f>
        <v>0</v>
      </c>
      <c r="AO170" s="32" t="s">
        <v>7</v>
      </c>
      <c r="AT170" s="36">
        <f>AU170+AV170</f>
        <v>0</v>
      </c>
      <c r="AU170" s="36">
        <f>F170*AM170</f>
        <v>0</v>
      </c>
      <c r="AV170" s="36">
        <f>F170*AN170</f>
        <v>0</v>
      </c>
      <c r="AW170" s="37" t="s">
        <v>676</v>
      </c>
      <c r="AX170" s="37" t="s">
        <v>695</v>
      </c>
      <c r="AY170" s="28" t="s">
        <v>705</v>
      </c>
      <c r="BA170" s="36">
        <f>AU170+AV170</f>
        <v>0</v>
      </c>
      <c r="BB170" s="36">
        <f>G170/(100-BC170)*100</f>
        <v>0</v>
      </c>
      <c r="BC170" s="36">
        <v>0</v>
      </c>
      <c r="BD170" s="36">
        <f>J170</f>
        <v>0.0436296</v>
      </c>
      <c r="BF170" s="20">
        <f>F170*AM170</f>
        <v>0</v>
      </c>
      <c r="BG170" s="20">
        <f>F170*AN170</f>
        <v>0</v>
      </c>
      <c r="BH170" s="20">
        <f>F170*G170</f>
        <v>0</v>
      </c>
    </row>
    <row r="171" spans="1:11" ht="12.75">
      <c r="A171" s="65"/>
      <c r="B171" s="65"/>
      <c r="C171" s="65"/>
      <c r="D171" s="66" t="s">
        <v>442</v>
      </c>
      <c r="E171" s="65"/>
      <c r="F171" s="69">
        <v>82.32</v>
      </c>
      <c r="G171" s="65"/>
      <c r="H171" s="65"/>
      <c r="I171" s="83"/>
      <c r="J171" s="83"/>
      <c r="K171" s="63"/>
    </row>
    <row r="172" spans="1:45" ht="12.75">
      <c r="A172" s="4"/>
      <c r="B172" s="14" t="s">
        <v>158</v>
      </c>
      <c r="C172" s="14" t="s">
        <v>69</v>
      </c>
      <c r="D172" s="14" t="s">
        <v>449</v>
      </c>
      <c r="E172" s="4" t="s">
        <v>6</v>
      </c>
      <c r="F172" s="4" t="s">
        <v>6</v>
      </c>
      <c r="G172" s="4"/>
      <c r="H172" s="39">
        <f>SUM(H173:H199)</f>
        <v>0</v>
      </c>
      <c r="I172" s="80"/>
      <c r="J172" s="80">
        <f>SUM(J173:J199)</f>
        <v>62.187877490000005</v>
      </c>
      <c r="K172" s="28"/>
      <c r="AG172" s="28" t="s">
        <v>158</v>
      </c>
      <c r="AQ172" s="39">
        <f>SUM(AH173:AH199)</f>
        <v>0</v>
      </c>
      <c r="AR172" s="39">
        <f>SUM(AI173:AI199)</f>
        <v>0</v>
      </c>
      <c r="AS172" s="39">
        <f>SUM(AJ173:AJ199)</f>
        <v>0</v>
      </c>
    </row>
    <row r="173" spans="1:60" ht="12.75">
      <c r="A173" s="64" t="s">
        <v>70</v>
      </c>
      <c r="B173" s="64" t="s">
        <v>158</v>
      </c>
      <c r="C173" s="64" t="s">
        <v>223</v>
      </c>
      <c r="D173" s="64" t="s">
        <v>450</v>
      </c>
      <c r="E173" s="64" t="s">
        <v>630</v>
      </c>
      <c r="F173" s="67">
        <v>10.971</v>
      </c>
      <c r="G173" s="68"/>
      <c r="H173" s="100">
        <f>F173*G173</f>
        <v>0</v>
      </c>
      <c r="I173" s="81">
        <v>2.525</v>
      </c>
      <c r="J173" s="81">
        <f>F173*I173</f>
        <v>27.701774999999998</v>
      </c>
      <c r="K173" s="61" t="s">
        <v>653</v>
      </c>
      <c r="X173" s="36">
        <f>IF(AO173="5",BH173,0)</f>
        <v>0</v>
      </c>
      <c r="Z173" s="36">
        <f>IF(AO173="1",BF173,0)</f>
        <v>0</v>
      </c>
      <c r="AA173" s="36">
        <f>IF(AO173="1",BG173,0)</f>
        <v>0</v>
      </c>
      <c r="AB173" s="36">
        <f>IF(AO173="7",BF173,0)</f>
        <v>0</v>
      </c>
      <c r="AC173" s="36">
        <f>IF(AO173="7",BG173,0)</f>
        <v>0</v>
      </c>
      <c r="AD173" s="36">
        <f>IF(AO173="2",BF173,0)</f>
        <v>0</v>
      </c>
      <c r="AE173" s="36">
        <f>IF(AO173="2",BG173,0)</f>
        <v>0</v>
      </c>
      <c r="AF173" s="36">
        <f>IF(AO173="0",BH173,0)</f>
        <v>0</v>
      </c>
      <c r="AG173" s="28" t="s">
        <v>158</v>
      </c>
      <c r="AH173" s="20">
        <f>IF(AL173=0,H173,0)</f>
        <v>0</v>
      </c>
      <c r="AI173" s="20">
        <f>IF(AL173=15,H173,0)</f>
        <v>0</v>
      </c>
      <c r="AJ173" s="20">
        <f>IF(AL173=21,H173,0)</f>
        <v>0</v>
      </c>
      <c r="AL173" s="36">
        <v>21</v>
      </c>
      <c r="AM173" s="36">
        <f>G173*0.707271079358573</f>
        <v>0</v>
      </c>
      <c r="AN173" s="36">
        <f>G173*(1-0.707271079358573)</f>
        <v>0</v>
      </c>
      <c r="AO173" s="32" t="s">
        <v>7</v>
      </c>
      <c r="AT173" s="36">
        <f>AU173+AV173</f>
        <v>0</v>
      </c>
      <c r="AU173" s="36">
        <f>F173*AM173</f>
        <v>0</v>
      </c>
      <c r="AV173" s="36">
        <f>F173*AN173</f>
        <v>0</v>
      </c>
      <c r="AW173" s="37" t="s">
        <v>677</v>
      </c>
      <c r="AX173" s="37" t="s">
        <v>695</v>
      </c>
      <c r="AY173" s="28" t="s">
        <v>705</v>
      </c>
      <c r="BA173" s="36">
        <f>AU173+AV173</f>
        <v>0</v>
      </c>
      <c r="BB173" s="36">
        <f>G173/(100-BC173)*100</f>
        <v>0</v>
      </c>
      <c r="BC173" s="36">
        <v>0</v>
      </c>
      <c r="BD173" s="36">
        <f>J173</f>
        <v>27.701774999999998</v>
      </c>
      <c r="BF173" s="20">
        <f>F173*AM173</f>
        <v>0</v>
      </c>
      <c r="BG173" s="20">
        <f>F173*AN173</f>
        <v>0</v>
      </c>
      <c r="BH173" s="20">
        <f>F173*G173</f>
        <v>0</v>
      </c>
    </row>
    <row r="174" spans="1:11" ht="12.75">
      <c r="A174" s="70"/>
      <c r="B174" s="70"/>
      <c r="C174" s="70"/>
      <c r="D174" s="71" t="s">
        <v>451</v>
      </c>
      <c r="E174" s="70"/>
      <c r="F174" s="72">
        <v>10.971</v>
      </c>
      <c r="G174" s="70"/>
      <c r="H174" s="101"/>
      <c r="I174" s="82"/>
      <c r="J174" s="82"/>
      <c r="K174" s="62"/>
    </row>
    <row r="175" spans="1:60" ht="12.75">
      <c r="A175" s="64" t="s">
        <v>71</v>
      </c>
      <c r="B175" s="64" t="s">
        <v>158</v>
      </c>
      <c r="C175" s="64" t="s">
        <v>224</v>
      </c>
      <c r="D175" s="64" t="s">
        <v>452</v>
      </c>
      <c r="E175" s="64" t="s">
        <v>630</v>
      </c>
      <c r="F175" s="67">
        <v>9.639</v>
      </c>
      <c r="G175" s="68"/>
      <c r="H175" s="100">
        <f>F175*G175</f>
        <v>0</v>
      </c>
      <c r="I175" s="81">
        <v>2.525</v>
      </c>
      <c r="J175" s="81">
        <f>F175*I175</f>
        <v>24.338475</v>
      </c>
      <c r="K175" s="61" t="s">
        <v>653</v>
      </c>
      <c r="X175" s="36">
        <f>IF(AO175="5",BH175,0)</f>
        <v>0</v>
      </c>
      <c r="Z175" s="36">
        <f>IF(AO175="1",BF175,0)</f>
        <v>0</v>
      </c>
      <c r="AA175" s="36">
        <f>IF(AO175="1",BG175,0)</f>
        <v>0</v>
      </c>
      <c r="AB175" s="36">
        <f>IF(AO175="7",BF175,0)</f>
        <v>0</v>
      </c>
      <c r="AC175" s="36">
        <f>IF(AO175="7",BG175,0)</f>
        <v>0</v>
      </c>
      <c r="AD175" s="36">
        <f>IF(AO175="2",BF175,0)</f>
        <v>0</v>
      </c>
      <c r="AE175" s="36">
        <f>IF(AO175="2",BG175,0)</f>
        <v>0</v>
      </c>
      <c r="AF175" s="36">
        <f>IF(AO175="0",BH175,0)</f>
        <v>0</v>
      </c>
      <c r="AG175" s="28" t="s">
        <v>158</v>
      </c>
      <c r="AH175" s="20">
        <f>IF(AL175=0,H175,0)</f>
        <v>0</v>
      </c>
      <c r="AI175" s="20">
        <f>IF(AL175=15,H175,0)</f>
        <v>0</v>
      </c>
      <c r="AJ175" s="20">
        <f>IF(AL175=21,H175,0)</f>
        <v>0</v>
      </c>
      <c r="AL175" s="36">
        <v>21</v>
      </c>
      <c r="AM175" s="36">
        <f>G175*0.717592968250661</f>
        <v>0</v>
      </c>
      <c r="AN175" s="36">
        <f>G175*(1-0.717592968250661)</f>
        <v>0</v>
      </c>
      <c r="AO175" s="32" t="s">
        <v>7</v>
      </c>
      <c r="AT175" s="36">
        <f>AU175+AV175</f>
        <v>0</v>
      </c>
      <c r="AU175" s="36">
        <f>F175*AM175</f>
        <v>0</v>
      </c>
      <c r="AV175" s="36">
        <f>F175*AN175</f>
        <v>0</v>
      </c>
      <c r="AW175" s="37" t="s">
        <v>677</v>
      </c>
      <c r="AX175" s="37" t="s">
        <v>695</v>
      </c>
      <c r="AY175" s="28" t="s">
        <v>705</v>
      </c>
      <c r="BA175" s="36">
        <f>AU175+AV175</f>
        <v>0</v>
      </c>
      <c r="BB175" s="36">
        <f>G175/(100-BC175)*100</f>
        <v>0</v>
      </c>
      <c r="BC175" s="36">
        <v>0</v>
      </c>
      <c r="BD175" s="36">
        <f>J175</f>
        <v>24.338475</v>
      </c>
      <c r="BF175" s="20">
        <f>F175*AM175</f>
        <v>0</v>
      </c>
      <c r="BG175" s="20">
        <f>F175*AN175</f>
        <v>0</v>
      </c>
      <c r="BH175" s="20">
        <f>F175*G175</f>
        <v>0</v>
      </c>
    </row>
    <row r="176" spans="1:11" ht="12.75">
      <c r="A176" s="70"/>
      <c r="B176" s="70"/>
      <c r="C176" s="70"/>
      <c r="D176" s="71" t="s">
        <v>453</v>
      </c>
      <c r="E176" s="70"/>
      <c r="F176" s="72">
        <v>9.639</v>
      </c>
      <c r="G176" s="70"/>
      <c r="H176" s="101"/>
      <c r="I176" s="82"/>
      <c r="J176" s="82"/>
      <c r="K176" s="62"/>
    </row>
    <row r="177" spans="1:60" ht="12.75">
      <c r="A177" s="64" t="s">
        <v>72</v>
      </c>
      <c r="B177" s="64" t="s">
        <v>158</v>
      </c>
      <c r="C177" s="64" t="s">
        <v>225</v>
      </c>
      <c r="D177" s="64" t="s">
        <v>454</v>
      </c>
      <c r="E177" s="64" t="s">
        <v>632</v>
      </c>
      <c r="F177" s="67">
        <v>18.9</v>
      </c>
      <c r="G177" s="68"/>
      <c r="H177" s="100">
        <f>F177*G177</f>
        <v>0</v>
      </c>
      <c r="I177" s="81">
        <v>0</v>
      </c>
      <c r="J177" s="81">
        <f>F177*I177</f>
        <v>0</v>
      </c>
      <c r="K177" s="61" t="s">
        <v>653</v>
      </c>
      <c r="X177" s="36">
        <f>IF(AO177="5",BH177,0)</f>
        <v>0</v>
      </c>
      <c r="Z177" s="36">
        <f>IF(AO177="1",BF177,0)</f>
        <v>0</v>
      </c>
      <c r="AA177" s="36">
        <f>IF(AO177="1",BG177,0)</f>
        <v>0</v>
      </c>
      <c r="AB177" s="36">
        <f>IF(AO177="7",BF177,0)</f>
        <v>0</v>
      </c>
      <c r="AC177" s="36">
        <f>IF(AO177="7",BG177,0)</f>
        <v>0</v>
      </c>
      <c r="AD177" s="36">
        <f>IF(AO177="2",BF177,0)</f>
        <v>0</v>
      </c>
      <c r="AE177" s="36">
        <f>IF(AO177="2",BG177,0)</f>
        <v>0</v>
      </c>
      <c r="AF177" s="36">
        <f>IF(AO177="0",BH177,0)</f>
        <v>0</v>
      </c>
      <c r="AG177" s="28" t="s">
        <v>158</v>
      </c>
      <c r="AH177" s="20">
        <f>IF(AL177=0,H177,0)</f>
        <v>0</v>
      </c>
      <c r="AI177" s="20">
        <f>IF(AL177=15,H177,0)</f>
        <v>0</v>
      </c>
      <c r="AJ177" s="20">
        <f>IF(AL177=21,H177,0)</f>
        <v>0</v>
      </c>
      <c r="AL177" s="36">
        <v>21</v>
      </c>
      <c r="AM177" s="36">
        <f>G177*0.655198658196086</f>
        <v>0</v>
      </c>
      <c r="AN177" s="36">
        <f>G177*(1-0.655198658196086)</f>
        <v>0</v>
      </c>
      <c r="AO177" s="32" t="s">
        <v>7</v>
      </c>
      <c r="AT177" s="36">
        <f>AU177+AV177</f>
        <v>0</v>
      </c>
      <c r="AU177" s="36">
        <f>F177*AM177</f>
        <v>0</v>
      </c>
      <c r="AV177" s="36">
        <f>F177*AN177</f>
        <v>0</v>
      </c>
      <c r="AW177" s="37" t="s">
        <v>677</v>
      </c>
      <c r="AX177" s="37" t="s">
        <v>695</v>
      </c>
      <c r="AY177" s="28" t="s">
        <v>705</v>
      </c>
      <c r="BA177" s="36">
        <f>AU177+AV177</f>
        <v>0</v>
      </c>
      <c r="BB177" s="36">
        <f>G177/(100-BC177)*100</f>
        <v>0</v>
      </c>
      <c r="BC177" s="36">
        <v>0</v>
      </c>
      <c r="BD177" s="36">
        <f>J177</f>
        <v>0</v>
      </c>
      <c r="BF177" s="20">
        <f>F177*AM177</f>
        <v>0</v>
      </c>
      <c r="BG177" s="20">
        <f>F177*AN177</f>
        <v>0</v>
      </c>
      <c r="BH177" s="20">
        <f>F177*G177</f>
        <v>0</v>
      </c>
    </row>
    <row r="178" spans="1:11" ht="12.75">
      <c r="A178" s="70"/>
      <c r="B178" s="70"/>
      <c r="C178" s="70"/>
      <c r="D178" s="71" t="s">
        <v>455</v>
      </c>
      <c r="E178" s="70"/>
      <c r="F178" s="72">
        <v>18.9</v>
      </c>
      <c r="G178" s="70"/>
      <c r="H178" s="101"/>
      <c r="I178" s="82"/>
      <c r="J178" s="82"/>
      <c r="K178" s="62"/>
    </row>
    <row r="179" spans="1:60" ht="12.75">
      <c r="A179" s="64" t="s">
        <v>73</v>
      </c>
      <c r="B179" s="64" t="s">
        <v>158</v>
      </c>
      <c r="C179" s="64" t="s">
        <v>226</v>
      </c>
      <c r="D179" s="64" t="s">
        <v>456</v>
      </c>
      <c r="E179" s="64" t="s">
        <v>630</v>
      </c>
      <c r="F179" s="67">
        <v>10.971</v>
      </c>
      <c r="G179" s="68"/>
      <c r="H179" s="100">
        <f>F179*G179</f>
        <v>0</v>
      </c>
      <c r="I179" s="81">
        <v>0</v>
      </c>
      <c r="J179" s="81">
        <f>F179*I179</f>
        <v>0</v>
      </c>
      <c r="K179" s="61" t="s">
        <v>653</v>
      </c>
      <c r="X179" s="36">
        <f>IF(AO179="5",BH179,0)</f>
        <v>0</v>
      </c>
      <c r="Z179" s="36">
        <f>IF(AO179="1",BF179,0)</f>
        <v>0</v>
      </c>
      <c r="AA179" s="36">
        <f>IF(AO179="1",BG179,0)</f>
        <v>0</v>
      </c>
      <c r="AB179" s="36">
        <f>IF(AO179="7",BF179,0)</f>
        <v>0</v>
      </c>
      <c r="AC179" s="36">
        <f>IF(AO179="7",BG179,0)</f>
        <v>0</v>
      </c>
      <c r="AD179" s="36">
        <f>IF(AO179="2",BF179,0)</f>
        <v>0</v>
      </c>
      <c r="AE179" s="36">
        <f>IF(AO179="2",BG179,0)</f>
        <v>0</v>
      </c>
      <c r="AF179" s="36">
        <f>IF(AO179="0",BH179,0)</f>
        <v>0</v>
      </c>
      <c r="AG179" s="28" t="s">
        <v>158</v>
      </c>
      <c r="AH179" s="20">
        <f>IF(AL179=0,H179,0)</f>
        <v>0</v>
      </c>
      <c r="AI179" s="20">
        <f>IF(AL179=15,H179,0)</f>
        <v>0</v>
      </c>
      <c r="AJ179" s="20">
        <f>IF(AL179=21,H179,0)</f>
        <v>0</v>
      </c>
      <c r="AL179" s="36">
        <v>21</v>
      </c>
      <c r="AM179" s="36">
        <f>G179*0</f>
        <v>0</v>
      </c>
      <c r="AN179" s="36">
        <f>G179*(1-0)</f>
        <v>0</v>
      </c>
      <c r="AO179" s="32" t="s">
        <v>7</v>
      </c>
      <c r="AT179" s="36">
        <f>AU179+AV179</f>
        <v>0</v>
      </c>
      <c r="AU179" s="36">
        <f>F179*AM179</f>
        <v>0</v>
      </c>
      <c r="AV179" s="36">
        <f>F179*AN179</f>
        <v>0</v>
      </c>
      <c r="AW179" s="37" t="s">
        <v>677</v>
      </c>
      <c r="AX179" s="37" t="s">
        <v>695</v>
      </c>
      <c r="AY179" s="28" t="s">
        <v>705</v>
      </c>
      <c r="BA179" s="36">
        <f>AU179+AV179</f>
        <v>0</v>
      </c>
      <c r="BB179" s="36">
        <f>G179/(100-BC179)*100</f>
        <v>0</v>
      </c>
      <c r="BC179" s="36">
        <v>0</v>
      </c>
      <c r="BD179" s="36">
        <f>J179</f>
        <v>0</v>
      </c>
      <c r="BF179" s="20">
        <f>F179*AM179</f>
        <v>0</v>
      </c>
      <c r="BG179" s="20">
        <f>F179*AN179</f>
        <v>0</v>
      </c>
      <c r="BH179" s="20">
        <f>F179*G179</f>
        <v>0</v>
      </c>
    </row>
    <row r="180" spans="1:11" ht="12.75">
      <c r="A180" s="70"/>
      <c r="B180" s="70"/>
      <c r="C180" s="70"/>
      <c r="D180" s="71" t="s">
        <v>451</v>
      </c>
      <c r="E180" s="70"/>
      <c r="F180" s="72">
        <v>10.971</v>
      </c>
      <c r="G180" s="70"/>
      <c r="H180" s="101"/>
      <c r="I180" s="82"/>
      <c r="J180" s="82"/>
      <c r="K180" s="62"/>
    </row>
    <row r="181" spans="1:60" ht="12.75">
      <c r="A181" s="64" t="s">
        <v>74</v>
      </c>
      <c r="B181" s="64" t="s">
        <v>158</v>
      </c>
      <c r="C181" s="64" t="s">
        <v>227</v>
      </c>
      <c r="D181" s="64" t="s">
        <v>457</v>
      </c>
      <c r="E181" s="64" t="s">
        <v>630</v>
      </c>
      <c r="F181" s="67">
        <v>9.639</v>
      </c>
      <c r="G181" s="68"/>
      <c r="H181" s="100">
        <f>F181*G181</f>
        <v>0</v>
      </c>
      <c r="I181" s="81">
        <v>0.02</v>
      </c>
      <c r="J181" s="81">
        <f>F181*I181</f>
        <v>0.19277999999999998</v>
      </c>
      <c r="K181" s="61" t="s">
        <v>653</v>
      </c>
      <c r="X181" s="36">
        <f>IF(AO181="5",BH181,0)</f>
        <v>0</v>
      </c>
      <c r="Z181" s="36">
        <f>IF(AO181="1",BF181,0)</f>
        <v>0</v>
      </c>
      <c r="AA181" s="36">
        <f>IF(AO181="1",BG181,0)</f>
        <v>0</v>
      </c>
      <c r="AB181" s="36">
        <f>IF(AO181="7",BF181,0)</f>
        <v>0</v>
      </c>
      <c r="AC181" s="36">
        <f>IF(AO181="7",BG181,0)</f>
        <v>0</v>
      </c>
      <c r="AD181" s="36">
        <f>IF(AO181="2",BF181,0)</f>
        <v>0</v>
      </c>
      <c r="AE181" s="36">
        <f>IF(AO181="2",BG181,0)</f>
        <v>0</v>
      </c>
      <c r="AF181" s="36">
        <f>IF(AO181="0",BH181,0)</f>
        <v>0</v>
      </c>
      <c r="AG181" s="28" t="s">
        <v>158</v>
      </c>
      <c r="AH181" s="20">
        <f>IF(AL181=0,H181,0)</f>
        <v>0</v>
      </c>
      <c r="AI181" s="20">
        <f>IF(AL181=15,H181,0)</f>
        <v>0</v>
      </c>
      <c r="AJ181" s="20">
        <f>IF(AL181=21,H181,0)</f>
        <v>0</v>
      </c>
      <c r="AL181" s="36">
        <v>21</v>
      </c>
      <c r="AM181" s="36">
        <f>G181*0.0902655143498938</f>
        <v>0</v>
      </c>
      <c r="AN181" s="36">
        <f>G181*(1-0.0902655143498938)</f>
        <v>0</v>
      </c>
      <c r="AO181" s="32" t="s">
        <v>7</v>
      </c>
      <c r="AT181" s="36">
        <f>AU181+AV181</f>
        <v>0</v>
      </c>
      <c r="AU181" s="36">
        <f>F181*AM181</f>
        <v>0</v>
      </c>
      <c r="AV181" s="36">
        <f>F181*AN181</f>
        <v>0</v>
      </c>
      <c r="AW181" s="37" t="s">
        <v>677</v>
      </c>
      <c r="AX181" s="37" t="s">
        <v>695</v>
      </c>
      <c r="AY181" s="28" t="s">
        <v>705</v>
      </c>
      <c r="BA181" s="36">
        <f>AU181+AV181</f>
        <v>0</v>
      </c>
      <c r="BB181" s="36">
        <f>G181/(100-BC181)*100</f>
        <v>0</v>
      </c>
      <c r="BC181" s="36">
        <v>0</v>
      </c>
      <c r="BD181" s="36">
        <f>J181</f>
        <v>0.19277999999999998</v>
      </c>
      <c r="BF181" s="20">
        <f>F181*AM181</f>
        <v>0</v>
      </c>
      <c r="BG181" s="20">
        <f>F181*AN181</f>
        <v>0</v>
      </c>
      <c r="BH181" s="20">
        <f>F181*G181</f>
        <v>0</v>
      </c>
    </row>
    <row r="182" spans="1:11" ht="12.75">
      <c r="A182" s="70"/>
      <c r="B182" s="70"/>
      <c r="C182" s="70"/>
      <c r="D182" s="71" t="s">
        <v>453</v>
      </c>
      <c r="E182" s="70"/>
      <c r="F182" s="72">
        <v>9.639</v>
      </c>
      <c r="G182" s="70"/>
      <c r="H182" s="101"/>
      <c r="I182" s="82"/>
      <c r="J182" s="82"/>
      <c r="K182" s="62"/>
    </row>
    <row r="183" spans="1:60" ht="12.75">
      <c r="A183" s="64" t="s">
        <v>75</v>
      </c>
      <c r="B183" s="64" t="s">
        <v>158</v>
      </c>
      <c r="C183" s="64" t="s">
        <v>228</v>
      </c>
      <c r="D183" s="64" t="s">
        <v>458</v>
      </c>
      <c r="E183" s="64" t="s">
        <v>630</v>
      </c>
      <c r="F183" s="67">
        <v>20.61</v>
      </c>
      <c r="G183" s="68"/>
      <c r="H183" s="100">
        <f>F183*G183</f>
        <v>0</v>
      </c>
      <c r="I183" s="81">
        <v>0</v>
      </c>
      <c r="J183" s="81">
        <f>F183*I183</f>
        <v>0</v>
      </c>
      <c r="K183" s="61" t="s">
        <v>653</v>
      </c>
      <c r="X183" s="36">
        <f>IF(AO183="5",BH183,0)</f>
        <v>0</v>
      </c>
      <c r="Z183" s="36">
        <f>IF(AO183="1",BF183,0)</f>
        <v>0</v>
      </c>
      <c r="AA183" s="36">
        <f>IF(AO183="1",BG183,0)</f>
        <v>0</v>
      </c>
      <c r="AB183" s="36">
        <f>IF(AO183="7",BF183,0)</f>
        <v>0</v>
      </c>
      <c r="AC183" s="36">
        <f>IF(AO183="7",BG183,0)</f>
        <v>0</v>
      </c>
      <c r="AD183" s="36">
        <f>IF(AO183="2",BF183,0)</f>
        <v>0</v>
      </c>
      <c r="AE183" s="36">
        <f>IF(AO183="2",BG183,0)</f>
        <v>0</v>
      </c>
      <c r="AF183" s="36">
        <f>IF(AO183="0",BH183,0)</f>
        <v>0</v>
      </c>
      <c r="AG183" s="28" t="s">
        <v>158</v>
      </c>
      <c r="AH183" s="20">
        <f>IF(AL183=0,H183,0)</f>
        <v>0</v>
      </c>
      <c r="AI183" s="20">
        <f>IF(AL183=15,H183,0)</f>
        <v>0</v>
      </c>
      <c r="AJ183" s="20">
        <f>IF(AL183=21,H183,0)</f>
        <v>0</v>
      </c>
      <c r="AL183" s="36">
        <v>21</v>
      </c>
      <c r="AM183" s="36">
        <f>G183*0</f>
        <v>0</v>
      </c>
      <c r="AN183" s="36">
        <f>G183*(1-0)</f>
        <v>0</v>
      </c>
      <c r="AO183" s="32" t="s">
        <v>7</v>
      </c>
      <c r="AT183" s="36">
        <f>AU183+AV183</f>
        <v>0</v>
      </c>
      <c r="AU183" s="36">
        <f>F183*AM183</f>
        <v>0</v>
      </c>
      <c r="AV183" s="36">
        <f>F183*AN183</f>
        <v>0</v>
      </c>
      <c r="AW183" s="37" t="s">
        <v>677</v>
      </c>
      <c r="AX183" s="37" t="s">
        <v>695</v>
      </c>
      <c r="AY183" s="28" t="s">
        <v>705</v>
      </c>
      <c r="BA183" s="36">
        <f>AU183+AV183</f>
        <v>0</v>
      </c>
      <c r="BB183" s="36">
        <f>G183/(100-BC183)*100</f>
        <v>0</v>
      </c>
      <c r="BC183" s="36">
        <v>0</v>
      </c>
      <c r="BD183" s="36">
        <f>J183</f>
        <v>0</v>
      </c>
      <c r="BF183" s="20">
        <f>F183*AM183</f>
        <v>0</v>
      </c>
      <c r="BG183" s="20">
        <f>F183*AN183</f>
        <v>0</v>
      </c>
      <c r="BH183" s="20">
        <f>F183*G183</f>
        <v>0</v>
      </c>
    </row>
    <row r="184" spans="1:11" ht="12.75">
      <c r="A184" s="70"/>
      <c r="B184" s="70"/>
      <c r="C184" s="70"/>
      <c r="D184" s="71" t="s">
        <v>451</v>
      </c>
      <c r="E184" s="70"/>
      <c r="F184" s="72">
        <v>10.971</v>
      </c>
      <c r="G184" s="70"/>
      <c r="H184" s="101"/>
      <c r="I184" s="82"/>
      <c r="J184" s="82"/>
      <c r="K184" s="62"/>
    </row>
    <row r="185" spans="1:11" ht="12.75">
      <c r="A185" s="70"/>
      <c r="B185" s="70"/>
      <c r="C185" s="70"/>
      <c r="D185" s="71" t="s">
        <v>453</v>
      </c>
      <c r="E185" s="70"/>
      <c r="F185" s="72">
        <v>9.639</v>
      </c>
      <c r="G185" s="70"/>
      <c r="H185" s="101"/>
      <c r="I185" s="82"/>
      <c r="J185" s="82"/>
      <c r="K185" s="62"/>
    </row>
    <row r="186" spans="1:60" ht="12.75">
      <c r="A186" s="64" t="s">
        <v>76</v>
      </c>
      <c r="B186" s="64" t="s">
        <v>158</v>
      </c>
      <c r="C186" s="64" t="s">
        <v>229</v>
      </c>
      <c r="D186" s="64" t="s">
        <v>459</v>
      </c>
      <c r="E186" s="64" t="s">
        <v>633</v>
      </c>
      <c r="F186" s="67">
        <v>1.043</v>
      </c>
      <c r="G186" s="68"/>
      <c r="H186" s="100">
        <f>F186*G186</f>
        <v>0</v>
      </c>
      <c r="I186" s="81">
        <v>1.06625</v>
      </c>
      <c r="J186" s="81">
        <f>F186*I186</f>
        <v>1.11209875</v>
      </c>
      <c r="K186" s="61" t="s">
        <v>653</v>
      </c>
      <c r="X186" s="36">
        <f>IF(AO186="5",BH186,0)</f>
        <v>0</v>
      </c>
      <c r="Z186" s="36">
        <f>IF(AO186="1",BF186,0)</f>
        <v>0</v>
      </c>
      <c r="AA186" s="36">
        <f>IF(AO186="1",BG186,0)</f>
        <v>0</v>
      </c>
      <c r="AB186" s="36">
        <f>IF(AO186="7",BF186,0)</f>
        <v>0</v>
      </c>
      <c r="AC186" s="36">
        <f>IF(AO186="7",BG186,0)</f>
        <v>0</v>
      </c>
      <c r="AD186" s="36">
        <f>IF(AO186="2",BF186,0)</f>
        <v>0</v>
      </c>
      <c r="AE186" s="36">
        <f>IF(AO186="2",BG186,0)</f>
        <v>0</v>
      </c>
      <c r="AF186" s="36">
        <f>IF(AO186="0",BH186,0)</f>
        <v>0</v>
      </c>
      <c r="AG186" s="28" t="s">
        <v>158</v>
      </c>
      <c r="AH186" s="20">
        <f>IF(AL186=0,H186,0)</f>
        <v>0</v>
      </c>
      <c r="AI186" s="20">
        <f>IF(AL186=15,H186,0)</f>
        <v>0</v>
      </c>
      <c r="AJ186" s="20">
        <f>IF(AL186=21,H186,0)</f>
        <v>0</v>
      </c>
      <c r="AL186" s="36">
        <v>21</v>
      </c>
      <c r="AM186" s="36">
        <f>G186*0.808476881984895</f>
        <v>0</v>
      </c>
      <c r="AN186" s="36">
        <f>G186*(1-0.808476881984895)</f>
        <v>0</v>
      </c>
      <c r="AO186" s="32" t="s">
        <v>7</v>
      </c>
      <c r="AT186" s="36">
        <f>AU186+AV186</f>
        <v>0</v>
      </c>
      <c r="AU186" s="36">
        <f>F186*AM186</f>
        <v>0</v>
      </c>
      <c r="AV186" s="36">
        <f>F186*AN186</f>
        <v>0</v>
      </c>
      <c r="AW186" s="37" t="s">
        <v>677</v>
      </c>
      <c r="AX186" s="37" t="s">
        <v>695</v>
      </c>
      <c r="AY186" s="28" t="s">
        <v>705</v>
      </c>
      <c r="BA186" s="36">
        <f>AU186+AV186</f>
        <v>0</v>
      </c>
      <c r="BB186" s="36">
        <f>G186/(100-BC186)*100</f>
        <v>0</v>
      </c>
      <c r="BC186" s="36">
        <v>0</v>
      </c>
      <c r="BD186" s="36">
        <f>J186</f>
        <v>1.11209875</v>
      </c>
      <c r="BF186" s="20">
        <f>F186*AM186</f>
        <v>0</v>
      </c>
      <c r="BG186" s="20">
        <f>F186*AN186</f>
        <v>0</v>
      </c>
      <c r="BH186" s="20">
        <f>F186*G186</f>
        <v>0</v>
      </c>
    </row>
    <row r="187" spans="1:11" ht="12.75">
      <c r="A187" s="70"/>
      <c r="B187" s="70"/>
      <c r="C187" s="70"/>
      <c r="D187" s="71" t="s">
        <v>460</v>
      </c>
      <c r="E187" s="70"/>
      <c r="F187" s="72">
        <v>0.555</v>
      </c>
      <c r="G187" s="70"/>
      <c r="H187" s="101"/>
      <c r="I187" s="82"/>
      <c r="J187" s="82"/>
      <c r="K187" s="62"/>
    </row>
    <row r="188" spans="1:11" ht="12.75">
      <c r="A188" s="70"/>
      <c r="B188" s="70"/>
      <c r="C188" s="70"/>
      <c r="D188" s="71" t="s">
        <v>461</v>
      </c>
      <c r="E188" s="70"/>
      <c r="F188" s="72">
        <v>0.488</v>
      </c>
      <c r="G188" s="70"/>
      <c r="H188" s="101"/>
      <c r="I188" s="82"/>
      <c r="J188" s="82"/>
      <c r="K188" s="62"/>
    </row>
    <row r="189" spans="1:60" ht="12.75">
      <c r="A189" s="64" t="s">
        <v>77</v>
      </c>
      <c r="B189" s="64" t="s">
        <v>158</v>
      </c>
      <c r="C189" s="64" t="s">
        <v>230</v>
      </c>
      <c r="D189" s="64" t="s">
        <v>462</v>
      </c>
      <c r="E189" s="64" t="s">
        <v>631</v>
      </c>
      <c r="F189" s="67">
        <v>13.68</v>
      </c>
      <c r="G189" s="68"/>
      <c r="H189" s="100">
        <f>F189*G189</f>
        <v>0</v>
      </c>
      <c r="I189" s="81">
        <v>0.0141</v>
      </c>
      <c r="J189" s="81">
        <f>F189*I189</f>
        <v>0.192888</v>
      </c>
      <c r="K189" s="61" t="s">
        <v>653</v>
      </c>
      <c r="X189" s="36">
        <f>IF(AO189="5",BH189,0)</f>
        <v>0</v>
      </c>
      <c r="Z189" s="36">
        <f>IF(AO189="1",BF189,0)</f>
        <v>0</v>
      </c>
      <c r="AA189" s="36">
        <f>IF(AO189="1",BG189,0)</f>
        <v>0</v>
      </c>
      <c r="AB189" s="36">
        <f>IF(AO189="7",BF189,0)</f>
        <v>0</v>
      </c>
      <c r="AC189" s="36">
        <f>IF(AO189="7",BG189,0)</f>
        <v>0</v>
      </c>
      <c r="AD189" s="36">
        <f>IF(AO189="2",BF189,0)</f>
        <v>0</v>
      </c>
      <c r="AE189" s="36">
        <f>IF(AO189="2",BG189,0)</f>
        <v>0</v>
      </c>
      <c r="AF189" s="36">
        <f>IF(AO189="0",BH189,0)</f>
        <v>0</v>
      </c>
      <c r="AG189" s="28" t="s">
        <v>158</v>
      </c>
      <c r="AH189" s="20">
        <f>IF(AL189=0,H189,0)</f>
        <v>0</v>
      </c>
      <c r="AI189" s="20">
        <f>IF(AL189=15,H189,0)</f>
        <v>0</v>
      </c>
      <c r="AJ189" s="20">
        <f>IF(AL189=21,H189,0)</f>
        <v>0</v>
      </c>
      <c r="AL189" s="36">
        <v>21</v>
      </c>
      <c r="AM189" s="36">
        <f>G189*0.42746835443038</f>
        <v>0</v>
      </c>
      <c r="AN189" s="36">
        <f>G189*(1-0.42746835443038)</f>
        <v>0</v>
      </c>
      <c r="AO189" s="32" t="s">
        <v>7</v>
      </c>
      <c r="AT189" s="36">
        <f>AU189+AV189</f>
        <v>0</v>
      </c>
      <c r="AU189" s="36">
        <f>F189*AM189</f>
        <v>0</v>
      </c>
      <c r="AV189" s="36">
        <f>F189*AN189</f>
        <v>0</v>
      </c>
      <c r="AW189" s="37" t="s">
        <v>677</v>
      </c>
      <c r="AX189" s="37" t="s">
        <v>695</v>
      </c>
      <c r="AY189" s="28" t="s">
        <v>705</v>
      </c>
      <c r="BA189" s="36">
        <f>AU189+AV189</f>
        <v>0</v>
      </c>
      <c r="BB189" s="36">
        <f>G189/(100-BC189)*100</f>
        <v>0</v>
      </c>
      <c r="BC189" s="36">
        <v>0</v>
      </c>
      <c r="BD189" s="36">
        <f>J189</f>
        <v>0.192888</v>
      </c>
      <c r="BF189" s="20">
        <f>F189*AM189</f>
        <v>0</v>
      </c>
      <c r="BG189" s="20">
        <f>F189*AN189</f>
        <v>0</v>
      </c>
      <c r="BH189" s="20">
        <f>F189*G189</f>
        <v>0</v>
      </c>
    </row>
    <row r="190" spans="1:11" ht="12.75">
      <c r="A190" s="70"/>
      <c r="B190" s="70"/>
      <c r="C190" s="70"/>
      <c r="D190" s="71" t="s">
        <v>463</v>
      </c>
      <c r="E190" s="70"/>
      <c r="F190" s="72">
        <v>13.68</v>
      </c>
      <c r="G190" s="70"/>
      <c r="H190" s="101"/>
      <c r="I190" s="82"/>
      <c r="J190" s="82"/>
      <c r="K190" s="62"/>
    </row>
    <row r="191" spans="1:60" ht="12.75">
      <c r="A191" s="64" t="s">
        <v>78</v>
      </c>
      <c r="B191" s="64" t="s">
        <v>158</v>
      </c>
      <c r="C191" s="64" t="s">
        <v>231</v>
      </c>
      <c r="D191" s="64" t="s">
        <v>464</v>
      </c>
      <c r="E191" s="64" t="s">
        <v>631</v>
      </c>
      <c r="F191" s="67">
        <v>13.68</v>
      </c>
      <c r="G191" s="68"/>
      <c r="H191" s="100">
        <f>F191*G191</f>
        <v>0</v>
      </c>
      <c r="I191" s="81">
        <v>0</v>
      </c>
      <c r="J191" s="81">
        <f>F191*I191</f>
        <v>0</v>
      </c>
      <c r="K191" s="61" t="s">
        <v>653</v>
      </c>
      <c r="X191" s="36">
        <f>IF(AO191="5",BH191,0)</f>
        <v>0</v>
      </c>
      <c r="Z191" s="36">
        <f>IF(AO191="1",BF191,0)</f>
        <v>0</v>
      </c>
      <c r="AA191" s="36">
        <f>IF(AO191="1",BG191,0)</f>
        <v>0</v>
      </c>
      <c r="AB191" s="36">
        <f>IF(AO191="7",BF191,0)</f>
        <v>0</v>
      </c>
      <c r="AC191" s="36">
        <f>IF(AO191="7",BG191,0)</f>
        <v>0</v>
      </c>
      <c r="AD191" s="36">
        <f>IF(AO191="2",BF191,0)</f>
        <v>0</v>
      </c>
      <c r="AE191" s="36">
        <f>IF(AO191="2",BG191,0)</f>
        <v>0</v>
      </c>
      <c r="AF191" s="36">
        <f>IF(AO191="0",BH191,0)</f>
        <v>0</v>
      </c>
      <c r="AG191" s="28" t="s">
        <v>158</v>
      </c>
      <c r="AH191" s="20">
        <f>IF(AL191=0,H191,0)</f>
        <v>0</v>
      </c>
      <c r="AI191" s="20">
        <f>IF(AL191=15,H191,0)</f>
        <v>0</v>
      </c>
      <c r="AJ191" s="20">
        <f>IF(AL191=21,H191,0)</f>
        <v>0</v>
      </c>
      <c r="AL191" s="36">
        <v>21</v>
      </c>
      <c r="AM191" s="36">
        <f>G191*0</f>
        <v>0</v>
      </c>
      <c r="AN191" s="36">
        <f>G191*(1-0)</f>
        <v>0</v>
      </c>
      <c r="AO191" s="32" t="s">
        <v>7</v>
      </c>
      <c r="AT191" s="36">
        <f>AU191+AV191</f>
        <v>0</v>
      </c>
      <c r="AU191" s="36">
        <f>F191*AM191</f>
        <v>0</v>
      </c>
      <c r="AV191" s="36">
        <f>F191*AN191</f>
        <v>0</v>
      </c>
      <c r="AW191" s="37" t="s">
        <v>677</v>
      </c>
      <c r="AX191" s="37" t="s">
        <v>695</v>
      </c>
      <c r="AY191" s="28" t="s">
        <v>705</v>
      </c>
      <c r="BA191" s="36">
        <f>AU191+AV191</f>
        <v>0</v>
      </c>
      <c r="BB191" s="36">
        <f>G191/(100-BC191)*100</f>
        <v>0</v>
      </c>
      <c r="BC191" s="36">
        <v>0</v>
      </c>
      <c r="BD191" s="36">
        <f>J191</f>
        <v>0</v>
      </c>
      <c r="BF191" s="20">
        <f>F191*AM191</f>
        <v>0</v>
      </c>
      <c r="BG191" s="20">
        <f>F191*AN191</f>
        <v>0</v>
      </c>
      <c r="BH191" s="20">
        <f>F191*G191</f>
        <v>0</v>
      </c>
    </row>
    <row r="192" spans="1:11" ht="12.75">
      <c r="A192" s="70"/>
      <c r="B192" s="70"/>
      <c r="C192" s="70"/>
      <c r="D192" s="71" t="s">
        <v>463</v>
      </c>
      <c r="E192" s="70"/>
      <c r="F192" s="72">
        <v>13.68</v>
      </c>
      <c r="G192" s="70"/>
      <c r="H192" s="101"/>
      <c r="I192" s="82"/>
      <c r="J192" s="82"/>
      <c r="K192" s="62"/>
    </row>
    <row r="193" spans="1:60" ht="12.75">
      <c r="A193" s="64" t="s">
        <v>79</v>
      </c>
      <c r="B193" s="64" t="s">
        <v>158</v>
      </c>
      <c r="C193" s="64" t="s">
        <v>232</v>
      </c>
      <c r="D193" s="64" t="s">
        <v>465</v>
      </c>
      <c r="E193" s="64" t="s">
        <v>631</v>
      </c>
      <c r="F193" s="67">
        <v>0.27</v>
      </c>
      <c r="G193" s="68"/>
      <c r="H193" s="100">
        <f>F193*G193</f>
        <v>0</v>
      </c>
      <c r="I193" s="81">
        <v>0.08265</v>
      </c>
      <c r="J193" s="81">
        <f>F193*I193</f>
        <v>0.022315500000000002</v>
      </c>
      <c r="K193" s="61" t="s">
        <v>654</v>
      </c>
      <c r="X193" s="36">
        <f>IF(AO193="5",BH193,0)</f>
        <v>0</v>
      </c>
      <c r="Z193" s="36">
        <f>IF(AO193="1",BF193,0)</f>
        <v>0</v>
      </c>
      <c r="AA193" s="36">
        <f>IF(AO193="1",BG193,0)</f>
        <v>0</v>
      </c>
      <c r="AB193" s="36">
        <f>IF(AO193="7",BF193,0)</f>
        <v>0</v>
      </c>
      <c r="AC193" s="36">
        <f>IF(AO193="7",BG193,0)</f>
        <v>0</v>
      </c>
      <c r="AD193" s="36">
        <f>IF(AO193="2",BF193,0)</f>
        <v>0</v>
      </c>
      <c r="AE193" s="36">
        <f>IF(AO193="2",BG193,0)</f>
        <v>0</v>
      </c>
      <c r="AF193" s="36">
        <f>IF(AO193="0",BH193,0)</f>
        <v>0</v>
      </c>
      <c r="AG193" s="28" t="s">
        <v>158</v>
      </c>
      <c r="AH193" s="20">
        <f>IF(AL193=0,H193,0)</f>
        <v>0</v>
      </c>
      <c r="AI193" s="20">
        <f>IF(AL193=15,H193,0)</f>
        <v>0</v>
      </c>
      <c r="AJ193" s="20">
        <f>IF(AL193=21,H193,0)</f>
        <v>0</v>
      </c>
      <c r="AL193" s="36">
        <v>21</v>
      </c>
      <c r="AM193" s="36">
        <f>G193*0.131989189189189</f>
        <v>0</v>
      </c>
      <c r="AN193" s="36">
        <f>G193*(1-0.131989189189189)</f>
        <v>0</v>
      </c>
      <c r="AO193" s="32" t="s">
        <v>7</v>
      </c>
      <c r="AT193" s="36">
        <f>AU193+AV193</f>
        <v>0</v>
      </c>
      <c r="AU193" s="36">
        <f>F193*AM193</f>
        <v>0</v>
      </c>
      <c r="AV193" s="36">
        <f>F193*AN193</f>
        <v>0</v>
      </c>
      <c r="AW193" s="37" t="s">
        <v>677</v>
      </c>
      <c r="AX193" s="37" t="s">
        <v>695</v>
      </c>
      <c r="AY193" s="28" t="s">
        <v>705</v>
      </c>
      <c r="BA193" s="36">
        <f>AU193+AV193</f>
        <v>0</v>
      </c>
      <c r="BB193" s="36">
        <f>G193/(100-BC193)*100</f>
        <v>0</v>
      </c>
      <c r="BC193" s="36">
        <v>0</v>
      </c>
      <c r="BD193" s="36">
        <f>J193</f>
        <v>0.022315500000000002</v>
      </c>
      <c r="BF193" s="20">
        <f>F193*AM193</f>
        <v>0</v>
      </c>
      <c r="BG193" s="20">
        <f>F193*AN193</f>
        <v>0</v>
      </c>
      <c r="BH193" s="20">
        <f>F193*G193</f>
        <v>0</v>
      </c>
    </row>
    <row r="194" spans="1:11" ht="12.75">
      <c r="A194" s="70"/>
      <c r="B194" s="70"/>
      <c r="C194" s="70"/>
      <c r="D194" s="71" t="s">
        <v>466</v>
      </c>
      <c r="E194" s="70"/>
      <c r="F194" s="72">
        <v>0.27</v>
      </c>
      <c r="G194" s="70"/>
      <c r="H194" s="101"/>
      <c r="I194" s="82"/>
      <c r="J194" s="82"/>
      <c r="K194" s="62"/>
    </row>
    <row r="195" spans="1:60" ht="12.75">
      <c r="A195" s="64" t="s">
        <v>80</v>
      </c>
      <c r="B195" s="64" t="s">
        <v>158</v>
      </c>
      <c r="C195" s="64" t="s">
        <v>233</v>
      </c>
      <c r="D195" s="64" t="s">
        <v>467</v>
      </c>
      <c r="E195" s="64" t="s">
        <v>630</v>
      </c>
      <c r="F195" s="67">
        <v>20.242</v>
      </c>
      <c r="G195" s="68"/>
      <c r="H195" s="100">
        <f>F195*G195</f>
        <v>0</v>
      </c>
      <c r="I195" s="81">
        <v>0.42622</v>
      </c>
      <c r="J195" s="81">
        <f>F195*I195</f>
        <v>8.62754524</v>
      </c>
      <c r="K195" s="61" t="s">
        <v>653</v>
      </c>
      <c r="X195" s="36">
        <f>IF(AO195="5",BH195,0)</f>
        <v>0</v>
      </c>
      <c r="Z195" s="36">
        <f>IF(AO195="1",BF195,0)</f>
        <v>0</v>
      </c>
      <c r="AA195" s="36">
        <f>IF(AO195="1",BG195,0)</f>
        <v>0</v>
      </c>
      <c r="AB195" s="36">
        <f>IF(AO195="7",BF195,0)</f>
        <v>0</v>
      </c>
      <c r="AC195" s="36">
        <f>IF(AO195="7",BG195,0)</f>
        <v>0</v>
      </c>
      <c r="AD195" s="36">
        <f>IF(AO195="2",BF195,0)</f>
        <v>0</v>
      </c>
      <c r="AE195" s="36">
        <f>IF(AO195="2",BG195,0)</f>
        <v>0</v>
      </c>
      <c r="AF195" s="36">
        <f>IF(AO195="0",BH195,0)</f>
        <v>0</v>
      </c>
      <c r="AG195" s="28" t="s">
        <v>158</v>
      </c>
      <c r="AH195" s="20">
        <f>IF(AL195=0,H195,0)</f>
        <v>0</v>
      </c>
      <c r="AI195" s="20">
        <f>IF(AL195=15,H195,0)</f>
        <v>0</v>
      </c>
      <c r="AJ195" s="20">
        <f>IF(AL195=21,H195,0)</f>
        <v>0</v>
      </c>
      <c r="AL195" s="36">
        <v>21</v>
      </c>
      <c r="AM195" s="36">
        <f>G195*0.619019221259181</f>
        <v>0</v>
      </c>
      <c r="AN195" s="36">
        <f>G195*(1-0.619019221259181)</f>
        <v>0</v>
      </c>
      <c r="AO195" s="32" t="s">
        <v>7</v>
      </c>
      <c r="AT195" s="36">
        <f>AU195+AV195</f>
        <v>0</v>
      </c>
      <c r="AU195" s="36">
        <f>F195*AM195</f>
        <v>0</v>
      </c>
      <c r="AV195" s="36">
        <f>F195*AN195</f>
        <v>0</v>
      </c>
      <c r="AW195" s="37" t="s">
        <v>677</v>
      </c>
      <c r="AX195" s="37" t="s">
        <v>695</v>
      </c>
      <c r="AY195" s="28" t="s">
        <v>705</v>
      </c>
      <c r="BA195" s="36">
        <f>AU195+AV195</f>
        <v>0</v>
      </c>
      <c r="BB195" s="36">
        <f>G195/(100-BC195)*100</f>
        <v>0</v>
      </c>
      <c r="BC195" s="36">
        <v>0</v>
      </c>
      <c r="BD195" s="36">
        <f>J195</f>
        <v>8.62754524</v>
      </c>
      <c r="BF195" s="20">
        <f>F195*AM195</f>
        <v>0</v>
      </c>
      <c r="BG195" s="20">
        <f>F195*AN195</f>
        <v>0</v>
      </c>
      <c r="BH195" s="20">
        <f>F195*G195</f>
        <v>0</v>
      </c>
    </row>
    <row r="196" spans="1:11" ht="12.75">
      <c r="A196" s="70"/>
      <c r="B196" s="70"/>
      <c r="C196" s="70"/>
      <c r="D196" s="71" t="s">
        <v>468</v>
      </c>
      <c r="E196" s="70"/>
      <c r="F196" s="72">
        <v>20.242</v>
      </c>
      <c r="G196" s="70"/>
      <c r="H196" s="101"/>
      <c r="I196" s="82"/>
      <c r="J196" s="82"/>
      <c r="K196" s="62"/>
    </row>
    <row r="197" spans="1:60" ht="12.75">
      <c r="A197" s="64" t="s">
        <v>81</v>
      </c>
      <c r="B197" s="64" t="s">
        <v>158</v>
      </c>
      <c r="C197" s="64" t="s">
        <v>234</v>
      </c>
      <c r="D197" s="64" t="s">
        <v>469</v>
      </c>
      <c r="E197" s="64" t="s">
        <v>630</v>
      </c>
      <c r="F197" s="67">
        <v>20.242</v>
      </c>
      <c r="G197" s="68"/>
      <c r="H197" s="100">
        <f>F197*G197</f>
        <v>0</v>
      </c>
      <c r="I197" s="81">
        <v>0</v>
      </c>
      <c r="J197" s="81">
        <f>F197*I197</f>
        <v>0</v>
      </c>
      <c r="K197" s="61" t="s">
        <v>653</v>
      </c>
      <c r="X197" s="36">
        <f>IF(AO197="5",BH197,0)</f>
        <v>0</v>
      </c>
      <c r="Z197" s="36">
        <f>IF(AO197="1",BF197,0)</f>
        <v>0</v>
      </c>
      <c r="AA197" s="36">
        <f>IF(AO197="1",BG197,0)</f>
        <v>0</v>
      </c>
      <c r="AB197" s="36">
        <f>IF(AO197="7",BF197,0)</f>
        <v>0</v>
      </c>
      <c r="AC197" s="36">
        <f>IF(AO197="7",BG197,0)</f>
        <v>0</v>
      </c>
      <c r="AD197" s="36">
        <f>IF(AO197="2",BF197,0)</f>
        <v>0</v>
      </c>
      <c r="AE197" s="36">
        <f>IF(AO197="2",BG197,0)</f>
        <v>0</v>
      </c>
      <c r="AF197" s="36">
        <f>IF(AO197="0",BH197,0)</f>
        <v>0</v>
      </c>
      <c r="AG197" s="28" t="s">
        <v>158</v>
      </c>
      <c r="AH197" s="20">
        <f>IF(AL197=0,H197,0)</f>
        <v>0</v>
      </c>
      <c r="AI197" s="20">
        <f>IF(AL197=15,H197,0)</f>
        <v>0</v>
      </c>
      <c r="AJ197" s="20">
        <f>IF(AL197=21,H197,0)</f>
        <v>0</v>
      </c>
      <c r="AL197" s="36">
        <v>21</v>
      </c>
      <c r="AM197" s="36">
        <f>G197*0</f>
        <v>0</v>
      </c>
      <c r="AN197" s="36">
        <f>G197*(1-0)</f>
        <v>0</v>
      </c>
      <c r="AO197" s="32" t="s">
        <v>7</v>
      </c>
      <c r="AT197" s="36">
        <f>AU197+AV197</f>
        <v>0</v>
      </c>
      <c r="AU197" s="36">
        <f>F197*AM197</f>
        <v>0</v>
      </c>
      <c r="AV197" s="36">
        <f>F197*AN197</f>
        <v>0</v>
      </c>
      <c r="AW197" s="37" t="s">
        <v>677</v>
      </c>
      <c r="AX197" s="37" t="s">
        <v>695</v>
      </c>
      <c r="AY197" s="28" t="s">
        <v>705</v>
      </c>
      <c r="BA197" s="36">
        <f>AU197+AV197</f>
        <v>0</v>
      </c>
      <c r="BB197" s="36">
        <f>G197/(100-BC197)*100</f>
        <v>0</v>
      </c>
      <c r="BC197" s="36">
        <v>0</v>
      </c>
      <c r="BD197" s="36">
        <f>J197</f>
        <v>0</v>
      </c>
      <c r="BF197" s="20">
        <f>F197*AM197</f>
        <v>0</v>
      </c>
      <c r="BG197" s="20">
        <f>F197*AN197</f>
        <v>0</v>
      </c>
      <c r="BH197" s="20">
        <f>F197*G197</f>
        <v>0</v>
      </c>
    </row>
    <row r="198" spans="1:11" ht="12.75">
      <c r="A198" s="70"/>
      <c r="B198" s="70"/>
      <c r="C198" s="70"/>
      <c r="D198" s="71" t="s">
        <v>468</v>
      </c>
      <c r="E198" s="70"/>
      <c r="F198" s="72">
        <v>20.242</v>
      </c>
      <c r="G198" s="70"/>
      <c r="H198" s="101"/>
      <c r="I198" s="82"/>
      <c r="J198" s="82"/>
      <c r="K198" s="62"/>
    </row>
    <row r="199" spans="1:60" ht="12.75">
      <c r="A199" s="64" t="s">
        <v>82</v>
      </c>
      <c r="B199" s="64" t="s">
        <v>158</v>
      </c>
      <c r="C199" s="64" t="s">
        <v>235</v>
      </c>
      <c r="D199" s="64" t="s">
        <v>470</v>
      </c>
      <c r="E199" s="64" t="s">
        <v>630</v>
      </c>
      <c r="F199" s="67">
        <v>20.242</v>
      </c>
      <c r="G199" s="68"/>
      <c r="H199" s="100">
        <f>F199*G199</f>
        <v>0</v>
      </c>
      <c r="I199" s="81">
        <v>0</v>
      </c>
      <c r="J199" s="81">
        <f>F199*I199</f>
        <v>0</v>
      </c>
      <c r="K199" s="61" t="s">
        <v>653</v>
      </c>
      <c r="X199" s="36">
        <f>IF(AO199="5",BH199,0)</f>
        <v>0</v>
      </c>
      <c r="Z199" s="36">
        <f>IF(AO199="1",BF199,0)</f>
        <v>0</v>
      </c>
      <c r="AA199" s="36">
        <f>IF(AO199="1",BG199,0)</f>
        <v>0</v>
      </c>
      <c r="AB199" s="36">
        <f>IF(AO199="7",BF199,0)</f>
        <v>0</v>
      </c>
      <c r="AC199" s="36">
        <f>IF(AO199="7",BG199,0)</f>
        <v>0</v>
      </c>
      <c r="AD199" s="36">
        <f>IF(AO199="2",BF199,0)</f>
        <v>0</v>
      </c>
      <c r="AE199" s="36">
        <f>IF(AO199="2",BG199,0)</f>
        <v>0</v>
      </c>
      <c r="AF199" s="36">
        <f>IF(AO199="0",BH199,0)</f>
        <v>0</v>
      </c>
      <c r="AG199" s="28" t="s">
        <v>158</v>
      </c>
      <c r="AH199" s="20">
        <f>IF(AL199=0,H199,0)</f>
        <v>0</v>
      </c>
      <c r="AI199" s="20">
        <f>IF(AL199=15,H199,0)</f>
        <v>0</v>
      </c>
      <c r="AJ199" s="20">
        <f>IF(AL199=21,H199,0)</f>
        <v>0</v>
      </c>
      <c r="AL199" s="36">
        <v>21</v>
      </c>
      <c r="AM199" s="36">
        <f>G199*0</f>
        <v>0</v>
      </c>
      <c r="AN199" s="36">
        <f>G199*(1-0)</f>
        <v>0</v>
      </c>
      <c r="AO199" s="32" t="s">
        <v>7</v>
      </c>
      <c r="AT199" s="36">
        <f>AU199+AV199</f>
        <v>0</v>
      </c>
      <c r="AU199" s="36">
        <f>F199*AM199</f>
        <v>0</v>
      </c>
      <c r="AV199" s="36">
        <f>F199*AN199</f>
        <v>0</v>
      </c>
      <c r="AW199" s="37" t="s">
        <v>677</v>
      </c>
      <c r="AX199" s="37" t="s">
        <v>695</v>
      </c>
      <c r="AY199" s="28" t="s">
        <v>705</v>
      </c>
      <c r="BA199" s="36">
        <f>AU199+AV199</f>
        <v>0</v>
      </c>
      <c r="BB199" s="36">
        <f>G199/(100-BC199)*100</f>
        <v>0</v>
      </c>
      <c r="BC199" s="36">
        <v>0</v>
      </c>
      <c r="BD199" s="36">
        <f>J199</f>
        <v>0</v>
      </c>
      <c r="BF199" s="20">
        <f>F199*AM199</f>
        <v>0</v>
      </c>
      <c r="BG199" s="20">
        <f>F199*AN199</f>
        <v>0</v>
      </c>
      <c r="BH199" s="20">
        <f>F199*G199</f>
        <v>0</v>
      </c>
    </row>
    <row r="200" spans="1:11" ht="12.75">
      <c r="A200" s="65"/>
      <c r="B200" s="65"/>
      <c r="C200" s="65"/>
      <c r="D200" s="66" t="s">
        <v>468</v>
      </c>
      <c r="E200" s="65"/>
      <c r="F200" s="69">
        <v>20.242</v>
      </c>
      <c r="G200" s="65"/>
      <c r="H200" s="65"/>
      <c r="I200" s="83"/>
      <c r="J200" s="83"/>
      <c r="K200" s="63"/>
    </row>
    <row r="201" spans="1:45" ht="12.75">
      <c r="A201" s="4"/>
      <c r="B201" s="14" t="s">
        <v>158</v>
      </c>
      <c r="C201" s="14" t="s">
        <v>100</v>
      </c>
      <c r="D201" s="14" t="s">
        <v>471</v>
      </c>
      <c r="E201" s="4" t="s">
        <v>6</v>
      </c>
      <c r="F201" s="4" t="s">
        <v>6</v>
      </c>
      <c r="G201" s="4"/>
      <c r="H201" s="39">
        <f>SUM(H202:H216)</f>
        <v>0</v>
      </c>
      <c r="I201" s="80"/>
      <c r="J201" s="80">
        <f>SUM(J202:J216)</f>
        <v>4.1276280000000005</v>
      </c>
      <c r="K201" s="28"/>
      <c r="AG201" s="28" t="s">
        <v>158</v>
      </c>
      <c r="AQ201" s="39">
        <f>SUM(AH202:AH216)</f>
        <v>0</v>
      </c>
      <c r="AR201" s="39">
        <f>SUM(AI202:AI216)</f>
        <v>0</v>
      </c>
      <c r="AS201" s="39">
        <f>SUM(AJ202:AJ216)</f>
        <v>0</v>
      </c>
    </row>
    <row r="202" spans="1:60" ht="12.75">
      <c r="A202" s="64" t="s">
        <v>83</v>
      </c>
      <c r="B202" s="64" t="s">
        <v>158</v>
      </c>
      <c r="C202" s="64" t="s">
        <v>236</v>
      </c>
      <c r="D202" s="64" t="s">
        <v>472</v>
      </c>
      <c r="E202" s="64" t="s">
        <v>631</v>
      </c>
      <c r="F202" s="67">
        <v>198.4</v>
      </c>
      <c r="G202" s="68"/>
      <c r="H202" s="100">
        <f>F202*G202</f>
        <v>0</v>
      </c>
      <c r="I202" s="81">
        <v>0.01838</v>
      </c>
      <c r="J202" s="81">
        <f>F202*I202</f>
        <v>3.646592</v>
      </c>
      <c r="K202" s="61" t="s">
        <v>653</v>
      </c>
      <c r="X202" s="36">
        <f>IF(AO202="5",BH202,0)</f>
        <v>0</v>
      </c>
      <c r="Z202" s="36">
        <f>IF(AO202="1",BF202,0)</f>
        <v>0</v>
      </c>
      <c r="AA202" s="36">
        <f>IF(AO202="1",BG202,0)</f>
        <v>0</v>
      </c>
      <c r="AB202" s="36">
        <f>IF(AO202="7",BF202,0)</f>
        <v>0</v>
      </c>
      <c r="AC202" s="36">
        <f>IF(AO202="7",BG202,0)</f>
        <v>0</v>
      </c>
      <c r="AD202" s="36">
        <f>IF(AO202="2",BF202,0)</f>
        <v>0</v>
      </c>
      <c r="AE202" s="36">
        <f>IF(AO202="2",BG202,0)</f>
        <v>0</v>
      </c>
      <c r="AF202" s="36">
        <f>IF(AO202="0",BH202,0)</f>
        <v>0</v>
      </c>
      <c r="AG202" s="28" t="s">
        <v>158</v>
      </c>
      <c r="AH202" s="20">
        <f>IF(AL202=0,H202,0)</f>
        <v>0</v>
      </c>
      <c r="AI202" s="20">
        <f>IF(AL202=15,H202,0)</f>
        <v>0</v>
      </c>
      <c r="AJ202" s="20">
        <f>IF(AL202=21,H202,0)</f>
        <v>0</v>
      </c>
      <c r="AL202" s="36">
        <v>21</v>
      </c>
      <c r="AM202" s="36">
        <f>G202*0.000447093889716841</f>
        <v>0</v>
      </c>
      <c r="AN202" s="36">
        <f>G202*(1-0.000447093889716841)</f>
        <v>0</v>
      </c>
      <c r="AO202" s="32" t="s">
        <v>7</v>
      </c>
      <c r="AT202" s="36">
        <f>AU202+AV202</f>
        <v>0</v>
      </c>
      <c r="AU202" s="36">
        <f>F202*AM202</f>
        <v>0</v>
      </c>
      <c r="AV202" s="36">
        <f>F202*AN202</f>
        <v>0</v>
      </c>
      <c r="AW202" s="37" t="s">
        <v>678</v>
      </c>
      <c r="AX202" s="37" t="s">
        <v>696</v>
      </c>
      <c r="AY202" s="28" t="s">
        <v>705</v>
      </c>
      <c r="BA202" s="36">
        <f>AU202+AV202</f>
        <v>0</v>
      </c>
      <c r="BB202" s="36">
        <f>G202/(100-BC202)*100</f>
        <v>0</v>
      </c>
      <c r="BC202" s="36">
        <v>0</v>
      </c>
      <c r="BD202" s="36">
        <f>J202</f>
        <v>3.646592</v>
      </c>
      <c r="BF202" s="20">
        <f>F202*AM202</f>
        <v>0</v>
      </c>
      <c r="BG202" s="20">
        <f>F202*AN202</f>
        <v>0</v>
      </c>
      <c r="BH202" s="20">
        <f>F202*G202</f>
        <v>0</v>
      </c>
    </row>
    <row r="203" spans="1:11" ht="12.75">
      <c r="A203" s="70"/>
      <c r="B203" s="70"/>
      <c r="C203" s="70"/>
      <c r="D203" s="71" t="s">
        <v>473</v>
      </c>
      <c r="E203" s="70"/>
      <c r="F203" s="72">
        <v>198.4</v>
      </c>
      <c r="G203" s="70"/>
      <c r="H203" s="101"/>
      <c r="I203" s="82"/>
      <c r="J203" s="82"/>
      <c r="K203" s="62"/>
    </row>
    <row r="204" spans="1:60" ht="12.75">
      <c r="A204" s="64" t="s">
        <v>84</v>
      </c>
      <c r="B204" s="64" t="s">
        <v>158</v>
      </c>
      <c r="C204" s="64" t="s">
        <v>237</v>
      </c>
      <c r="D204" s="64" t="s">
        <v>474</v>
      </c>
      <c r="E204" s="64" t="s">
        <v>631</v>
      </c>
      <c r="F204" s="67">
        <v>396.8</v>
      </c>
      <c r="G204" s="68"/>
      <c r="H204" s="100">
        <f>F204*G204</f>
        <v>0</v>
      </c>
      <c r="I204" s="81">
        <v>0.00097</v>
      </c>
      <c r="J204" s="81">
        <f>F204*I204</f>
        <v>0.384896</v>
      </c>
      <c r="K204" s="61" t="s">
        <v>653</v>
      </c>
      <c r="X204" s="36">
        <f>IF(AO204="5",BH204,0)</f>
        <v>0</v>
      </c>
      <c r="Z204" s="36">
        <f>IF(AO204="1",BF204,0)</f>
        <v>0</v>
      </c>
      <c r="AA204" s="36">
        <f>IF(AO204="1",BG204,0)</f>
        <v>0</v>
      </c>
      <c r="AB204" s="36">
        <f>IF(AO204="7",BF204,0)</f>
        <v>0</v>
      </c>
      <c r="AC204" s="36">
        <f>IF(AO204="7",BG204,0)</f>
        <v>0</v>
      </c>
      <c r="AD204" s="36">
        <f>IF(AO204="2",BF204,0)</f>
        <v>0</v>
      </c>
      <c r="AE204" s="36">
        <f>IF(AO204="2",BG204,0)</f>
        <v>0</v>
      </c>
      <c r="AF204" s="36">
        <f>IF(AO204="0",BH204,0)</f>
        <v>0</v>
      </c>
      <c r="AG204" s="28" t="s">
        <v>158</v>
      </c>
      <c r="AH204" s="20">
        <f>IF(AL204=0,H204,0)</f>
        <v>0</v>
      </c>
      <c r="AI204" s="20">
        <f>IF(AL204=15,H204,0)</f>
        <v>0</v>
      </c>
      <c r="AJ204" s="20">
        <f>IF(AL204=21,H204,0)</f>
        <v>0</v>
      </c>
      <c r="AL204" s="36">
        <v>21</v>
      </c>
      <c r="AM204" s="36">
        <f>G204*0.923076923076923</f>
        <v>0</v>
      </c>
      <c r="AN204" s="36">
        <f>G204*(1-0.923076923076923)</f>
        <v>0</v>
      </c>
      <c r="AO204" s="32" t="s">
        <v>7</v>
      </c>
      <c r="AT204" s="36">
        <f>AU204+AV204</f>
        <v>0</v>
      </c>
      <c r="AU204" s="36">
        <f>F204*AM204</f>
        <v>0</v>
      </c>
      <c r="AV204" s="36">
        <f>F204*AN204</f>
        <v>0</v>
      </c>
      <c r="AW204" s="37" t="s">
        <v>678</v>
      </c>
      <c r="AX204" s="37" t="s">
        <v>696</v>
      </c>
      <c r="AY204" s="28" t="s">
        <v>705</v>
      </c>
      <c r="BA204" s="36">
        <f>AU204+AV204</f>
        <v>0</v>
      </c>
      <c r="BB204" s="36">
        <f>G204/(100-BC204)*100</f>
        <v>0</v>
      </c>
      <c r="BC204" s="36">
        <v>0</v>
      </c>
      <c r="BD204" s="36">
        <f>J204</f>
        <v>0.384896</v>
      </c>
      <c r="BF204" s="20">
        <f>F204*AM204</f>
        <v>0</v>
      </c>
      <c r="BG204" s="20">
        <f>F204*AN204</f>
        <v>0</v>
      </c>
      <c r="BH204" s="20">
        <f>F204*G204</f>
        <v>0</v>
      </c>
    </row>
    <row r="205" spans="1:11" ht="12.75">
      <c r="A205" s="70"/>
      <c r="B205" s="70"/>
      <c r="C205" s="70"/>
      <c r="D205" s="71" t="s">
        <v>475</v>
      </c>
      <c r="E205" s="70"/>
      <c r="F205" s="72">
        <v>396.8</v>
      </c>
      <c r="G205" s="70"/>
      <c r="H205" s="101"/>
      <c r="I205" s="82"/>
      <c r="J205" s="82"/>
      <c r="K205" s="62"/>
    </row>
    <row r="206" spans="1:60" ht="12.75">
      <c r="A206" s="64" t="s">
        <v>85</v>
      </c>
      <c r="B206" s="64" t="s">
        <v>158</v>
      </c>
      <c r="C206" s="64" t="s">
        <v>238</v>
      </c>
      <c r="D206" s="64" t="s">
        <v>476</v>
      </c>
      <c r="E206" s="64" t="s">
        <v>631</v>
      </c>
      <c r="F206" s="67">
        <v>198.4</v>
      </c>
      <c r="G206" s="68"/>
      <c r="H206" s="100">
        <f>F206*G206</f>
        <v>0</v>
      </c>
      <c r="I206" s="81">
        <v>0</v>
      </c>
      <c r="J206" s="81">
        <f>F206*I206</f>
        <v>0</v>
      </c>
      <c r="K206" s="61" t="s">
        <v>653</v>
      </c>
      <c r="X206" s="36">
        <f>IF(AO206="5",BH206,0)</f>
        <v>0</v>
      </c>
      <c r="Z206" s="36">
        <f>IF(AO206="1",BF206,0)</f>
        <v>0</v>
      </c>
      <c r="AA206" s="36">
        <f>IF(AO206="1",BG206,0)</f>
        <v>0</v>
      </c>
      <c r="AB206" s="36">
        <f>IF(AO206="7",BF206,0)</f>
        <v>0</v>
      </c>
      <c r="AC206" s="36">
        <f>IF(AO206="7",BG206,0)</f>
        <v>0</v>
      </c>
      <c r="AD206" s="36">
        <f>IF(AO206="2",BF206,0)</f>
        <v>0</v>
      </c>
      <c r="AE206" s="36">
        <f>IF(AO206="2",BG206,0)</f>
        <v>0</v>
      </c>
      <c r="AF206" s="36">
        <f>IF(AO206="0",BH206,0)</f>
        <v>0</v>
      </c>
      <c r="AG206" s="28" t="s">
        <v>158</v>
      </c>
      <c r="AH206" s="20">
        <f>IF(AL206=0,H206,0)</f>
        <v>0</v>
      </c>
      <c r="AI206" s="20">
        <f>IF(AL206=15,H206,0)</f>
        <v>0</v>
      </c>
      <c r="AJ206" s="20">
        <f>IF(AL206=21,H206,0)</f>
        <v>0</v>
      </c>
      <c r="AL206" s="36">
        <v>21</v>
      </c>
      <c r="AM206" s="36">
        <f>G206*0</f>
        <v>0</v>
      </c>
      <c r="AN206" s="36">
        <f>G206*(1-0)</f>
        <v>0</v>
      </c>
      <c r="AO206" s="32" t="s">
        <v>7</v>
      </c>
      <c r="AT206" s="36">
        <f>AU206+AV206</f>
        <v>0</v>
      </c>
      <c r="AU206" s="36">
        <f>F206*AM206</f>
        <v>0</v>
      </c>
      <c r="AV206" s="36">
        <f>F206*AN206</f>
        <v>0</v>
      </c>
      <c r="AW206" s="37" t="s">
        <v>678</v>
      </c>
      <c r="AX206" s="37" t="s">
        <v>696</v>
      </c>
      <c r="AY206" s="28" t="s">
        <v>705</v>
      </c>
      <c r="BA206" s="36">
        <f>AU206+AV206</f>
        <v>0</v>
      </c>
      <c r="BB206" s="36">
        <f>G206/(100-BC206)*100</f>
        <v>0</v>
      </c>
      <c r="BC206" s="36">
        <v>0</v>
      </c>
      <c r="BD206" s="36">
        <f>J206</f>
        <v>0</v>
      </c>
      <c r="BF206" s="20">
        <f>F206*AM206</f>
        <v>0</v>
      </c>
      <c r="BG206" s="20">
        <f>F206*AN206</f>
        <v>0</v>
      </c>
      <c r="BH206" s="20">
        <f>F206*G206</f>
        <v>0</v>
      </c>
    </row>
    <row r="207" spans="1:11" ht="12.75">
      <c r="A207" s="70"/>
      <c r="B207" s="70"/>
      <c r="C207" s="70"/>
      <c r="D207" s="71" t="s">
        <v>473</v>
      </c>
      <c r="E207" s="70"/>
      <c r="F207" s="72">
        <v>198.4</v>
      </c>
      <c r="G207" s="70"/>
      <c r="H207" s="101"/>
      <c r="I207" s="82"/>
      <c r="J207" s="82"/>
      <c r="K207" s="62"/>
    </row>
    <row r="208" spans="1:60" ht="12.75">
      <c r="A208" s="64" t="s">
        <v>86</v>
      </c>
      <c r="B208" s="64" t="s">
        <v>158</v>
      </c>
      <c r="C208" s="64" t="s">
        <v>239</v>
      </c>
      <c r="D208" s="64" t="s">
        <v>477</v>
      </c>
      <c r="E208" s="64" t="s">
        <v>631</v>
      </c>
      <c r="F208" s="67">
        <v>198.4</v>
      </c>
      <c r="G208" s="68"/>
      <c r="H208" s="100">
        <f>F208*G208</f>
        <v>0</v>
      </c>
      <c r="I208" s="81">
        <v>0</v>
      </c>
      <c r="J208" s="81">
        <f>F208*I208</f>
        <v>0</v>
      </c>
      <c r="K208" s="61" t="s">
        <v>653</v>
      </c>
      <c r="X208" s="36">
        <f>IF(AO208="5",BH208,0)</f>
        <v>0</v>
      </c>
      <c r="Z208" s="36">
        <f>IF(AO208="1",BF208,0)</f>
        <v>0</v>
      </c>
      <c r="AA208" s="36">
        <f>IF(AO208="1",BG208,0)</f>
        <v>0</v>
      </c>
      <c r="AB208" s="36">
        <f>IF(AO208="7",BF208,0)</f>
        <v>0</v>
      </c>
      <c r="AC208" s="36">
        <f>IF(AO208="7",BG208,0)</f>
        <v>0</v>
      </c>
      <c r="AD208" s="36">
        <f>IF(AO208="2",BF208,0)</f>
        <v>0</v>
      </c>
      <c r="AE208" s="36">
        <f>IF(AO208="2",BG208,0)</f>
        <v>0</v>
      </c>
      <c r="AF208" s="36">
        <f>IF(AO208="0",BH208,0)</f>
        <v>0</v>
      </c>
      <c r="AG208" s="28" t="s">
        <v>158</v>
      </c>
      <c r="AH208" s="20">
        <f>IF(AL208=0,H208,0)</f>
        <v>0</v>
      </c>
      <c r="AI208" s="20">
        <f>IF(AL208=15,H208,0)</f>
        <v>0</v>
      </c>
      <c r="AJ208" s="20">
        <f>IF(AL208=21,H208,0)</f>
        <v>0</v>
      </c>
      <c r="AL208" s="36">
        <v>21</v>
      </c>
      <c r="AM208" s="36">
        <f>G208*0</f>
        <v>0</v>
      </c>
      <c r="AN208" s="36">
        <f>G208*(1-0)</f>
        <v>0</v>
      </c>
      <c r="AO208" s="32" t="s">
        <v>7</v>
      </c>
      <c r="AT208" s="36">
        <f>AU208+AV208</f>
        <v>0</v>
      </c>
      <c r="AU208" s="36">
        <f>F208*AM208</f>
        <v>0</v>
      </c>
      <c r="AV208" s="36">
        <f>F208*AN208</f>
        <v>0</v>
      </c>
      <c r="AW208" s="37" t="s">
        <v>678</v>
      </c>
      <c r="AX208" s="37" t="s">
        <v>696</v>
      </c>
      <c r="AY208" s="28" t="s">
        <v>705</v>
      </c>
      <c r="BA208" s="36">
        <f>AU208+AV208</f>
        <v>0</v>
      </c>
      <c r="BB208" s="36">
        <f>G208/(100-BC208)*100</f>
        <v>0</v>
      </c>
      <c r="BC208" s="36">
        <v>0</v>
      </c>
      <c r="BD208" s="36">
        <f>J208</f>
        <v>0</v>
      </c>
      <c r="BF208" s="20">
        <f>F208*AM208</f>
        <v>0</v>
      </c>
      <c r="BG208" s="20">
        <f>F208*AN208</f>
        <v>0</v>
      </c>
      <c r="BH208" s="20">
        <f>F208*G208</f>
        <v>0</v>
      </c>
    </row>
    <row r="209" spans="1:11" ht="12.75">
      <c r="A209" s="70"/>
      <c r="B209" s="70"/>
      <c r="C209" s="70"/>
      <c r="D209" s="71" t="s">
        <v>473</v>
      </c>
      <c r="E209" s="70"/>
      <c r="F209" s="72">
        <v>198.4</v>
      </c>
      <c r="G209" s="70"/>
      <c r="H209" s="101"/>
      <c r="I209" s="82"/>
      <c r="J209" s="82"/>
      <c r="K209" s="62"/>
    </row>
    <row r="210" spans="1:60" ht="12.75">
      <c r="A210" s="64" t="s">
        <v>87</v>
      </c>
      <c r="B210" s="64" t="s">
        <v>158</v>
      </c>
      <c r="C210" s="64" t="s">
        <v>240</v>
      </c>
      <c r="D210" s="64" t="s">
        <v>478</v>
      </c>
      <c r="E210" s="64" t="s">
        <v>631</v>
      </c>
      <c r="F210" s="67">
        <v>396.8</v>
      </c>
      <c r="G210" s="68"/>
      <c r="H210" s="100">
        <f>F210*G210</f>
        <v>0</v>
      </c>
      <c r="I210" s="81">
        <v>5E-05</v>
      </c>
      <c r="J210" s="81">
        <f>F210*I210</f>
        <v>0.01984</v>
      </c>
      <c r="K210" s="61" t="s">
        <v>653</v>
      </c>
      <c r="X210" s="36">
        <f>IF(AO210="5",BH210,0)</f>
        <v>0</v>
      </c>
      <c r="Z210" s="36">
        <f>IF(AO210="1",BF210,0)</f>
        <v>0</v>
      </c>
      <c r="AA210" s="36">
        <f>IF(AO210="1",BG210,0)</f>
        <v>0</v>
      </c>
      <c r="AB210" s="36">
        <f>IF(AO210="7",BF210,0)</f>
        <v>0</v>
      </c>
      <c r="AC210" s="36">
        <f>IF(AO210="7",BG210,0)</f>
        <v>0</v>
      </c>
      <c r="AD210" s="36">
        <f>IF(AO210="2",BF210,0)</f>
        <v>0</v>
      </c>
      <c r="AE210" s="36">
        <f>IF(AO210="2",BG210,0)</f>
        <v>0</v>
      </c>
      <c r="AF210" s="36">
        <f>IF(AO210="0",BH210,0)</f>
        <v>0</v>
      </c>
      <c r="AG210" s="28" t="s">
        <v>158</v>
      </c>
      <c r="AH210" s="20">
        <f>IF(AL210=0,H210,0)</f>
        <v>0</v>
      </c>
      <c r="AI210" s="20">
        <f>IF(AL210=15,H210,0)</f>
        <v>0</v>
      </c>
      <c r="AJ210" s="20">
        <f>IF(AL210=21,H210,0)</f>
        <v>0</v>
      </c>
      <c r="AL210" s="36">
        <v>21</v>
      </c>
      <c r="AM210" s="36">
        <f>G210*1</f>
        <v>0</v>
      </c>
      <c r="AN210" s="36">
        <f>G210*(1-1)</f>
        <v>0</v>
      </c>
      <c r="AO210" s="32" t="s">
        <v>7</v>
      </c>
      <c r="AT210" s="36">
        <f>AU210+AV210</f>
        <v>0</v>
      </c>
      <c r="AU210" s="36">
        <f>F210*AM210</f>
        <v>0</v>
      </c>
      <c r="AV210" s="36">
        <f>F210*AN210</f>
        <v>0</v>
      </c>
      <c r="AW210" s="37" t="s">
        <v>678</v>
      </c>
      <c r="AX210" s="37" t="s">
        <v>696</v>
      </c>
      <c r="AY210" s="28" t="s">
        <v>705</v>
      </c>
      <c r="BA210" s="36">
        <f>AU210+AV210</f>
        <v>0</v>
      </c>
      <c r="BB210" s="36">
        <f>G210/(100-BC210)*100</f>
        <v>0</v>
      </c>
      <c r="BC210" s="36">
        <v>0</v>
      </c>
      <c r="BD210" s="36">
        <f>J210</f>
        <v>0.01984</v>
      </c>
      <c r="BF210" s="20">
        <f>F210*AM210</f>
        <v>0</v>
      </c>
      <c r="BG210" s="20">
        <f>F210*AN210</f>
        <v>0</v>
      </c>
      <c r="BH210" s="20">
        <f>F210*G210</f>
        <v>0</v>
      </c>
    </row>
    <row r="211" spans="1:11" ht="12.75">
      <c r="A211" s="70"/>
      <c r="B211" s="70"/>
      <c r="C211" s="70"/>
      <c r="D211" s="71" t="s">
        <v>475</v>
      </c>
      <c r="E211" s="70"/>
      <c r="F211" s="72">
        <v>396.8</v>
      </c>
      <c r="G211" s="70"/>
      <c r="H211" s="101"/>
      <c r="I211" s="82"/>
      <c r="J211" s="82"/>
      <c r="K211" s="62"/>
    </row>
    <row r="212" spans="1:60" ht="12.75">
      <c r="A212" s="64" t="s">
        <v>88</v>
      </c>
      <c r="B212" s="64" t="s">
        <v>158</v>
      </c>
      <c r="C212" s="64" t="s">
        <v>241</v>
      </c>
      <c r="D212" s="64" t="s">
        <v>479</v>
      </c>
      <c r="E212" s="64" t="s">
        <v>631</v>
      </c>
      <c r="F212" s="67">
        <v>198.4</v>
      </c>
      <c r="G212" s="68"/>
      <c r="H212" s="100">
        <f>F212*G212</f>
        <v>0</v>
      </c>
      <c r="I212" s="81">
        <v>0</v>
      </c>
      <c r="J212" s="81">
        <f>F212*I212</f>
        <v>0</v>
      </c>
      <c r="K212" s="61" t="s">
        <v>653</v>
      </c>
      <c r="X212" s="36">
        <f>IF(AO212="5",BH212,0)</f>
        <v>0</v>
      </c>
      <c r="Z212" s="36">
        <f>IF(AO212="1",BF212,0)</f>
        <v>0</v>
      </c>
      <c r="AA212" s="36">
        <f>IF(AO212="1",BG212,0)</f>
        <v>0</v>
      </c>
      <c r="AB212" s="36">
        <f>IF(AO212="7",BF212,0)</f>
        <v>0</v>
      </c>
      <c r="AC212" s="36">
        <f>IF(AO212="7",BG212,0)</f>
        <v>0</v>
      </c>
      <c r="AD212" s="36">
        <f>IF(AO212="2",BF212,0)</f>
        <v>0</v>
      </c>
      <c r="AE212" s="36">
        <f>IF(AO212="2",BG212,0)</f>
        <v>0</v>
      </c>
      <c r="AF212" s="36">
        <f>IF(AO212="0",BH212,0)</f>
        <v>0</v>
      </c>
      <c r="AG212" s="28" t="s">
        <v>158</v>
      </c>
      <c r="AH212" s="20">
        <f>IF(AL212=0,H212,0)</f>
        <v>0</v>
      </c>
      <c r="AI212" s="20">
        <f>IF(AL212=15,H212,0)</f>
        <v>0</v>
      </c>
      <c r="AJ212" s="20">
        <f>IF(AL212=21,H212,0)</f>
        <v>0</v>
      </c>
      <c r="AL212" s="36">
        <v>21</v>
      </c>
      <c r="AM212" s="36">
        <f>G212*0</f>
        <v>0</v>
      </c>
      <c r="AN212" s="36">
        <f>G212*(1-0)</f>
        <v>0</v>
      </c>
      <c r="AO212" s="32" t="s">
        <v>7</v>
      </c>
      <c r="AT212" s="36">
        <f>AU212+AV212</f>
        <v>0</v>
      </c>
      <c r="AU212" s="36">
        <f>F212*AM212</f>
        <v>0</v>
      </c>
      <c r="AV212" s="36">
        <f>F212*AN212</f>
        <v>0</v>
      </c>
      <c r="AW212" s="37" t="s">
        <v>678</v>
      </c>
      <c r="AX212" s="37" t="s">
        <v>696</v>
      </c>
      <c r="AY212" s="28" t="s">
        <v>705</v>
      </c>
      <c r="BA212" s="36">
        <f>AU212+AV212</f>
        <v>0</v>
      </c>
      <c r="BB212" s="36">
        <f>G212/(100-BC212)*100</f>
        <v>0</v>
      </c>
      <c r="BC212" s="36">
        <v>0</v>
      </c>
      <c r="BD212" s="36">
        <f>J212</f>
        <v>0</v>
      </c>
      <c r="BF212" s="20">
        <f>F212*AM212</f>
        <v>0</v>
      </c>
      <c r="BG212" s="20">
        <f>F212*AN212</f>
        <v>0</v>
      </c>
      <c r="BH212" s="20">
        <f>F212*G212</f>
        <v>0</v>
      </c>
    </row>
    <row r="213" spans="1:11" ht="12.75">
      <c r="A213" s="70"/>
      <c r="B213" s="70"/>
      <c r="C213" s="70"/>
      <c r="D213" s="71" t="s">
        <v>473</v>
      </c>
      <c r="E213" s="70"/>
      <c r="F213" s="72">
        <v>198.4</v>
      </c>
      <c r="G213" s="70"/>
      <c r="H213" s="101"/>
      <c r="I213" s="82"/>
      <c r="J213" s="82"/>
      <c r="K213" s="62"/>
    </row>
    <row r="214" spans="1:60" ht="12.75">
      <c r="A214" s="64" t="s">
        <v>89</v>
      </c>
      <c r="B214" s="64" t="s">
        <v>158</v>
      </c>
      <c r="C214" s="64" t="s">
        <v>242</v>
      </c>
      <c r="D214" s="64" t="s">
        <v>480</v>
      </c>
      <c r="E214" s="64" t="s">
        <v>631</v>
      </c>
      <c r="F214" s="67">
        <v>50</v>
      </c>
      <c r="G214" s="68"/>
      <c r="H214" s="100">
        <f>F214*G214</f>
        <v>0</v>
      </c>
      <c r="I214" s="81">
        <v>0.00121</v>
      </c>
      <c r="J214" s="81">
        <f>F214*I214</f>
        <v>0.0605</v>
      </c>
      <c r="K214" s="61" t="s">
        <v>653</v>
      </c>
      <c r="X214" s="36">
        <f>IF(AO214="5",BH214,0)</f>
        <v>0</v>
      </c>
      <c r="Z214" s="36">
        <f>IF(AO214="1",BF214,0)</f>
        <v>0</v>
      </c>
      <c r="AA214" s="36">
        <f>IF(AO214="1",BG214,0)</f>
        <v>0</v>
      </c>
      <c r="AB214" s="36">
        <f>IF(AO214="7",BF214,0)</f>
        <v>0</v>
      </c>
      <c r="AC214" s="36">
        <f>IF(AO214="7",BG214,0)</f>
        <v>0</v>
      </c>
      <c r="AD214" s="36">
        <f>IF(AO214="2",BF214,0)</f>
        <v>0</v>
      </c>
      <c r="AE214" s="36">
        <f>IF(AO214="2",BG214,0)</f>
        <v>0</v>
      </c>
      <c r="AF214" s="36">
        <f>IF(AO214="0",BH214,0)</f>
        <v>0</v>
      </c>
      <c r="AG214" s="28" t="s">
        <v>158</v>
      </c>
      <c r="AH214" s="20">
        <f>IF(AL214=0,H214,0)</f>
        <v>0</v>
      </c>
      <c r="AI214" s="20">
        <f>IF(AL214=15,H214,0)</f>
        <v>0</v>
      </c>
      <c r="AJ214" s="20">
        <f>IF(AL214=21,H214,0)</f>
        <v>0</v>
      </c>
      <c r="AL214" s="36">
        <v>21</v>
      </c>
      <c r="AM214" s="36">
        <f>G214*0.337601645013553</f>
        <v>0</v>
      </c>
      <c r="AN214" s="36">
        <f>G214*(1-0.337601645013553)</f>
        <v>0</v>
      </c>
      <c r="AO214" s="32" t="s">
        <v>7</v>
      </c>
      <c r="AT214" s="36">
        <f>AU214+AV214</f>
        <v>0</v>
      </c>
      <c r="AU214" s="36">
        <f>F214*AM214</f>
        <v>0</v>
      </c>
      <c r="AV214" s="36">
        <f>F214*AN214</f>
        <v>0</v>
      </c>
      <c r="AW214" s="37" t="s">
        <v>678</v>
      </c>
      <c r="AX214" s="37" t="s">
        <v>696</v>
      </c>
      <c r="AY214" s="28" t="s">
        <v>705</v>
      </c>
      <c r="BA214" s="36">
        <f>AU214+AV214</f>
        <v>0</v>
      </c>
      <c r="BB214" s="36">
        <f>G214/(100-BC214)*100</f>
        <v>0</v>
      </c>
      <c r="BC214" s="36">
        <v>0</v>
      </c>
      <c r="BD214" s="36">
        <f>J214</f>
        <v>0.0605</v>
      </c>
      <c r="BF214" s="20">
        <f>F214*AM214</f>
        <v>0</v>
      </c>
      <c r="BG214" s="20">
        <f>F214*AN214</f>
        <v>0</v>
      </c>
      <c r="BH214" s="20">
        <f>F214*G214</f>
        <v>0</v>
      </c>
    </row>
    <row r="215" spans="1:11" ht="12.75">
      <c r="A215" s="70"/>
      <c r="B215" s="70"/>
      <c r="C215" s="70"/>
      <c r="D215" s="71" t="s">
        <v>481</v>
      </c>
      <c r="E215" s="70"/>
      <c r="F215" s="72">
        <v>50</v>
      </c>
      <c r="G215" s="70"/>
      <c r="H215" s="101"/>
      <c r="I215" s="82"/>
      <c r="J215" s="82"/>
      <c r="K215" s="62"/>
    </row>
    <row r="216" spans="1:60" ht="12.75">
      <c r="A216" s="64" t="s">
        <v>90</v>
      </c>
      <c r="B216" s="64" t="s">
        <v>158</v>
      </c>
      <c r="C216" s="64" t="s">
        <v>243</v>
      </c>
      <c r="D216" s="64" t="s">
        <v>482</v>
      </c>
      <c r="E216" s="64" t="s">
        <v>631</v>
      </c>
      <c r="F216" s="67">
        <v>10</v>
      </c>
      <c r="G216" s="68"/>
      <c r="H216" s="100">
        <f>F216*G216</f>
        <v>0</v>
      </c>
      <c r="I216" s="81">
        <v>0.00158</v>
      </c>
      <c r="J216" s="81">
        <f>F216*I216</f>
        <v>0.0158</v>
      </c>
      <c r="K216" s="61" t="s">
        <v>653</v>
      </c>
      <c r="X216" s="36">
        <f>IF(AO216="5",BH216,0)</f>
        <v>0</v>
      </c>
      <c r="Z216" s="36">
        <f>IF(AO216="1",BF216,0)</f>
        <v>0</v>
      </c>
      <c r="AA216" s="36">
        <f>IF(AO216="1",BG216,0)</f>
        <v>0</v>
      </c>
      <c r="AB216" s="36">
        <f>IF(AO216="7",BF216,0)</f>
        <v>0</v>
      </c>
      <c r="AC216" s="36">
        <f>IF(AO216="7",BG216,0)</f>
        <v>0</v>
      </c>
      <c r="AD216" s="36">
        <f>IF(AO216="2",BF216,0)</f>
        <v>0</v>
      </c>
      <c r="AE216" s="36">
        <f>IF(AO216="2",BG216,0)</f>
        <v>0</v>
      </c>
      <c r="AF216" s="36">
        <f>IF(AO216="0",BH216,0)</f>
        <v>0</v>
      </c>
      <c r="AG216" s="28" t="s">
        <v>158</v>
      </c>
      <c r="AH216" s="20">
        <f>IF(AL216=0,H216,0)</f>
        <v>0</v>
      </c>
      <c r="AI216" s="20">
        <f>IF(AL216=15,H216,0)</f>
        <v>0</v>
      </c>
      <c r="AJ216" s="20">
        <f>IF(AL216=21,H216,0)</f>
        <v>0</v>
      </c>
      <c r="AL216" s="36">
        <v>21</v>
      </c>
      <c r="AM216" s="36">
        <f>G216*0.355789473684211</f>
        <v>0</v>
      </c>
      <c r="AN216" s="36">
        <f>G216*(1-0.355789473684211)</f>
        <v>0</v>
      </c>
      <c r="AO216" s="32" t="s">
        <v>7</v>
      </c>
      <c r="AT216" s="36">
        <f>AU216+AV216</f>
        <v>0</v>
      </c>
      <c r="AU216" s="36">
        <f>F216*AM216</f>
        <v>0</v>
      </c>
      <c r="AV216" s="36">
        <f>F216*AN216</f>
        <v>0</v>
      </c>
      <c r="AW216" s="37" t="s">
        <v>678</v>
      </c>
      <c r="AX216" s="37" t="s">
        <v>696</v>
      </c>
      <c r="AY216" s="28" t="s">
        <v>705</v>
      </c>
      <c r="BA216" s="36">
        <f>AU216+AV216</f>
        <v>0</v>
      </c>
      <c r="BB216" s="36">
        <f>G216/(100-BC216)*100</f>
        <v>0</v>
      </c>
      <c r="BC216" s="36">
        <v>0</v>
      </c>
      <c r="BD216" s="36">
        <f>J216</f>
        <v>0.0158</v>
      </c>
      <c r="BF216" s="20">
        <f>F216*AM216</f>
        <v>0</v>
      </c>
      <c r="BG216" s="20">
        <f>F216*AN216</f>
        <v>0</v>
      </c>
      <c r="BH216" s="20">
        <f>F216*G216</f>
        <v>0</v>
      </c>
    </row>
    <row r="217" spans="1:11" ht="12.75">
      <c r="A217" s="65"/>
      <c r="B217" s="65"/>
      <c r="C217" s="65"/>
      <c r="D217" s="66" t="s">
        <v>483</v>
      </c>
      <c r="E217" s="65"/>
      <c r="F217" s="69">
        <v>10</v>
      </c>
      <c r="G217" s="65"/>
      <c r="H217" s="65"/>
      <c r="I217" s="83"/>
      <c r="J217" s="83"/>
      <c r="K217" s="63"/>
    </row>
    <row r="218" spans="1:45" ht="12.75">
      <c r="A218" s="4"/>
      <c r="B218" s="14" t="s">
        <v>158</v>
      </c>
      <c r="C218" s="14" t="s">
        <v>101</v>
      </c>
      <c r="D218" s="14" t="s">
        <v>484</v>
      </c>
      <c r="E218" s="4" t="s">
        <v>6</v>
      </c>
      <c r="F218" s="4" t="s">
        <v>6</v>
      </c>
      <c r="G218" s="4"/>
      <c r="H218" s="39">
        <f>SUM(H219:H219)</f>
        <v>0</v>
      </c>
      <c r="I218" s="80"/>
      <c r="J218" s="80">
        <f>SUM(J219:J219)</f>
        <v>0.0038556000000000003</v>
      </c>
      <c r="K218" s="28"/>
      <c r="AG218" s="28" t="s">
        <v>158</v>
      </c>
      <c r="AQ218" s="39">
        <f>SUM(AH219:AH219)</f>
        <v>0</v>
      </c>
      <c r="AR218" s="39">
        <f>SUM(AI219:AI219)</f>
        <v>0</v>
      </c>
      <c r="AS218" s="39">
        <f>SUM(AJ219:AJ219)</f>
        <v>0</v>
      </c>
    </row>
    <row r="219" spans="1:60" ht="12.75">
      <c r="A219" s="64" t="s">
        <v>91</v>
      </c>
      <c r="B219" s="64" t="s">
        <v>158</v>
      </c>
      <c r="C219" s="64" t="s">
        <v>244</v>
      </c>
      <c r="D219" s="64" t="s">
        <v>485</v>
      </c>
      <c r="E219" s="64" t="s">
        <v>631</v>
      </c>
      <c r="F219" s="67">
        <v>96.39</v>
      </c>
      <c r="G219" s="68"/>
      <c r="H219" s="100">
        <f>F219*G219</f>
        <v>0</v>
      </c>
      <c r="I219" s="81">
        <v>4E-05</v>
      </c>
      <c r="J219" s="81">
        <f>F219*I219</f>
        <v>0.0038556000000000003</v>
      </c>
      <c r="K219" s="61" t="s">
        <v>653</v>
      </c>
      <c r="X219" s="36">
        <f>IF(AO219="5",BH219,0)</f>
        <v>0</v>
      </c>
      <c r="Z219" s="36">
        <f>IF(AO219="1",BF219,0)</f>
        <v>0</v>
      </c>
      <c r="AA219" s="36">
        <f>IF(AO219="1",BG219,0)</f>
        <v>0</v>
      </c>
      <c r="AB219" s="36">
        <f>IF(AO219="7",BF219,0)</f>
        <v>0</v>
      </c>
      <c r="AC219" s="36">
        <f>IF(AO219="7",BG219,0)</f>
        <v>0</v>
      </c>
      <c r="AD219" s="36">
        <f>IF(AO219="2",BF219,0)</f>
        <v>0</v>
      </c>
      <c r="AE219" s="36">
        <f>IF(AO219="2",BG219,0)</f>
        <v>0</v>
      </c>
      <c r="AF219" s="36">
        <f>IF(AO219="0",BH219,0)</f>
        <v>0</v>
      </c>
      <c r="AG219" s="28" t="s">
        <v>158</v>
      </c>
      <c r="AH219" s="20">
        <f>IF(AL219=0,H219,0)</f>
        <v>0</v>
      </c>
      <c r="AI219" s="20">
        <f>IF(AL219=15,H219,0)</f>
        <v>0</v>
      </c>
      <c r="AJ219" s="20">
        <f>IF(AL219=21,H219,0)</f>
        <v>0</v>
      </c>
      <c r="AL219" s="36">
        <v>21</v>
      </c>
      <c r="AM219" s="36">
        <f>G219*0.0123809468205029</f>
        <v>0</v>
      </c>
      <c r="AN219" s="36">
        <f>G219*(1-0.0123809468205029)</f>
        <v>0</v>
      </c>
      <c r="AO219" s="32" t="s">
        <v>7</v>
      </c>
      <c r="AT219" s="36">
        <f>AU219+AV219</f>
        <v>0</v>
      </c>
      <c r="AU219" s="36">
        <f>F219*AM219</f>
        <v>0</v>
      </c>
      <c r="AV219" s="36">
        <f>F219*AN219</f>
        <v>0</v>
      </c>
      <c r="AW219" s="37" t="s">
        <v>679</v>
      </c>
      <c r="AX219" s="37" t="s">
        <v>696</v>
      </c>
      <c r="AY219" s="28" t="s">
        <v>705</v>
      </c>
      <c r="BA219" s="36">
        <f>AU219+AV219</f>
        <v>0</v>
      </c>
      <c r="BB219" s="36">
        <f>G219/(100-BC219)*100</f>
        <v>0</v>
      </c>
      <c r="BC219" s="36">
        <v>0</v>
      </c>
      <c r="BD219" s="36">
        <f>J219</f>
        <v>0.0038556000000000003</v>
      </c>
      <c r="BF219" s="20">
        <f>F219*AM219</f>
        <v>0</v>
      </c>
      <c r="BG219" s="20">
        <f>F219*AN219</f>
        <v>0</v>
      </c>
      <c r="BH219" s="20">
        <f>F219*G219</f>
        <v>0</v>
      </c>
    </row>
    <row r="220" spans="1:11" ht="12.75">
      <c r="A220" s="65"/>
      <c r="B220" s="65"/>
      <c r="C220" s="65"/>
      <c r="D220" s="66" t="s">
        <v>438</v>
      </c>
      <c r="E220" s="65"/>
      <c r="F220" s="69">
        <v>96.39</v>
      </c>
      <c r="G220" s="65"/>
      <c r="H220" s="65"/>
      <c r="I220" s="83"/>
      <c r="J220" s="83"/>
      <c r="K220" s="63"/>
    </row>
    <row r="221" spans="1:45" ht="12.75">
      <c r="A221" s="4"/>
      <c r="B221" s="14" t="s">
        <v>158</v>
      </c>
      <c r="C221" s="14" t="s">
        <v>245</v>
      </c>
      <c r="D221" s="14" t="s">
        <v>486</v>
      </c>
      <c r="E221" s="4" t="s">
        <v>6</v>
      </c>
      <c r="F221" s="4" t="s">
        <v>6</v>
      </c>
      <c r="G221" s="4"/>
      <c r="H221" s="39">
        <f>SUM(H222:H234)</f>
        <v>0</v>
      </c>
      <c r="I221" s="80"/>
      <c r="J221" s="80">
        <f>SUM(J222:J234)</f>
        <v>0</v>
      </c>
      <c r="K221" s="28"/>
      <c r="AG221" s="28" t="s">
        <v>158</v>
      </c>
      <c r="AQ221" s="39">
        <f>SUM(AH222:AH234)</f>
        <v>0</v>
      </c>
      <c r="AR221" s="39">
        <f>SUM(AI222:AI234)</f>
        <v>0</v>
      </c>
      <c r="AS221" s="39">
        <f>SUM(AJ222:AJ234)</f>
        <v>0</v>
      </c>
    </row>
    <row r="222" spans="1:60" ht="12.75">
      <c r="A222" s="64" t="s">
        <v>92</v>
      </c>
      <c r="B222" s="64" t="s">
        <v>158</v>
      </c>
      <c r="C222" s="64" t="s">
        <v>246</v>
      </c>
      <c r="D222" s="64" t="s">
        <v>487</v>
      </c>
      <c r="E222" s="64" t="s">
        <v>633</v>
      </c>
      <c r="F222" s="67">
        <v>7</v>
      </c>
      <c r="G222" s="68"/>
      <c r="H222" s="100">
        <f>F222*G222</f>
        <v>0</v>
      </c>
      <c r="I222" s="81">
        <v>0</v>
      </c>
      <c r="J222" s="81">
        <f>F222*I222</f>
        <v>0</v>
      </c>
      <c r="K222" s="61" t="s">
        <v>653</v>
      </c>
      <c r="X222" s="36">
        <f>IF(AO222="5",BH222,0)</f>
        <v>0</v>
      </c>
      <c r="Z222" s="36">
        <f>IF(AO222="1",BF222,0)</f>
        <v>0</v>
      </c>
      <c r="AA222" s="36">
        <f>IF(AO222="1",BG222,0)</f>
        <v>0</v>
      </c>
      <c r="AB222" s="36">
        <f>IF(AO222="7",BF222,0)</f>
        <v>0</v>
      </c>
      <c r="AC222" s="36">
        <f>IF(AO222="7",BG222,0)</f>
        <v>0</v>
      </c>
      <c r="AD222" s="36">
        <f>IF(AO222="2",BF222,0)</f>
        <v>0</v>
      </c>
      <c r="AE222" s="36">
        <f>IF(AO222="2",BG222,0)</f>
        <v>0</v>
      </c>
      <c r="AF222" s="36">
        <f>IF(AO222="0",BH222,0)</f>
        <v>0</v>
      </c>
      <c r="AG222" s="28" t="s">
        <v>158</v>
      </c>
      <c r="AH222" s="20">
        <f>IF(AL222=0,H222,0)</f>
        <v>0</v>
      </c>
      <c r="AI222" s="20">
        <f>IF(AL222=15,H222,0)</f>
        <v>0</v>
      </c>
      <c r="AJ222" s="20">
        <f>IF(AL222=21,H222,0)</f>
        <v>0</v>
      </c>
      <c r="AL222" s="36">
        <v>21</v>
      </c>
      <c r="AM222" s="36">
        <f>G222*0</f>
        <v>0</v>
      </c>
      <c r="AN222" s="36">
        <f>G222*(1-0)</f>
        <v>0</v>
      </c>
      <c r="AO222" s="32" t="s">
        <v>11</v>
      </c>
      <c r="AT222" s="36">
        <f>AU222+AV222</f>
        <v>0</v>
      </c>
      <c r="AU222" s="36">
        <f>F222*AM222</f>
        <v>0</v>
      </c>
      <c r="AV222" s="36">
        <f>F222*AN222</f>
        <v>0</v>
      </c>
      <c r="AW222" s="37" t="s">
        <v>680</v>
      </c>
      <c r="AX222" s="37" t="s">
        <v>696</v>
      </c>
      <c r="AY222" s="28" t="s">
        <v>705</v>
      </c>
      <c r="BA222" s="36">
        <f>AU222+AV222</f>
        <v>0</v>
      </c>
      <c r="BB222" s="36">
        <f>G222/(100-BC222)*100</f>
        <v>0</v>
      </c>
      <c r="BC222" s="36">
        <v>0</v>
      </c>
      <c r="BD222" s="36">
        <f>J222</f>
        <v>0</v>
      </c>
      <c r="BF222" s="20">
        <f>F222*AM222</f>
        <v>0</v>
      </c>
      <c r="BG222" s="20">
        <f>F222*AN222</f>
        <v>0</v>
      </c>
      <c r="BH222" s="20">
        <f>F222*G222</f>
        <v>0</v>
      </c>
    </row>
    <row r="223" spans="1:11" ht="12.75">
      <c r="A223" s="70"/>
      <c r="B223" s="70"/>
      <c r="C223" s="70"/>
      <c r="D223" s="71" t="s">
        <v>488</v>
      </c>
      <c r="E223" s="70"/>
      <c r="F223" s="72">
        <v>7</v>
      </c>
      <c r="G223" s="70"/>
      <c r="H223" s="101"/>
      <c r="I223" s="82"/>
      <c r="J223" s="82"/>
      <c r="K223" s="62"/>
    </row>
    <row r="224" spans="1:60" ht="12.75">
      <c r="A224" s="64" t="s">
        <v>93</v>
      </c>
      <c r="B224" s="64" t="s">
        <v>158</v>
      </c>
      <c r="C224" s="64" t="s">
        <v>247</v>
      </c>
      <c r="D224" s="64" t="s">
        <v>489</v>
      </c>
      <c r="E224" s="64" t="s">
        <v>633</v>
      </c>
      <c r="F224" s="67">
        <v>140</v>
      </c>
      <c r="G224" s="68"/>
      <c r="H224" s="100">
        <f>F224*G224</f>
        <v>0</v>
      </c>
      <c r="I224" s="81">
        <v>0</v>
      </c>
      <c r="J224" s="81">
        <f>F224*I224</f>
        <v>0</v>
      </c>
      <c r="K224" s="61" t="s">
        <v>653</v>
      </c>
      <c r="X224" s="36">
        <f>IF(AO224="5",BH224,0)</f>
        <v>0</v>
      </c>
      <c r="Z224" s="36">
        <f>IF(AO224="1",BF224,0)</f>
        <v>0</v>
      </c>
      <c r="AA224" s="36">
        <f>IF(AO224="1",BG224,0)</f>
        <v>0</v>
      </c>
      <c r="AB224" s="36">
        <f>IF(AO224="7",BF224,0)</f>
        <v>0</v>
      </c>
      <c r="AC224" s="36">
        <f>IF(AO224="7",BG224,0)</f>
        <v>0</v>
      </c>
      <c r="AD224" s="36">
        <f>IF(AO224="2",BF224,0)</f>
        <v>0</v>
      </c>
      <c r="AE224" s="36">
        <f>IF(AO224="2",BG224,0)</f>
        <v>0</v>
      </c>
      <c r="AF224" s="36">
        <f>IF(AO224="0",BH224,0)</f>
        <v>0</v>
      </c>
      <c r="AG224" s="28" t="s">
        <v>158</v>
      </c>
      <c r="AH224" s="20">
        <f>IF(AL224=0,H224,0)</f>
        <v>0</v>
      </c>
      <c r="AI224" s="20">
        <f>IF(AL224=15,H224,0)</f>
        <v>0</v>
      </c>
      <c r="AJ224" s="20">
        <f>IF(AL224=21,H224,0)</f>
        <v>0</v>
      </c>
      <c r="AL224" s="36">
        <v>21</v>
      </c>
      <c r="AM224" s="36">
        <f>G224*0</f>
        <v>0</v>
      </c>
      <c r="AN224" s="36">
        <f>G224*(1-0)</f>
        <v>0</v>
      </c>
      <c r="AO224" s="32" t="s">
        <v>11</v>
      </c>
      <c r="AT224" s="36">
        <f>AU224+AV224</f>
        <v>0</v>
      </c>
      <c r="AU224" s="36">
        <f>F224*AM224</f>
        <v>0</v>
      </c>
      <c r="AV224" s="36">
        <f>F224*AN224</f>
        <v>0</v>
      </c>
      <c r="AW224" s="37" t="s">
        <v>680</v>
      </c>
      <c r="AX224" s="37" t="s">
        <v>696</v>
      </c>
      <c r="AY224" s="28" t="s">
        <v>705</v>
      </c>
      <c r="BA224" s="36">
        <f>AU224+AV224</f>
        <v>0</v>
      </c>
      <c r="BB224" s="36">
        <f>G224/(100-BC224)*100</f>
        <v>0</v>
      </c>
      <c r="BC224" s="36">
        <v>0</v>
      </c>
      <c r="BD224" s="36">
        <f>J224</f>
        <v>0</v>
      </c>
      <c r="BF224" s="20">
        <f>F224*AM224</f>
        <v>0</v>
      </c>
      <c r="BG224" s="20">
        <f>F224*AN224</f>
        <v>0</v>
      </c>
      <c r="BH224" s="20">
        <f>F224*G224</f>
        <v>0</v>
      </c>
    </row>
    <row r="225" spans="1:11" ht="12.75">
      <c r="A225" s="70"/>
      <c r="B225" s="70"/>
      <c r="C225" s="70"/>
      <c r="D225" s="71" t="s">
        <v>490</v>
      </c>
      <c r="E225" s="70"/>
      <c r="F225" s="72">
        <v>140</v>
      </c>
      <c r="G225" s="70"/>
      <c r="H225" s="101"/>
      <c r="I225" s="82"/>
      <c r="J225" s="82"/>
      <c r="K225" s="62"/>
    </row>
    <row r="226" spans="1:60" ht="12.75">
      <c r="A226" s="64" t="s">
        <v>94</v>
      </c>
      <c r="B226" s="64" t="s">
        <v>158</v>
      </c>
      <c r="C226" s="64" t="s">
        <v>248</v>
      </c>
      <c r="D226" s="64" t="s">
        <v>491</v>
      </c>
      <c r="E226" s="64" t="s">
        <v>633</v>
      </c>
      <c r="F226" s="67">
        <v>7</v>
      </c>
      <c r="G226" s="68"/>
      <c r="H226" s="100">
        <f>F226*G226</f>
        <v>0</v>
      </c>
      <c r="I226" s="81">
        <v>0</v>
      </c>
      <c r="J226" s="81">
        <f>F226*I226</f>
        <v>0</v>
      </c>
      <c r="K226" s="61" t="s">
        <v>653</v>
      </c>
      <c r="X226" s="36">
        <f>IF(AO226="5",BH226,0)</f>
        <v>0</v>
      </c>
      <c r="Z226" s="36">
        <f>IF(AO226="1",BF226,0)</f>
        <v>0</v>
      </c>
      <c r="AA226" s="36">
        <f>IF(AO226="1",BG226,0)</f>
        <v>0</v>
      </c>
      <c r="AB226" s="36">
        <f>IF(AO226="7",BF226,0)</f>
        <v>0</v>
      </c>
      <c r="AC226" s="36">
        <f>IF(AO226="7",BG226,0)</f>
        <v>0</v>
      </c>
      <c r="AD226" s="36">
        <f>IF(AO226="2",BF226,0)</f>
        <v>0</v>
      </c>
      <c r="AE226" s="36">
        <f>IF(AO226="2",BG226,0)</f>
        <v>0</v>
      </c>
      <c r="AF226" s="36">
        <f>IF(AO226="0",BH226,0)</f>
        <v>0</v>
      </c>
      <c r="AG226" s="28" t="s">
        <v>158</v>
      </c>
      <c r="AH226" s="20">
        <f>IF(AL226=0,H226,0)</f>
        <v>0</v>
      </c>
      <c r="AI226" s="20">
        <f>IF(AL226=15,H226,0)</f>
        <v>0</v>
      </c>
      <c r="AJ226" s="20">
        <f>IF(AL226=21,H226,0)</f>
        <v>0</v>
      </c>
      <c r="AL226" s="36">
        <v>21</v>
      </c>
      <c r="AM226" s="36">
        <f>G226*0</f>
        <v>0</v>
      </c>
      <c r="AN226" s="36">
        <f>G226*(1-0)</f>
        <v>0</v>
      </c>
      <c r="AO226" s="32" t="s">
        <v>11</v>
      </c>
      <c r="AT226" s="36">
        <f>AU226+AV226</f>
        <v>0</v>
      </c>
      <c r="AU226" s="36">
        <f>F226*AM226</f>
        <v>0</v>
      </c>
      <c r="AV226" s="36">
        <f>F226*AN226</f>
        <v>0</v>
      </c>
      <c r="AW226" s="37" t="s">
        <v>680</v>
      </c>
      <c r="AX226" s="37" t="s">
        <v>696</v>
      </c>
      <c r="AY226" s="28" t="s">
        <v>705</v>
      </c>
      <c r="BA226" s="36">
        <f>AU226+AV226</f>
        <v>0</v>
      </c>
      <c r="BB226" s="36">
        <f>G226/(100-BC226)*100</f>
        <v>0</v>
      </c>
      <c r="BC226" s="36">
        <v>0</v>
      </c>
      <c r="BD226" s="36">
        <f>J226</f>
        <v>0</v>
      </c>
      <c r="BF226" s="20">
        <f>F226*AM226</f>
        <v>0</v>
      </c>
      <c r="BG226" s="20">
        <f>F226*AN226</f>
        <v>0</v>
      </c>
      <c r="BH226" s="20">
        <f>F226*G226</f>
        <v>0</v>
      </c>
    </row>
    <row r="227" spans="1:11" ht="12.75">
      <c r="A227" s="70"/>
      <c r="B227" s="70"/>
      <c r="C227" s="70"/>
      <c r="D227" s="71" t="s">
        <v>492</v>
      </c>
      <c r="E227" s="70"/>
      <c r="F227" s="72">
        <v>7</v>
      </c>
      <c r="G227" s="70"/>
      <c r="H227" s="101"/>
      <c r="I227" s="82"/>
      <c r="J227" s="82"/>
      <c r="K227" s="62"/>
    </row>
    <row r="228" spans="1:60" ht="12.75">
      <c r="A228" s="64" t="s">
        <v>95</v>
      </c>
      <c r="B228" s="64" t="s">
        <v>158</v>
      </c>
      <c r="C228" s="64" t="s">
        <v>249</v>
      </c>
      <c r="D228" s="64" t="s">
        <v>493</v>
      </c>
      <c r="E228" s="64" t="s">
        <v>633</v>
      </c>
      <c r="F228" s="67">
        <v>70</v>
      </c>
      <c r="G228" s="68"/>
      <c r="H228" s="100">
        <f>F228*G228</f>
        <v>0</v>
      </c>
      <c r="I228" s="81">
        <v>0</v>
      </c>
      <c r="J228" s="81">
        <f>F228*I228</f>
        <v>0</v>
      </c>
      <c r="K228" s="61" t="s">
        <v>653</v>
      </c>
      <c r="X228" s="36">
        <f>IF(AO228="5",BH228,0)</f>
        <v>0</v>
      </c>
      <c r="Z228" s="36">
        <f>IF(AO228="1",BF228,0)</f>
        <v>0</v>
      </c>
      <c r="AA228" s="36">
        <f>IF(AO228="1",BG228,0)</f>
        <v>0</v>
      </c>
      <c r="AB228" s="36">
        <f>IF(AO228="7",BF228,0)</f>
        <v>0</v>
      </c>
      <c r="AC228" s="36">
        <f>IF(AO228="7",BG228,0)</f>
        <v>0</v>
      </c>
      <c r="AD228" s="36">
        <f>IF(AO228="2",BF228,0)</f>
        <v>0</v>
      </c>
      <c r="AE228" s="36">
        <f>IF(AO228="2",BG228,0)</f>
        <v>0</v>
      </c>
      <c r="AF228" s="36">
        <f>IF(AO228="0",BH228,0)</f>
        <v>0</v>
      </c>
      <c r="AG228" s="28" t="s">
        <v>158</v>
      </c>
      <c r="AH228" s="20">
        <f>IF(AL228=0,H228,0)</f>
        <v>0</v>
      </c>
      <c r="AI228" s="20">
        <f>IF(AL228=15,H228,0)</f>
        <v>0</v>
      </c>
      <c r="AJ228" s="20">
        <f>IF(AL228=21,H228,0)</f>
        <v>0</v>
      </c>
      <c r="AL228" s="36">
        <v>21</v>
      </c>
      <c r="AM228" s="36">
        <f>G228*0</f>
        <v>0</v>
      </c>
      <c r="AN228" s="36">
        <f>G228*(1-0)</f>
        <v>0</v>
      </c>
      <c r="AO228" s="32" t="s">
        <v>11</v>
      </c>
      <c r="AT228" s="36">
        <f>AU228+AV228</f>
        <v>0</v>
      </c>
      <c r="AU228" s="36">
        <f>F228*AM228</f>
        <v>0</v>
      </c>
      <c r="AV228" s="36">
        <f>F228*AN228</f>
        <v>0</v>
      </c>
      <c r="AW228" s="37" t="s">
        <v>680</v>
      </c>
      <c r="AX228" s="37" t="s">
        <v>696</v>
      </c>
      <c r="AY228" s="28" t="s">
        <v>705</v>
      </c>
      <c r="BA228" s="36">
        <f>AU228+AV228</f>
        <v>0</v>
      </c>
      <c r="BB228" s="36">
        <f>G228/(100-BC228)*100</f>
        <v>0</v>
      </c>
      <c r="BC228" s="36">
        <v>0</v>
      </c>
      <c r="BD228" s="36">
        <f>J228</f>
        <v>0</v>
      </c>
      <c r="BF228" s="20">
        <f>F228*AM228</f>
        <v>0</v>
      </c>
      <c r="BG228" s="20">
        <f>F228*AN228</f>
        <v>0</v>
      </c>
      <c r="BH228" s="20">
        <f>F228*G228</f>
        <v>0</v>
      </c>
    </row>
    <row r="229" spans="1:11" ht="12.75">
      <c r="A229" s="70"/>
      <c r="B229" s="70"/>
      <c r="C229" s="70"/>
      <c r="D229" s="71" t="s">
        <v>494</v>
      </c>
      <c r="E229" s="70"/>
      <c r="F229" s="72">
        <v>70</v>
      </c>
      <c r="G229" s="70"/>
      <c r="H229" s="101"/>
      <c r="I229" s="82"/>
      <c r="J229" s="82"/>
      <c r="K229" s="62"/>
    </row>
    <row r="230" spans="1:60" ht="12.75">
      <c r="A230" s="64" t="s">
        <v>96</v>
      </c>
      <c r="B230" s="64" t="s">
        <v>158</v>
      </c>
      <c r="C230" s="64" t="s">
        <v>250</v>
      </c>
      <c r="D230" s="64" t="s">
        <v>495</v>
      </c>
      <c r="E230" s="64" t="s">
        <v>633</v>
      </c>
      <c r="F230" s="67">
        <v>7</v>
      </c>
      <c r="G230" s="68"/>
      <c r="H230" s="100">
        <f>F230*G230</f>
        <v>0</v>
      </c>
      <c r="I230" s="81">
        <v>0</v>
      </c>
      <c r="J230" s="81">
        <f>F230*I230</f>
        <v>0</v>
      </c>
      <c r="K230" s="61" t="s">
        <v>653</v>
      </c>
      <c r="X230" s="36">
        <f>IF(AO230="5",BH230,0)</f>
        <v>0</v>
      </c>
      <c r="Z230" s="36">
        <f>IF(AO230="1",BF230,0)</f>
        <v>0</v>
      </c>
      <c r="AA230" s="36">
        <f>IF(AO230="1",BG230,0)</f>
        <v>0</v>
      </c>
      <c r="AB230" s="36">
        <f>IF(AO230="7",BF230,0)</f>
        <v>0</v>
      </c>
      <c r="AC230" s="36">
        <f>IF(AO230="7",BG230,0)</f>
        <v>0</v>
      </c>
      <c r="AD230" s="36">
        <f>IF(AO230="2",BF230,0)</f>
        <v>0</v>
      </c>
      <c r="AE230" s="36">
        <f>IF(AO230="2",BG230,0)</f>
        <v>0</v>
      </c>
      <c r="AF230" s="36">
        <f>IF(AO230="0",BH230,0)</f>
        <v>0</v>
      </c>
      <c r="AG230" s="28" t="s">
        <v>158</v>
      </c>
      <c r="AH230" s="20">
        <f>IF(AL230=0,H230,0)</f>
        <v>0</v>
      </c>
      <c r="AI230" s="20">
        <f>IF(AL230=15,H230,0)</f>
        <v>0</v>
      </c>
      <c r="AJ230" s="20">
        <f>IF(AL230=21,H230,0)</f>
        <v>0</v>
      </c>
      <c r="AL230" s="36">
        <v>21</v>
      </c>
      <c r="AM230" s="36">
        <f>G230*0</f>
        <v>0</v>
      </c>
      <c r="AN230" s="36">
        <f>G230*(1-0)</f>
        <v>0</v>
      </c>
      <c r="AO230" s="32" t="s">
        <v>11</v>
      </c>
      <c r="AT230" s="36">
        <f>AU230+AV230</f>
        <v>0</v>
      </c>
      <c r="AU230" s="36">
        <f>F230*AM230</f>
        <v>0</v>
      </c>
      <c r="AV230" s="36">
        <f>F230*AN230</f>
        <v>0</v>
      </c>
      <c r="AW230" s="37" t="s">
        <v>680</v>
      </c>
      <c r="AX230" s="37" t="s">
        <v>696</v>
      </c>
      <c r="AY230" s="28" t="s">
        <v>705</v>
      </c>
      <c r="BA230" s="36">
        <f>AU230+AV230</f>
        <v>0</v>
      </c>
      <c r="BB230" s="36">
        <f>G230/(100-BC230)*100</f>
        <v>0</v>
      </c>
      <c r="BC230" s="36">
        <v>0</v>
      </c>
      <c r="BD230" s="36">
        <f>J230</f>
        <v>0</v>
      </c>
      <c r="BF230" s="20">
        <f>F230*AM230</f>
        <v>0</v>
      </c>
      <c r="BG230" s="20">
        <f>F230*AN230</f>
        <v>0</v>
      </c>
      <c r="BH230" s="20">
        <f>F230*G230</f>
        <v>0</v>
      </c>
    </row>
    <row r="231" spans="1:11" ht="12.75">
      <c r="A231" s="70"/>
      <c r="B231" s="70"/>
      <c r="C231" s="70"/>
      <c r="D231" s="71" t="s">
        <v>492</v>
      </c>
      <c r="E231" s="70"/>
      <c r="F231" s="72">
        <v>7</v>
      </c>
      <c r="G231" s="70"/>
      <c r="H231" s="101"/>
      <c r="I231" s="82"/>
      <c r="J231" s="82"/>
      <c r="K231" s="62"/>
    </row>
    <row r="232" spans="1:60" ht="12.75">
      <c r="A232" s="64" t="s">
        <v>97</v>
      </c>
      <c r="B232" s="64" t="s">
        <v>158</v>
      </c>
      <c r="C232" s="64" t="s">
        <v>251</v>
      </c>
      <c r="D232" s="64" t="s">
        <v>496</v>
      </c>
      <c r="E232" s="64" t="s">
        <v>633</v>
      </c>
      <c r="F232" s="67">
        <v>7</v>
      </c>
      <c r="G232" s="68"/>
      <c r="H232" s="100">
        <f>F232*G232</f>
        <v>0</v>
      </c>
      <c r="I232" s="81">
        <v>0</v>
      </c>
      <c r="J232" s="81">
        <f>F232*I232</f>
        <v>0</v>
      </c>
      <c r="K232" s="61" t="s">
        <v>653</v>
      </c>
      <c r="X232" s="36">
        <f>IF(AO232="5",BH232,0)</f>
        <v>0</v>
      </c>
      <c r="Z232" s="36">
        <f>IF(AO232="1",BF232,0)</f>
        <v>0</v>
      </c>
      <c r="AA232" s="36">
        <f>IF(AO232="1",BG232,0)</f>
        <v>0</v>
      </c>
      <c r="AB232" s="36">
        <f>IF(AO232="7",BF232,0)</f>
        <v>0</v>
      </c>
      <c r="AC232" s="36">
        <f>IF(AO232="7",BG232,0)</f>
        <v>0</v>
      </c>
      <c r="AD232" s="36">
        <f>IF(AO232="2",BF232,0)</f>
        <v>0</v>
      </c>
      <c r="AE232" s="36">
        <f>IF(AO232="2",BG232,0)</f>
        <v>0</v>
      </c>
      <c r="AF232" s="36">
        <f>IF(AO232="0",BH232,0)</f>
        <v>0</v>
      </c>
      <c r="AG232" s="28" t="s">
        <v>158</v>
      </c>
      <c r="AH232" s="20">
        <f>IF(AL232=0,H232,0)</f>
        <v>0</v>
      </c>
      <c r="AI232" s="20">
        <f>IF(AL232=15,H232,0)</f>
        <v>0</v>
      </c>
      <c r="AJ232" s="20">
        <f>IF(AL232=21,H232,0)</f>
        <v>0</v>
      </c>
      <c r="AL232" s="36">
        <v>21</v>
      </c>
      <c r="AM232" s="36">
        <f>G232*0</f>
        <v>0</v>
      </c>
      <c r="AN232" s="36">
        <f>G232*(1-0)</f>
        <v>0</v>
      </c>
      <c r="AO232" s="32" t="s">
        <v>11</v>
      </c>
      <c r="AT232" s="36">
        <f>AU232+AV232</f>
        <v>0</v>
      </c>
      <c r="AU232" s="36">
        <f>F232*AM232</f>
        <v>0</v>
      </c>
      <c r="AV232" s="36">
        <f>F232*AN232</f>
        <v>0</v>
      </c>
      <c r="AW232" s="37" t="s">
        <v>680</v>
      </c>
      <c r="AX232" s="37" t="s">
        <v>696</v>
      </c>
      <c r="AY232" s="28" t="s">
        <v>705</v>
      </c>
      <c r="BA232" s="36">
        <f>AU232+AV232</f>
        <v>0</v>
      </c>
      <c r="BB232" s="36">
        <f>G232/(100-BC232)*100</f>
        <v>0</v>
      </c>
      <c r="BC232" s="36">
        <v>0</v>
      </c>
      <c r="BD232" s="36">
        <f>J232</f>
        <v>0</v>
      </c>
      <c r="BF232" s="20">
        <f>F232*AM232</f>
        <v>0</v>
      </c>
      <c r="BG232" s="20">
        <f>F232*AN232</f>
        <v>0</v>
      </c>
      <c r="BH232" s="20">
        <f>F232*G232</f>
        <v>0</v>
      </c>
    </row>
    <row r="233" spans="1:11" ht="12.75">
      <c r="A233" s="70"/>
      <c r="B233" s="70"/>
      <c r="C233" s="70"/>
      <c r="D233" s="71" t="s">
        <v>492</v>
      </c>
      <c r="E233" s="70"/>
      <c r="F233" s="72">
        <v>7</v>
      </c>
      <c r="G233" s="70"/>
      <c r="H233" s="101"/>
      <c r="I233" s="82"/>
      <c r="J233" s="82"/>
      <c r="K233" s="62"/>
    </row>
    <row r="234" spans="1:60" ht="12.75">
      <c r="A234" s="64" t="s">
        <v>98</v>
      </c>
      <c r="B234" s="64" t="s">
        <v>158</v>
      </c>
      <c r="C234" s="64" t="s">
        <v>252</v>
      </c>
      <c r="D234" s="64" t="s">
        <v>497</v>
      </c>
      <c r="E234" s="64" t="s">
        <v>633</v>
      </c>
      <c r="F234" s="67">
        <v>7</v>
      </c>
      <c r="G234" s="68"/>
      <c r="H234" s="100">
        <f>F234*G234</f>
        <v>0</v>
      </c>
      <c r="I234" s="81">
        <v>0</v>
      </c>
      <c r="J234" s="81">
        <f>F234*I234</f>
        <v>0</v>
      </c>
      <c r="K234" s="61" t="s">
        <v>653</v>
      </c>
      <c r="X234" s="36">
        <f>IF(AO234="5",BH234,0)</f>
        <v>0</v>
      </c>
      <c r="Z234" s="36">
        <f>IF(AO234="1",BF234,0)</f>
        <v>0</v>
      </c>
      <c r="AA234" s="36">
        <f>IF(AO234="1",BG234,0)</f>
        <v>0</v>
      </c>
      <c r="AB234" s="36">
        <f>IF(AO234="7",BF234,0)</f>
        <v>0</v>
      </c>
      <c r="AC234" s="36">
        <f>IF(AO234="7",BG234,0)</f>
        <v>0</v>
      </c>
      <c r="AD234" s="36">
        <f>IF(AO234="2",BF234,0)</f>
        <v>0</v>
      </c>
      <c r="AE234" s="36">
        <f>IF(AO234="2",BG234,0)</f>
        <v>0</v>
      </c>
      <c r="AF234" s="36">
        <f>IF(AO234="0",BH234,0)</f>
        <v>0</v>
      </c>
      <c r="AG234" s="28" t="s">
        <v>158</v>
      </c>
      <c r="AH234" s="20">
        <f>IF(AL234=0,H234,0)</f>
        <v>0</v>
      </c>
      <c r="AI234" s="20">
        <f>IF(AL234=15,H234,0)</f>
        <v>0</v>
      </c>
      <c r="AJ234" s="20">
        <f>IF(AL234=21,H234,0)</f>
        <v>0</v>
      </c>
      <c r="AL234" s="36">
        <v>21</v>
      </c>
      <c r="AM234" s="36">
        <f>G234*0</f>
        <v>0</v>
      </c>
      <c r="AN234" s="36">
        <f>G234*(1-0)</f>
        <v>0</v>
      </c>
      <c r="AO234" s="32" t="s">
        <v>11</v>
      </c>
      <c r="AT234" s="36">
        <f>AU234+AV234</f>
        <v>0</v>
      </c>
      <c r="AU234" s="36">
        <f>F234*AM234</f>
        <v>0</v>
      </c>
      <c r="AV234" s="36">
        <f>F234*AN234</f>
        <v>0</v>
      </c>
      <c r="AW234" s="37" t="s">
        <v>680</v>
      </c>
      <c r="AX234" s="37" t="s">
        <v>696</v>
      </c>
      <c r="AY234" s="28" t="s">
        <v>705</v>
      </c>
      <c r="BA234" s="36">
        <f>AU234+AV234</f>
        <v>0</v>
      </c>
      <c r="BB234" s="36">
        <f>G234/(100-BC234)*100</f>
        <v>0</v>
      </c>
      <c r="BC234" s="36">
        <v>0</v>
      </c>
      <c r="BD234" s="36">
        <f>J234</f>
        <v>0</v>
      </c>
      <c r="BF234" s="20">
        <f>F234*AM234</f>
        <v>0</v>
      </c>
      <c r="BG234" s="20">
        <f>F234*AN234</f>
        <v>0</v>
      </c>
      <c r="BH234" s="20">
        <f>F234*G234</f>
        <v>0</v>
      </c>
    </row>
    <row r="235" spans="1:11" ht="12.75">
      <c r="A235" s="65"/>
      <c r="B235" s="65"/>
      <c r="C235" s="65"/>
      <c r="D235" s="66" t="s">
        <v>492</v>
      </c>
      <c r="E235" s="65"/>
      <c r="F235" s="69">
        <v>7</v>
      </c>
      <c r="G235" s="65"/>
      <c r="H235" s="65"/>
      <c r="I235" s="83"/>
      <c r="J235" s="83"/>
      <c r="K235" s="63"/>
    </row>
    <row r="236" spans="1:45" ht="12.75">
      <c r="A236" s="4"/>
      <c r="B236" s="14" t="s">
        <v>158</v>
      </c>
      <c r="C236" s="14" t="s">
        <v>253</v>
      </c>
      <c r="D236" s="14" t="s">
        <v>498</v>
      </c>
      <c r="E236" s="4" t="s">
        <v>6</v>
      </c>
      <c r="F236" s="4" t="s">
        <v>6</v>
      </c>
      <c r="G236" s="4"/>
      <c r="H236" s="39">
        <f>SUM(H237:H237)</f>
        <v>0</v>
      </c>
      <c r="I236" s="80"/>
      <c r="J236" s="80">
        <f>SUM(J237:J237)</f>
        <v>0</v>
      </c>
      <c r="K236" s="28"/>
      <c r="AG236" s="28" t="s">
        <v>158</v>
      </c>
      <c r="AQ236" s="39">
        <f>SUM(AH237:AH237)</f>
        <v>0</v>
      </c>
      <c r="AR236" s="39">
        <f>SUM(AI237:AI237)</f>
        <v>0</v>
      </c>
      <c r="AS236" s="39">
        <f>SUM(AJ237:AJ237)</f>
        <v>0</v>
      </c>
    </row>
    <row r="237" spans="1:60" ht="12.75">
      <c r="A237" s="64" t="s">
        <v>99</v>
      </c>
      <c r="B237" s="64" t="s">
        <v>158</v>
      </c>
      <c r="C237" s="64" t="s">
        <v>254</v>
      </c>
      <c r="D237" s="64" t="s">
        <v>499</v>
      </c>
      <c r="E237" s="64" t="s">
        <v>633</v>
      </c>
      <c r="F237" s="67">
        <v>327.63</v>
      </c>
      <c r="G237" s="68"/>
      <c r="H237" s="100">
        <f>F237*G237</f>
        <v>0</v>
      </c>
      <c r="I237" s="81">
        <v>0</v>
      </c>
      <c r="J237" s="81">
        <f>F237*I237</f>
        <v>0</v>
      </c>
      <c r="K237" s="61" t="s">
        <v>653</v>
      </c>
      <c r="X237" s="36">
        <f>IF(AO237="5",BH237,0)</f>
        <v>0</v>
      </c>
      <c r="Z237" s="36">
        <f>IF(AO237="1",BF237,0)</f>
        <v>0</v>
      </c>
      <c r="AA237" s="36">
        <f>IF(AO237="1",BG237,0)</f>
        <v>0</v>
      </c>
      <c r="AB237" s="36">
        <f>IF(AO237="7",BF237,0)</f>
        <v>0</v>
      </c>
      <c r="AC237" s="36">
        <f>IF(AO237="7",BG237,0)</f>
        <v>0</v>
      </c>
      <c r="AD237" s="36">
        <f>IF(AO237="2",BF237,0)</f>
        <v>0</v>
      </c>
      <c r="AE237" s="36">
        <f>IF(AO237="2",BG237,0)</f>
        <v>0</v>
      </c>
      <c r="AF237" s="36">
        <f>IF(AO237="0",BH237,0)</f>
        <v>0</v>
      </c>
      <c r="AG237" s="28" t="s">
        <v>158</v>
      </c>
      <c r="AH237" s="20">
        <f>IF(AL237=0,H237,0)</f>
        <v>0</v>
      </c>
      <c r="AI237" s="20">
        <f>IF(AL237=15,H237,0)</f>
        <v>0</v>
      </c>
      <c r="AJ237" s="20">
        <f>IF(AL237=21,H237,0)</f>
        <v>0</v>
      </c>
      <c r="AL237" s="36">
        <v>21</v>
      </c>
      <c r="AM237" s="36">
        <f>G237*0</f>
        <v>0</v>
      </c>
      <c r="AN237" s="36">
        <f>G237*(1-0)</f>
        <v>0</v>
      </c>
      <c r="AO237" s="32" t="s">
        <v>11</v>
      </c>
      <c r="AT237" s="36">
        <f>AU237+AV237</f>
        <v>0</v>
      </c>
      <c r="AU237" s="36">
        <f>F237*AM237</f>
        <v>0</v>
      </c>
      <c r="AV237" s="36">
        <f>F237*AN237</f>
        <v>0</v>
      </c>
      <c r="AW237" s="37" t="s">
        <v>681</v>
      </c>
      <c r="AX237" s="37" t="s">
        <v>696</v>
      </c>
      <c r="AY237" s="28" t="s">
        <v>705</v>
      </c>
      <c r="BA237" s="36">
        <f>AU237+AV237</f>
        <v>0</v>
      </c>
      <c r="BB237" s="36">
        <f>G237/(100-BC237)*100</f>
        <v>0</v>
      </c>
      <c r="BC237" s="36">
        <v>0</v>
      </c>
      <c r="BD237" s="36">
        <f>J237</f>
        <v>0</v>
      </c>
      <c r="BF237" s="20">
        <f>F237*AM237</f>
        <v>0</v>
      </c>
      <c r="BG237" s="20">
        <f>F237*AN237</f>
        <v>0</v>
      </c>
      <c r="BH237" s="20">
        <f>F237*G237</f>
        <v>0</v>
      </c>
    </row>
    <row r="238" spans="1:11" ht="12.75">
      <c r="A238" s="65"/>
      <c r="B238" s="65"/>
      <c r="C238" s="65"/>
      <c r="D238" s="66" t="s">
        <v>500</v>
      </c>
      <c r="E238" s="65"/>
      <c r="F238" s="69">
        <v>327.63</v>
      </c>
      <c r="G238" s="65"/>
      <c r="H238" s="65"/>
      <c r="I238" s="83"/>
      <c r="J238" s="83"/>
      <c r="K238" s="63"/>
    </row>
    <row r="239" spans="1:45" ht="12.75">
      <c r="A239" s="4"/>
      <c r="B239" s="14" t="s">
        <v>158</v>
      </c>
      <c r="C239" s="14" t="s">
        <v>255</v>
      </c>
      <c r="D239" s="14" t="s">
        <v>501</v>
      </c>
      <c r="E239" s="4" t="s">
        <v>6</v>
      </c>
      <c r="F239" s="4" t="s">
        <v>6</v>
      </c>
      <c r="G239" s="4"/>
      <c r="H239" s="39">
        <f>SUM(H240:H250)</f>
        <v>0</v>
      </c>
      <c r="I239" s="80"/>
      <c r="J239" s="80">
        <f>SUM(J240:J250)</f>
        <v>2.1201708000000004</v>
      </c>
      <c r="K239" s="28"/>
      <c r="AG239" s="28" t="s">
        <v>158</v>
      </c>
      <c r="AQ239" s="39">
        <f>SUM(AH240:AH250)</f>
        <v>0</v>
      </c>
      <c r="AR239" s="39">
        <f>SUM(AI240:AI250)</f>
        <v>0</v>
      </c>
      <c r="AS239" s="39">
        <f>SUM(AJ240:AJ250)</f>
        <v>0</v>
      </c>
    </row>
    <row r="240" spans="1:60" ht="12.75">
      <c r="A240" s="64" t="s">
        <v>100</v>
      </c>
      <c r="B240" s="64" t="s">
        <v>158</v>
      </c>
      <c r="C240" s="64" t="s">
        <v>256</v>
      </c>
      <c r="D240" s="64" t="s">
        <v>502</v>
      </c>
      <c r="E240" s="64" t="s">
        <v>631</v>
      </c>
      <c r="F240" s="67">
        <v>109.71</v>
      </c>
      <c r="G240" s="68"/>
      <c r="H240" s="100">
        <f>F240*G240</f>
        <v>0</v>
      </c>
      <c r="I240" s="81">
        <v>0.00033</v>
      </c>
      <c r="J240" s="81">
        <f>F240*I240</f>
        <v>0.036204299999999995</v>
      </c>
      <c r="K240" s="61" t="s">
        <v>653</v>
      </c>
      <c r="X240" s="36">
        <f>IF(AO240="5",BH240,0)</f>
        <v>0</v>
      </c>
      <c r="Z240" s="36">
        <f>IF(AO240="1",BF240,0)</f>
        <v>0</v>
      </c>
      <c r="AA240" s="36">
        <f>IF(AO240="1",BG240,0)</f>
        <v>0</v>
      </c>
      <c r="AB240" s="36">
        <f>IF(AO240="7",BF240,0)</f>
        <v>0</v>
      </c>
      <c r="AC240" s="36">
        <f>IF(AO240="7",BG240,0)</f>
        <v>0</v>
      </c>
      <c r="AD240" s="36">
        <f>IF(AO240="2",BF240,0)</f>
        <v>0</v>
      </c>
      <c r="AE240" s="36">
        <f>IF(AO240="2",BG240,0)</f>
        <v>0</v>
      </c>
      <c r="AF240" s="36">
        <f>IF(AO240="0",BH240,0)</f>
        <v>0</v>
      </c>
      <c r="AG240" s="28" t="s">
        <v>158</v>
      </c>
      <c r="AH240" s="20">
        <f>IF(AL240=0,H240,0)</f>
        <v>0</v>
      </c>
      <c r="AI240" s="20">
        <f>IF(AL240=15,H240,0)</f>
        <v>0</v>
      </c>
      <c r="AJ240" s="20">
        <f>IF(AL240=21,H240,0)</f>
        <v>0</v>
      </c>
      <c r="AL240" s="36">
        <v>21</v>
      </c>
      <c r="AM240" s="36">
        <f>G240*0.566303599735799</f>
        <v>0</v>
      </c>
      <c r="AN240" s="36">
        <f>G240*(1-0.566303599735799)</f>
        <v>0</v>
      </c>
      <c r="AO240" s="32" t="s">
        <v>13</v>
      </c>
      <c r="AT240" s="36">
        <f>AU240+AV240</f>
        <v>0</v>
      </c>
      <c r="AU240" s="36">
        <f>F240*AM240</f>
        <v>0</v>
      </c>
      <c r="AV240" s="36">
        <f>F240*AN240</f>
        <v>0</v>
      </c>
      <c r="AW240" s="37" t="s">
        <v>682</v>
      </c>
      <c r="AX240" s="37" t="s">
        <v>697</v>
      </c>
      <c r="AY240" s="28" t="s">
        <v>705</v>
      </c>
      <c r="BA240" s="36">
        <f>AU240+AV240</f>
        <v>0</v>
      </c>
      <c r="BB240" s="36">
        <f>G240/(100-BC240)*100</f>
        <v>0</v>
      </c>
      <c r="BC240" s="36">
        <v>0</v>
      </c>
      <c r="BD240" s="36">
        <f>J240</f>
        <v>0.036204299999999995</v>
      </c>
      <c r="BF240" s="20">
        <f>F240*AM240</f>
        <v>0</v>
      </c>
      <c r="BG240" s="20">
        <f>F240*AN240</f>
        <v>0</v>
      </c>
      <c r="BH240" s="20">
        <f>F240*G240</f>
        <v>0</v>
      </c>
    </row>
    <row r="241" spans="1:11" ht="12.75">
      <c r="A241" s="70"/>
      <c r="B241" s="70"/>
      <c r="C241" s="70"/>
      <c r="D241" s="71" t="s">
        <v>503</v>
      </c>
      <c r="E241" s="70"/>
      <c r="F241" s="72">
        <v>109.71</v>
      </c>
      <c r="G241" s="70"/>
      <c r="H241" s="101"/>
      <c r="I241" s="82"/>
      <c r="J241" s="82"/>
      <c r="K241" s="62"/>
    </row>
    <row r="242" spans="1:60" ht="12.75">
      <c r="A242" s="64" t="s">
        <v>101</v>
      </c>
      <c r="B242" s="64" t="s">
        <v>158</v>
      </c>
      <c r="C242" s="64" t="s">
        <v>257</v>
      </c>
      <c r="D242" s="64" t="s">
        <v>504</v>
      </c>
      <c r="E242" s="64" t="s">
        <v>631</v>
      </c>
      <c r="F242" s="67">
        <v>87.855</v>
      </c>
      <c r="G242" s="68"/>
      <c r="H242" s="100">
        <f>F242*G242</f>
        <v>0</v>
      </c>
      <c r="I242" s="81">
        <v>0.00052</v>
      </c>
      <c r="J242" s="81">
        <f>F242*I242</f>
        <v>0.0456846</v>
      </c>
      <c r="K242" s="61" t="s">
        <v>653</v>
      </c>
      <c r="X242" s="36">
        <f>IF(AO242="5",BH242,0)</f>
        <v>0</v>
      </c>
      <c r="Z242" s="36">
        <f>IF(AO242="1",BF242,0)</f>
        <v>0</v>
      </c>
      <c r="AA242" s="36">
        <f>IF(AO242="1",BG242,0)</f>
        <v>0</v>
      </c>
      <c r="AB242" s="36">
        <f>IF(AO242="7",BF242,0)</f>
        <v>0</v>
      </c>
      <c r="AC242" s="36">
        <f>IF(AO242="7",BG242,0)</f>
        <v>0</v>
      </c>
      <c r="AD242" s="36">
        <f>IF(AO242="2",BF242,0)</f>
        <v>0</v>
      </c>
      <c r="AE242" s="36">
        <f>IF(AO242="2",BG242,0)</f>
        <v>0</v>
      </c>
      <c r="AF242" s="36">
        <f>IF(AO242="0",BH242,0)</f>
        <v>0</v>
      </c>
      <c r="AG242" s="28" t="s">
        <v>158</v>
      </c>
      <c r="AH242" s="20">
        <f>IF(AL242=0,H242,0)</f>
        <v>0</v>
      </c>
      <c r="AI242" s="20">
        <f>IF(AL242=15,H242,0)</f>
        <v>0</v>
      </c>
      <c r="AJ242" s="20">
        <f>IF(AL242=21,H242,0)</f>
        <v>0</v>
      </c>
      <c r="AL242" s="36">
        <v>21</v>
      </c>
      <c r="AM242" s="36">
        <f>G242*0.494579761767658</f>
        <v>0</v>
      </c>
      <c r="AN242" s="36">
        <f>G242*(1-0.494579761767658)</f>
        <v>0</v>
      </c>
      <c r="AO242" s="32" t="s">
        <v>13</v>
      </c>
      <c r="AT242" s="36">
        <f>AU242+AV242</f>
        <v>0</v>
      </c>
      <c r="AU242" s="36">
        <f>F242*AM242</f>
        <v>0</v>
      </c>
      <c r="AV242" s="36">
        <f>F242*AN242</f>
        <v>0</v>
      </c>
      <c r="AW242" s="37" t="s">
        <v>682</v>
      </c>
      <c r="AX242" s="37" t="s">
        <v>697</v>
      </c>
      <c r="AY242" s="28" t="s">
        <v>705</v>
      </c>
      <c r="BA242" s="36">
        <f>AU242+AV242</f>
        <v>0</v>
      </c>
      <c r="BB242" s="36">
        <f>G242/(100-BC242)*100</f>
        <v>0</v>
      </c>
      <c r="BC242" s="36">
        <v>0</v>
      </c>
      <c r="BD242" s="36">
        <f>J242</f>
        <v>0.0456846</v>
      </c>
      <c r="BF242" s="20">
        <f>F242*AM242</f>
        <v>0</v>
      </c>
      <c r="BG242" s="20">
        <f>F242*AN242</f>
        <v>0</v>
      </c>
      <c r="BH242" s="20">
        <f>F242*G242</f>
        <v>0</v>
      </c>
    </row>
    <row r="243" spans="1:11" ht="12.75">
      <c r="A243" s="70"/>
      <c r="B243" s="70"/>
      <c r="C243" s="70"/>
      <c r="D243" s="71" t="s">
        <v>505</v>
      </c>
      <c r="E243" s="70"/>
      <c r="F243" s="72">
        <v>87.855</v>
      </c>
      <c r="G243" s="70"/>
      <c r="H243" s="101"/>
      <c r="I243" s="82"/>
      <c r="J243" s="82"/>
      <c r="K243" s="62"/>
    </row>
    <row r="244" spans="1:60" ht="12.75">
      <c r="A244" s="64" t="s">
        <v>102</v>
      </c>
      <c r="B244" s="64" t="s">
        <v>158</v>
      </c>
      <c r="C244" s="64" t="s">
        <v>258</v>
      </c>
      <c r="D244" s="64" t="s">
        <v>506</v>
      </c>
      <c r="E244" s="64" t="s">
        <v>631</v>
      </c>
      <c r="F244" s="67">
        <v>109.71</v>
      </c>
      <c r="G244" s="68"/>
      <c r="H244" s="100">
        <f>F244*G244</f>
        <v>0</v>
      </c>
      <c r="I244" s="81">
        <v>0.00974</v>
      </c>
      <c r="J244" s="81">
        <f>F244*I244</f>
        <v>1.0685754</v>
      </c>
      <c r="K244" s="61" t="s">
        <v>653</v>
      </c>
      <c r="X244" s="36">
        <f>IF(AO244="5",BH244,0)</f>
        <v>0</v>
      </c>
      <c r="Z244" s="36">
        <f>IF(AO244="1",BF244,0)</f>
        <v>0</v>
      </c>
      <c r="AA244" s="36">
        <f>IF(AO244="1",BG244,0)</f>
        <v>0</v>
      </c>
      <c r="AB244" s="36">
        <f>IF(AO244="7",BF244,0)</f>
        <v>0</v>
      </c>
      <c r="AC244" s="36">
        <f>IF(AO244="7",BG244,0)</f>
        <v>0</v>
      </c>
      <c r="AD244" s="36">
        <f>IF(AO244="2",BF244,0)</f>
        <v>0</v>
      </c>
      <c r="AE244" s="36">
        <f>IF(AO244="2",BG244,0)</f>
        <v>0</v>
      </c>
      <c r="AF244" s="36">
        <f>IF(AO244="0",BH244,0)</f>
        <v>0</v>
      </c>
      <c r="AG244" s="28" t="s">
        <v>158</v>
      </c>
      <c r="AH244" s="20">
        <f>IF(AL244=0,H244,0)</f>
        <v>0</v>
      </c>
      <c r="AI244" s="20">
        <f>IF(AL244=15,H244,0)</f>
        <v>0</v>
      </c>
      <c r="AJ244" s="20">
        <f>IF(AL244=21,H244,0)</f>
        <v>0</v>
      </c>
      <c r="AL244" s="36">
        <v>21</v>
      </c>
      <c r="AM244" s="36">
        <f>G244*0.53524891464867</f>
        <v>0</v>
      </c>
      <c r="AN244" s="36">
        <f>G244*(1-0.53524891464867)</f>
        <v>0</v>
      </c>
      <c r="AO244" s="32" t="s">
        <v>13</v>
      </c>
      <c r="AT244" s="36">
        <f>AU244+AV244</f>
        <v>0</v>
      </c>
      <c r="AU244" s="36">
        <f>F244*AM244</f>
        <v>0</v>
      </c>
      <c r="AV244" s="36">
        <f>F244*AN244</f>
        <v>0</v>
      </c>
      <c r="AW244" s="37" t="s">
        <v>682</v>
      </c>
      <c r="AX244" s="37" t="s">
        <v>697</v>
      </c>
      <c r="AY244" s="28" t="s">
        <v>705</v>
      </c>
      <c r="BA244" s="36">
        <f>AU244+AV244</f>
        <v>0</v>
      </c>
      <c r="BB244" s="36">
        <f>G244/(100-BC244)*100</f>
        <v>0</v>
      </c>
      <c r="BC244" s="36">
        <v>0</v>
      </c>
      <c r="BD244" s="36">
        <f>J244</f>
        <v>1.0685754</v>
      </c>
      <c r="BF244" s="20">
        <f>F244*AM244</f>
        <v>0</v>
      </c>
      <c r="BG244" s="20">
        <f>F244*AN244</f>
        <v>0</v>
      </c>
      <c r="BH244" s="20">
        <f>F244*G244</f>
        <v>0</v>
      </c>
    </row>
    <row r="245" spans="1:11" ht="12.75">
      <c r="A245" s="70"/>
      <c r="B245" s="70"/>
      <c r="C245" s="70"/>
      <c r="D245" s="71" t="s">
        <v>507</v>
      </c>
      <c r="E245" s="70"/>
      <c r="F245" s="72">
        <v>109.71</v>
      </c>
      <c r="G245" s="70"/>
      <c r="H245" s="101"/>
      <c r="I245" s="82"/>
      <c r="J245" s="82"/>
      <c r="K245" s="62"/>
    </row>
    <row r="246" spans="1:60" ht="12.75">
      <c r="A246" s="64" t="s">
        <v>103</v>
      </c>
      <c r="B246" s="64" t="s">
        <v>158</v>
      </c>
      <c r="C246" s="64" t="s">
        <v>259</v>
      </c>
      <c r="D246" s="64" t="s">
        <v>508</v>
      </c>
      <c r="E246" s="64" t="s">
        <v>631</v>
      </c>
      <c r="F246" s="67">
        <v>87.855</v>
      </c>
      <c r="G246" s="68"/>
      <c r="H246" s="100">
        <f>F246*G246</f>
        <v>0</v>
      </c>
      <c r="I246" s="81">
        <v>0.0103</v>
      </c>
      <c r="J246" s="81">
        <f>F246*I246</f>
        <v>0.9049065000000001</v>
      </c>
      <c r="K246" s="61" t="s">
        <v>653</v>
      </c>
      <c r="X246" s="36">
        <f>IF(AO246="5",BH246,0)</f>
        <v>0</v>
      </c>
      <c r="Z246" s="36">
        <f>IF(AO246="1",BF246,0)</f>
        <v>0</v>
      </c>
      <c r="AA246" s="36">
        <f>IF(AO246="1",BG246,0)</f>
        <v>0</v>
      </c>
      <c r="AB246" s="36">
        <f>IF(AO246="7",BF246,0)</f>
        <v>0</v>
      </c>
      <c r="AC246" s="36">
        <f>IF(AO246="7",BG246,0)</f>
        <v>0</v>
      </c>
      <c r="AD246" s="36">
        <f>IF(AO246="2",BF246,0)</f>
        <v>0</v>
      </c>
      <c r="AE246" s="36">
        <f>IF(AO246="2",BG246,0)</f>
        <v>0</v>
      </c>
      <c r="AF246" s="36">
        <f>IF(AO246="0",BH246,0)</f>
        <v>0</v>
      </c>
      <c r="AG246" s="28" t="s">
        <v>158</v>
      </c>
      <c r="AH246" s="20">
        <f>IF(AL246=0,H246,0)</f>
        <v>0</v>
      </c>
      <c r="AI246" s="20">
        <f>IF(AL246=15,H246,0)</f>
        <v>0</v>
      </c>
      <c r="AJ246" s="20">
        <f>IF(AL246=21,H246,0)</f>
        <v>0</v>
      </c>
      <c r="AL246" s="36">
        <v>21</v>
      </c>
      <c r="AM246" s="36">
        <f>G246*0.513614300072924</f>
        <v>0</v>
      </c>
      <c r="AN246" s="36">
        <f>G246*(1-0.513614300072924)</f>
        <v>0</v>
      </c>
      <c r="AO246" s="32" t="s">
        <v>13</v>
      </c>
      <c r="AT246" s="36">
        <f>AU246+AV246</f>
        <v>0</v>
      </c>
      <c r="AU246" s="36">
        <f>F246*AM246</f>
        <v>0</v>
      </c>
      <c r="AV246" s="36">
        <f>F246*AN246</f>
        <v>0</v>
      </c>
      <c r="AW246" s="37" t="s">
        <v>682</v>
      </c>
      <c r="AX246" s="37" t="s">
        <v>697</v>
      </c>
      <c r="AY246" s="28" t="s">
        <v>705</v>
      </c>
      <c r="BA246" s="36">
        <f>AU246+AV246</f>
        <v>0</v>
      </c>
      <c r="BB246" s="36">
        <f>G246/(100-BC246)*100</f>
        <v>0</v>
      </c>
      <c r="BC246" s="36">
        <v>0</v>
      </c>
      <c r="BD246" s="36">
        <f>J246</f>
        <v>0.9049065000000001</v>
      </c>
      <c r="BF246" s="20">
        <f>F246*AM246</f>
        <v>0</v>
      </c>
      <c r="BG246" s="20">
        <f>F246*AN246</f>
        <v>0</v>
      </c>
      <c r="BH246" s="20">
        <f>F246*G246</f>
        <v>0</v>
      </c>
    </row>
    <row r="247" spans="1:11" ht="12.75">
      <c r="A247" s="70"/>
      <c r="B247" s="70"/>
      <c r="C247" s="70"/>
      <c r="D247" s="71" t="s">
        <v>509</v>
      </c>
      <c r="E247" s="70"/>
      <c r="F247" s="72">
        <v>87.855</v>
      </c>
      <c r="G247" s="70"/>
      <c r="H247" s="101"/>
      <c r="I247" s="82"/>
      <c r="J247" s="82"/>
      <c r="K247" s="62"/>
    </row>
    <row r="248" spans="1:60" ht="12.75">
      <c r="A248" s="64" t="s">
        <v>104</v>
      </c>
      <c r="B248" s="64" t="s">
        <v>158</v>
      </c>
      <c r="C248" s="64" t="s">
        <v>260</v>
      </c>
      <c r="D248" s="64" t="s">
        <v>510</v>
      </c>
      <c r="E248" s="64" t="s">
        <v>631</v>
      </c>
      <c r="F248" s="67">
        <v>80</v>
      </c>
      <c r="G248" s="68"/>
      <c r="H248" s="100">
        <f>F248*G248</f>
        <v>0</v>
      </c>
      <c r="I248" s="81">
        <v>0.00081</v>
      </c>
      <c r="J248" s="81">
        <f>F248*I248</f>
        <v>0.0648</v>
      </c>
      <c r="K248" s="61" t="s">
        <v>653</v>
      </c>
      <c r="X248" s="36">
        <f>IF(AO248="5",BH248,0)</f>
        <v>0</v>
      </c>
      <c r="Z248" s="36">
        <f>IF(AO248="1",BF248,0)</f>
        <v>0</v>
      </c>
      <c r="AA248" s="36">
        <f>IF(AO248="1",BG248,0)</f>
        <v>0</v>
      </c>
      <c r="AB248" s="36">
        <f>IF(AO248="7",BF248,0)</f>
        <v>0</v>
      </c>
      <c r="AC248" s="36">
        <f>IF(AO248="7",BG248,0)</f>
        <v>0</v>
      </c>
      <c r="AD248" s="36">
        <f>IF(AO248="2",BF248,0)</f>
        <v>0</v>
      </c>
      <c r="AE248" s="36">
        <f>IF(AO248="2",BG248,0)</f>
        <v>0</v>
      </c>
      <c r="AF248" s="36">
        <f>IF(AO248="0",BH248,0)</f>
        <v>0</v>
      </c>
      <c r="AG248" s="28" t="s">
        <v>158</v>
      </c>
      <c r="AH248" s="20">
        <f>IF(AL248=0,H248,0)</f>
        <v>0</v>
      </c>
      <c r="AI248" s="20">
        <f>IF(AL248=15,H248,0)</f>
        <v>0</v>
      </c>
      <c r="AJ248" s="20">
        <f>IF(AL248=21,H248,0)</f>
        <v>0</v>
      </c>
      <c r="AL248" s="36">
        <v>21</v>
      </c>
      <c r="AM248" s="36">
        <f>G248*0.407155087617035</f>
        <v>0</v>
      </c>
      <c r="AN248" s="36">
        <f>G248*(1-0.407155087617035)</f>
        <v>0</v>
      </c>
      <c r="AO248" s="32" t="s">
        <v>13</v>
      </c>
      <c r="AT248" s="36">
        <f>AU248+AV248</f>
        <v>0</v>
      </c>
      <c r="AU248" s="36">
        <f>F248*AM248</f>
        <v>0</v>
      </c>
      <c r="AV248" s="36">
        <f>F248*AN248</f>
        <v>0</v>
      </c>
      <c r="AW248" s="37" t="s">
        <v>682</v>
      </c>
      <c r="AX248" s="37" t="s">
        <v>697</v>
      </c>
      <c r="AY248" s="28" t="s">
        <v>705</v>
      </c>
      <c r="BA248" s="36">
        <f>AU248+AV248</f>
        <v>0</v>
      </c>
      <c r="BB248" s="36">
        <f>G248/(100-BC248)*100</f>
        <v>0</v>
      </c>
      <c r="BC248" s="36">
        <v>0</v>
      </c>
      <c r="BD248" s="36">
        <f>J248</f>
        <v>0.0648</v>
      </c>
      <c r="BF248" s="20">
        <f>F248*AM248</f>
        <v>0</v>
      </c>
      <c r="BG248" s="20">
        <f>F248*AN248</f>
        <v>0</v>
      </c>
      <c r="BH248" s="20">
        <f>F248*G248</f>
        <v>0</v>
      </c>
    </row>
    <row r="249" spans="1:11" ht="12.75">
      <c r="A249" s="70"/>
      <c r="B249" s="70"/>
      <c r="C249" s="70"/>
      <c r="D249" s="71" t="s">
        <v>511</v>
      </c>
      <c r="E249" s="70"/>
      <c r="F249" s="72">
        <v>80</v>
      </c>
      <c r="G249" s="70"/>
      <c r="H249" s="101"/>
      <c r="I249" s="82"/>
      <c r="J249" s="82"/>
      <c r="K249" s="62"/>
    </row>
    <row r="250" spans="1:60" ht="12.75">
      <c r="A250" s="64" t="s">
        <v>105</v>
      </c>
      <c r="B250" s="64" t="s">
        <v>158</v>
      </c>
      <c r="C250" s="64" t="s">
        <v>261</v>
      </c>
      <c r="D250" s="64" t="s">
        <v>512</v>
      </c>
      <c r="E250" s="64" t="s">
        <v>633</v>
      </c>
      <c r="F250" s="67">
        <v>2.13</v>
      </c>
      <c r="G250" s="68"/>
      <c r="H250" s="100">
        <f>F250*G250</f>
        <v>0</v>
      </c>
      <c r="I250" s="81">
        <v>0</v>
      </c>
      <c r="J250" s="81">
        <f>F250*I250</f>
        <v>0</v>
      </c>
      <c r="K250" s="61" t="s">
        <v>653</v>
      </c>
      <c r="X250" s="36">
        <f>IF(AO250="5",BH250,0)</f>
        <v>0</v>
      </c>
      <c r="Z250" s="36">
        <f>IF(AO250="1",BF250,0)</f>
        <v>0</v>
      </c>
      <c r="AA250" s="36">
        <f>IF(AO250="1",BG250,0)</f>
        <v>0</v>
      </c>
      <c r="AB250" s="36">
        <f>IF(AO250="7",BF250,0)</f>
        <v>0</v>
      </c>
      <c r="AC250" s="36">
        <f>IF(AO250="7",BG250,0)</f>
        <v>0</v>
      </c>
      <c r="AD250" s="36">
        <f>IF(AO250="2",BF250,0)</f>
        <v>0</v>
      </c>
      <c r="AE250" s="36">
        <f>IF(AO250="2",BG250,0)</f>
        <v>0</v>
      </c>
      <c r="AF250" s="36">
        <f>IF(AO250="0",BH250,0)</f>
        <v>0</v>
      </c>
      <c r="AG250" s="28" t="s">
        <v>158</v>
      </c>
      <c r="AH250" s="20">
        <f>IF(AL250=0,H250,0)</f>
        <v>0</v>
      </c>
      <c r="AI250" s="20">
        <f>IF(AL250=15,H250,0)</f>
        <v>0</v>
      </c>
      <c r="AJ250" s="20">
        <f>IF(AL250=21,H250,0)</f>
        <v>0</v>
      </c>
      <c r="AL250" s="36">
        <v>21</v>
      </c>
      <c r="AM250" s="36">
        <f>G250*0</f>
        <v>0</v>
      </c>
      <c r="AN250" s="36">
        <f>G250*(1-0)</f>
        <v>0</v>
      </c>
      <c r="AO250" s="32" t="s">
        <v>11</v>
      </c>
      <c r="AT250" s="36">
        <f>AU250+AV250</f>
        <v>0</v>
      </c>
      <c r="AU250" s="36">
        <f>F250*AM250</f>
        <v>0</v>
      </c>
      <c r="AV250" s="36">
        <f>F250*AN250</f>
        <v>0</v>
      </c>
      <c r="AW250" s="37" t="s">
        <v>682</v>
      </c>
      <c r="AX250" s="37" t="s">
        <v>697</v>
      </c>
      <c r="AY250" s="28" t="s">
        <v>705</v>
      </c>
      <c r="BA250" s="36">
        <f>AU250+AV250</f>
        <v>0</v>
      </c>
      <c r="BB250" s="36">
        <f>G250/(100-BC250)*100</f>
        <v>0</v>
      </c>
      <c r="BC250" s="36">
        <v>0</v>
      </c>
      <c r="BD250" s="36">
        <f>J250</f>
        <v>0</v>
      </c>
      <c r="BF250" s="20">
        <f>F250*AM250</f>
        <v>0</v>
      </c>
      <c r="BG250" s="20">
        <f>F250*AN250</f>
        <v>0</v>
      </c>
      <c r="BH250" s="20">
        <f>F250*G250</f>
        <v>0</v>
      </c>
    </row>
    <row r="251" spans="1:11" ht="12.75">
      <c r="A251" s="65"/>
      <c r="B251" s="65"/>
      <c r="C251" s="65"/>
      <c r="D251" s="66" t="s">
        <v>513</v>
      </c>
      <c r="E251" s="65"/>
      <c r="F251" s="69">
        <v>2.13</v>
      </c>
      <c r="G251" s="65"/>
      <c r="H251" s="65"/>
      <c r="I251" s="83"/>
      <c r="J251" s="83"/>
      <c r="K251" s="63"/>
    </row>
    <row r="252" spans="1:45" ht="12.75">
      <c r="A252" s="4"/>
      <c r="B252" s="14" t="s">
        <v>158</v>
      </c>
      <c r="C252" s="14" t="s">
        <v>262</v>
      </c>
      <c r="D252" s="14" t="s">
        <v>514</v>
      </c>
      <c r="E252" s="4" t="s">
        <v>6</v>
      </c>
      <c r="F252" s="4" t="s">
        <v>6</v>
      </c>
      <c r="G252" s="4"/>
      <c r="H252" s="39">
        <f>SUM(H253:H258)</f>
        <v>0</v>
      </c>
      <c r="I252" s="80"/>
      <c r="J252" s="80">
        <f>SUM(J253:J258)</f>
        <v>1.1741844000000001</v>
      </c>
      <c r="K252" s="28"/>
      <c r="AG252" s="28" t="s">
        <v>158</v>
      </c>
      <c r="AQ252" s="39">
        <f>SUM(AH253:AH258)</f>
        <v>0</v>
      </c>
      <c r="AR252" s="39">
        <f>SUM(AI253:AI258)</f>
        <v>0</v>
      </c>
      <c r="AS252" s="39">
        <f>SUM(AJ253:AJ258)</f>
        <v>0</v>
      </c>
    </row>
    <row r="253" spans="1:60" ht="12.75">
      <c r="A253" s="64" t="s">
        <v>106</v>
      </c>
      <c r="B253" s="64" t="s">
        <v>158</v>
      </c>
      <c r="C253" s="64" t="s">
        <v>263</v>
      </c>
      <c r="D253" s="64" t="s">
        <v>515</v>
      </c>
      <c r="E253" s="64" t="s">
        <v>631</v>
      </c>
      <c r="F253" s="67">
        <v>117.89</v>
      </c>
      <c r="G253" s="68"/>
      <c r="H253" s="100">
        <f>F253*G253</f>
        <v>0</v>
      </c>
      <c r="I253" s="81">
        <v>0.00033</v>
      </c>
      <c r="J253" s="81">
        <f>F253*I253</f>
        <v>0.0389037</v>
      </c>
      <c r="K253" s="61" t="s">
        <v>653</v>
      </c>
      <c r="X253" s="36">
        <f>IF(AO253="5",BH253,0)</f>
        <v>0</v>
      </c>
      <c r="Z253" s="36">
        <f>IF(AO253="1",BF253,0)</f>
        <v>0</v>
      </c>
      <c r="AA253" s="36">
        <f>IF(AO253="1",BG253,0)</f>
        <v>0</v>
      </c>
      <c r="AB253" s="36">
        <f>IF(AO253="7",BF253,0)</f>
        <v>0</v>
      </c>
      <c r="AC253" s="36">
        <f>IF(AO253="7",BG253,0)</f>
        <v>0</v>
      </c>
      <c r="AD253" s="36">
        <f>IF(AO253="2",BF253,0)</f>
        <v>0</v>
      </c>
      <c r="AE253" s="36">
        <f>IF(AO253="2",BG253,0)</f>
        <v>0</v>
      </c>
      <c r="AF253" s="36">
        <f>IF(AO253="0",BH253,0)</f>
        <v>0</v>
      </c>
      <c r="AG253" s="28" t="s">
        <v>158</v>
      </c>
      <c r="AH253" s="20">
        <f>IF(AL253=0,H253,0)</f>
        <v>0</v>
      </c>
      <c r="AI253" s="20">
        <f>IF(AL253=15,H253,0)</f>
        <v>0</v>
      </c>
      <c r="AJ253" s="20">
        <f>IF(AL253=21,H253,0)</f>
        <v>0</v>
      </c>
      <c r="AL253" s="36">
        <v>21</v>
      </c>
      <c r="AM253" s="36">
        <f>G253*0.566305044010622</f>
        <v>0</v>
      </c>
      <c r="AN253" s="36">
        <f>G253*(1-0.566305044010622)</f>
        <v>0</v>
      </c>
      <c r="AO253" s="32" t="s">
        <v>13</v>
      </c>
      <c r="AT253" s="36">
        <f>AU253+AV253</f>
        <v>0</v>
      </c>
      <c r="AU253" s="36">
        <f>F253*AM253</f>
        <v>0</v>
      </c>
      <c r="AV253" s="36">
        <f>F253*AN253</f>
        <v>0</v>
      </c>
      <c r="AW253" s="37" t="s">
        <v>683</v>
      </c>
      <c r="AX253" s="37" t="s">
        <v>697</v>
      </c>
      <c r="AY253" s="28" t="s">
        <v>705</v>
      </c>
      <c r="BA253" s="36">
        <f>AU253+AV253</f>
        <v>0</v>
      </c>
      <c r="BB253" s="36">
        <f>G253/(100-BC253)*100</f>
        <v>0</v>
      </c>
      <c r="BC253" s="36">
        <v>0</v>
      </c>
      <c r="BD253" s="36">
        <f>J253</f>
        <v>0.0389037</v>
      </c>
      <c r="BF253" s="20">
        <f>F253*AM253</f>
        <v>0</v>
      </c>
      <c r="BG253" s="20">
        <f>F253*AN253</f>
        <v>0</v>
      </c>
      <c r="BH253" s="20">
        <f>F253*G253</f>
        <v>0</v>
      </c>
    </row>
    <row r="254" spans="1:11" ht="12.75">
      <c r="A254" s="70"/>
      <c r="B254" s="70"/>
      <c r="C254" s="70"/>
      <c r="D254" s="71" t="s">
        <v>516</v>
      </c>
      <c r="E254" s="70"/>
      <c r="F254" s="72">
        <v>96.39</v>
      </c>
      <c r="G254" s="70"/>
      <c r="H254" s="101"/>
      <c r="I254" s="82"/>
      <c r="J254" s="82"/>
      <c r="K254" s="62"/>
    </row>
    <row r="255" spans="1:11" ht="12.75">
      <c r="A255" s="70"/>
      <c r="B255" s="70"/>
      <c r="C255" s="70"/>
      <c r="D255" s="71" t="s">
        <v>517</v>
      </c>
      <c r="E255" s="70"/>
      <c r="F255" s="72">
        <v>21.5</v>
      </c>
      <c r="G255" s="70"/>
      <c r="H255" s="101"/>
      <c r="I255" s="82"/>
      <c r="J255" s="82"/>
      <c r="K255" s="62"/>
    </row>
    <row r="256" spans="1:60" ht="12.75">
      <c r="A256" s="64" t="s">
        <v>107</v>
      </c>
      <c r="B256" s="64" t="s">
        <v>158</v>
      </c>
      <c r="C256" s="64" t="s">
        <v>264</v>
      </c>
      <c r="D256" s="64" t="s">
        <v>518</v>
      </c>
      <c r="E256" s="64" t="s">
        <v>631</v>
      </c>
      <c r="F256" s="67">
        <v>117.89</v>
      </c>
      <c r="G256" s="68"/>
      <c r="H256" s="100">
        <f>F256*G256</f>
        <v>0</v>
      </c>
      <c r="I256" s="81">
        <v>0.00963</v>
      </c>
      <c r="J256" s="81">
        <f>F256*I256</f>
        <v>1.1352807</v>
      </c>
      <c r="K256" s="61" t="s">
        <v>653</v>
      </c>
      <c r="X256" s="36">
        <f>IF(AO256="5",BH256,0)</f>
        <v>0</v>
      </c>
      <c r="Z256" s="36">
        <f>IF(AO256="1",BF256,0)</f>
        <v>0</v>
      </c>
      <c r="AA256" s="36">
        <f>IF(AO256="1",BG256,0)</f>
        <v>0</v>
      </c>
      <c r="AB256" s="36">
        <f>IF(AO256="7",BF256,0)</f>
        <v>0</v>
      </c>
      <c r="AC256" s="36">
        <f>IF(AO256="7",BG256,0)</f>
        <v>0</v>
      </c>
      <c r="AD256" s="36">
        <f>IF(AO256="2",BF256,0)</f>
        <v>0</v>
      </c>
      <c r="AE256" s="36">
        <f>IF(AO256="2",BG256,0)</f>
        <v>0</v>
      </c>
      <c r="AF256" s="36">
        <f>IF(AO256="0",BH256,0)</f>
        <v>0</v>
      </c>
      <c r="AG256" s="28" t="s">
        <v>158</v>
      </c>
      <c r="AH256" s="20">
        <f>IF(AL256=0,H256,0)</f>
        <v>0</v>
      </c>
      <c r="AI256" s="20">
        <f>IF(AL256=15,H256,0)</f>
        <v>0</v>
      </c>
      <c r="AJ256" s="20">
        <f>IF(AL256=21,H256,0)</f>
        <v>0</v>
      </c>
      <c r="AL256" s="36">
        <v>21</v>
      </c>
      <c r="AM256" s="36">
        <f>G256*0.550586854460094</f>
        <v>0</v>
      </c>
      <c r="AN256" s="36">
        <f>G256*(1-0.550586854460094)</f>
        <v>0</v>
      </c>
      <c r="AO256" s="32" t="s">
        <v>13</v>
      </c>
      <c r="AT256" s="36">
        <f>AU256+AV256</f>
        <v>0</v>
      </c>
      <c r="AU256" s="36">
        <f>F256*AM256</f>
        <v>0</v>
      </c>
      <c r="AV256" s="36">
        <f>F256*AN256</f>
        <v>0</v>
      </c>
      <c r="AW256" s="37" t="s">
        <v>683</v>
      </c>
      <c r="AX256" s="37" t="s">
        <v>697</v>
      </c>
      <c r="AY256" s="28" t="s">
        <v>705</v>
      </c>
      <c r="BA256" s="36">
        <f>AU256+AV256</f>
        <v>0</v>
      </c>
      <c r="BB256" s="36">
        <f>G256/(100-BC256)*100</f>
        <v>0</v>
      </c>
      <c r="BC256" s="36">
        <v>0</v>
      </c>
      <c r="BD256" s="36">
        <f>J256</f>
        <v>1.1352807</v>
      </c>
      <c r="BF256" s="20">
        <f>F256*AM256</f>
        <v>0</v>
      </c>
      <c r="BG256" s="20">
        <f>F256*AN256</f>
        <v>0</v>
      </c>
      <c r="BH256" s="20">
        <f>F256*G256</f>
        <v>0</v>
      </c>
    </row>
    <row r="257" spans="1:11" ht="12.75">
      <c r="A257" s="70"/>
      <c r="B257" s="70"/>
      <c r="C257" s="70"/>
      <c r="D257" s="71" t="s">
        <v>519</v>
      </c>
      <c r="E257" s="70"/>
      <c r="F257" s="72">
        <v>117.89</v>
      </c>
      <c r="G257" s="70"/>
      <c r="H257" s="101"/>
      <c r="I257" s="82"/>
      <c r="J257" s="82"/>
      <c r="K257" s="62"/>
    </row>
    <row r="258" spans="1:60" ht="12.75">
      <c r="A258" s="64" t="s">
        <v>108</v>
      </c>
      <c r="B258" s="64" t="s">
        <v>158</v>
      </c>
      <c r="C258" s="64" t="s">
        <v>265</v>
      </c>
      <c r="D258" s="64" t="s">
        <v>520</v>
      </c>
      <c r="E258" s="64" t="s">
        <v>633</v>
      </c>
      <c r="F258" s="67">
        <v>1.22</v>
      </c>
      <c r="G258" s="68"/>
      <c r="H258" s="100">
        <f>F258*G258</f>
        <v>0</v>
      </c>
      <c r="I258" s="81">
        <v>0</v>
      </c>
      <c r="J258" s="81">
        <f>F258*I258</f>
        <v>0</v>
      </c>
      <c r="K258" s="61" t="s">
        <v>653</v>
      </c>
      <c r="X258" s="36">
        <f>IF(AO258="5",BH258,0)</f>
        <v>0</v>
      </c>
      <c r="Z258" s="36">
        <f>IF(AO258="1",BF258,0)</f>
        <v>0</v>
      </c>
      <c r="AA258" s="36">
        <f>IF(AO258="1",BG258,0)</f>
        <v>0</v>
      </c>
      <c r="AB258" s="36">
        <f>IF(AO258="7",BF258,0)</f>
        <v>0</v>
      </c>
      <c r="AC258" s="36">
        <f>IF(AO258="7",BG258,0)</f>
        <v>0</v>
      </c>
      <c r="AD258" s="36">
        <f>IF(AO258="2",BF258,0)</f>
        <v>0</v>
      </c>
      <c r="AE258" s="36">
        <f>IF(AO258="2",BG258,0)</f>
        <v>0</v>
      </c>
      <c r="AF258" s="36">
        <f>IF(AO258="0",BH258,0)</f>
        <v>0</v>
      </c>
      <c r="AG258" s="28" t="s">
        <v>158</v>
      </c>
      <c r="AH258" s="20">
        <f>IF(AL258=0,H258,0)</f>
        <v>0</v>
      </c>
      <c r="AI258" s="20">
        <f>IF(AL258=15,H258,0)</f>
        <v>0</v>
      </c>
      <c r="AJ258" s="20">
        <f>IF(AL258=21,H258,0)</f>
        <v>0</v>
      </c>
      <c r="AL258" s="36">
        <v>21</v>
      </c>
      <c r="AM258" s="36">
        <f>G258*0</f>
        <v>0</v>
      </c>
      <c r="AN258" s="36">
        <f>G258*(1-0)</f>
        <v>0</v>
      </c>
      <c r="AO258" s="32" t="s">
        <v>11</v>
      </c>
      <c r="AT258" s="36">
        <f>AU258+AV258</f>
        <v>0</v>
      </c>
      <c r="AU258" s="36">
        <f>F258*AM258</f>
        <v>0</v>
      </c>
      <c r="AV258" s="36">
        <f>F258*AN258</f>
        <v>0</v>
      </c>
      <c r="AW258" s="37" t="s">
        <v>683</v>
      </c>
      <c r="AX258" s="37" t="s">
        <v>697</v>
      </c>
      <c r="AY258" s="28" t="s">
        <v>705</v>
      </c>
      <c r="BA258" s="36">
        <f>AU258+AV258</f>
        <v>0</v>
      </c>
      <c r="BB258" s="36">
        <f>G258/(100-BC258)*100</f>
        <v>0</v>
      </c>
      <c r="BC258" s="36">
        <v>0</v>
      </c>
      <c r="BD258" s="36">
        <f>J258</f>
        <v>0</v>
      </c>
      <c r="BF258" s="20">
        <f>F258*AM258</f>
        <v>0</v>
      </c>
      <c r="BG258" s="20">
        <f>F258*AN258</f>
        <v>0</v>
      </c>
      <c r="BH258" s="20">
        <f>F258*G258</f>
        <v>0</v>
      </c>
    </row>
    <row r="259" spans="1:11" ht="12.75">
      <c r="A259" s="65"/>
      <c r="B259" s="65"/>
      <c r="C259" s="65"/>
      <c r="D259" s="66" t="s">
        <v>521</v>
      </c>
      <c r="E259" s="65"/>
      <c r="F259" s="69">
        <v>1.22</v>
      </c>
      <c r="G259" s="65"/>
      <c r="H259" s="65"/>
      <c r="I259" s="83"/>
      <c r="J259" s="83"/>
      <c r="K259" s="63"/>
    </row>
    <row r="260" spans="1:45" ht="12.75">
      <c r="A260" s="4"/>
      <c r="B260" s="14" t="s">
        <v>158</v>
      </c>
      <c r="C260" s="14" t="s">
        <v>266</v>
      </c>
      <c r="D260" s="14" t="s">
        <v>522</v>
      </c>
      <c r="E260" s="4" t="s">
        <v>6</v>
      </c>
      <c r="F260" s="4" t="s">
        <v>6</v>
      </c>
      <c r="G260" s="4"/>
      <c r="H260" s="39">
        <f>SUM(H261:H267)</f>
        <v>0</v>
      </c>
      <c r="I260" s="80"/>
      <c r="J260" s="80">
        <f>SUM(J261:J267)</f>
        <v>0.10396999999999999</v>
      </c>
      <c r="K260" s="28"/>
      <c r="AG260" s="28" t="s">
        <v>158</v>
      </c>
      <c r="AQ260" s="39">
        <f>SUM(AH261:AH267)</f>
        <v>0</v>
      </c>
      <c r="AR260" s="39">
        <f>SUM(AI261:AI267)</f>
        <v>0</v>
      </c>
      <c r="AS260" s="39">
        <f>SUM(AJ261:AJ267)</f>
        <v>0</v>
      </c>
    </row>
    <row r="261" spans="1:60" ht="12.75">
      <c r="A261" s="64" t="s">
        <v>109</v>
      </c>
      <c r="B261" s="64" t="s">
        <v>158</v>
      </c>
      <c r="C261" s="64" t="s">
        <v>267</v>
      </c>
      <c r="D261" s="64" t="s">
        <v>523</v>
      </c>
      <c r="E261" s="64" t="s">
        <v>634</v>
      </c>
      <c r="F261" s="67">
        <v>2</v>
      </c>
      <c r="G261" s="68"/>
      <c r="H261" s="100">
        <f>F261*G261</f>
        <v>0</v>
      </c>
      <c r="I261" s="81">
        <v>0.00108</v>
      </c>
      <c r="J261" s="81">
        <f>F261*I261</f>
        <v>0.00216</v>
      </c>
      <c r="K261" s="61" t="s">
        <v>654</v>
      </c>
      <c r="X261" s="36">
        <f>IF(AO261="5",BH261,0)</f>
        <v>0</v>
      </c>
      <c r="Z261" s="36">
        <f>IF(AO261="1",BF261,0)</f>
        <v>0</v>
      </c>
      <c r="AA261" s="36">
        <f>IF(AO261="1",BG261,0)</f>
        <v>0</v>
      </c>
      <c r="AB261" s="36">
        <f>IF(AO261="7",BF261,0)</f>
        <v>0</v>
      </c>
      <c r="AC261" s="36">
        <f>IF(AO261="7",BG261,0)</f>
        <v>0</v>
      </c>
      <c r="AD261" s="36">
        <f>IF(AO261="2",BF261,0)</f>
        <v>0</v>
      </c>
      <c r="AE261" s="36">
        <f>IF(AO261="2",BG261,0)</f>
        <v>0</v>
      </c>
      <c r="AF261" s="36">
        <f>IF(AO261="0",BH261,0)</f>
        <v>0</v>
      </c>
      <c r="AG261" s="28" t="s">
        <v>158</v>
      </c>
      <c r="AH261" s="20">
        <f>IF(AL261=0,H261,0)</f>
        <v>0</v>
      </c>
      <c r="AI261" s="20">
        <f>IF(AL261=15,H261,0)</f>
        <v>0</v>
      </c>
      <c r="AJ261" s="20">
        <f>IF(AL261=21,H261,0)</f>
        <v>0</v>
      </c>
      <c r="AL261" s="36">
        <v>21</v>
      </c>
      <c r="AM261" s="36">
        <f>G261*0.8266</f>
        <v>0</v>
      </c>
      <c r="AN261" s="36">
        <f>G261*(1-0.8266)</f>
        <v>0</v>
      </c>
      <c r="AO261" s="32" t="s">
        <v>13</v>
      </c>
      <c r="AT261" s="36">
        <f>AU261+AV261</f>
        <v>0</v>
      </c>
      <c r="AU261" s="36">
        <f>F261*AM261</f>
        <v>0</v>
      </c>
      <c r="AV261" s="36">
        <f>F261*AN261</f>
        <v>0</v>
      </c>
      <c r="AW261" s="37" t="s">
        <v>684</v>
      </c>
      <c r="AX261" s="37" t="s">
        <v>698</v>
      </c>
      <c r="AY261" s="28" t="s">
        <v>705</v>
      </c>
      <c r="BA261" s="36">
        <f>AU261+AV261</f>
        <v>0</v>
      </c>
      <c r="BB261" s="36">
        <f>G261/(100-BC261)*100</f>
        <v>0</v>
      </c>
      <c r="BC261" s="36">
        <v>0</v>
      </c>
      <c r="BD261" s="36">
        <f>J261</f>
        <v>0.00216</v>
      </c>
      <c r="BF261" s="20">
        <f>F261*AM261</f>
        <v>0</v>
      </c>
      <c r="BG261" s="20">
        <f>F261*AN261</f>
        <v>0</v>
      </c>
      <c r="BH261" s="20">
        <f>F261*G261</f>
        <v>0</v>
      </c>
    </row>
    <row r="262" spans="1:11" ht="12.75">
      <c r="A262" s="70"/>
      <c r="B262" s="70"/>
      <c r="C262" s="70"/>
      <c r="D262" s="71" t="s">
        <v>524</v>
      </c>
      <c r="E262" s="70"/>
      <c r="F262" s="72">
        <v>2</v>
      </c>
      <c r="G262" s="70"/>
      <c r="H262" s="101"/>
      <c r="I262" s="82"/>
      <c r="J262" s="82"/>
      <c r="K262" s="62"/>
    </row>
    <row r="263" spans="1:60" ht="12.75">
      <c r="A263" s="64" t="s">
        <v>110</v>
      </c>
      <c r="B263" s="64" t="s">
        <v>158</v>
      </c>
      <c r="C263" s="64" t="s">
        <v>268</v>
      </c>
      <c r="D263" s="64" t="s">
        <v>525</v>
      </c>
      <c r="E263" s="64" t="s">
        <v>632</v>
      </c>
      <c r="F263" s="67">
        <v>8.5</v>
      </c>
      <c r="G263" s="68"/>
      <c r="H263" s="100">
        <f>F263*G263</f>
        <v>0</v>
      </c>
      <c r="I263" s="81">
        <v>0.00131</v>
      </c>
      <c r="J263" s="81">
        <f>F263*I263</f>
        <v>0.011134999999999999</v>
      </c>
      <c r="K263" s="61" t="s">
        <v>653</v>
      </c>
      <c r="X263" s="36">
        <f>IF(AO263="5",BH263,0)</f>
        <v>0</v>
      </c>
      <c r="Z263" s="36">
        <f>IF(AO263="1",BF263,0)</f>
        <v>0</v>
      </c>
      <c r="AA263" s="36">
        <f>IF(AO263="1",BG263,0)</f>
        <v>0</v>
      </c>
      <c r="AB263" s="36">
        <f>IF(AO263="7",BF263,0)</f>
        <v>0</v>
      </c>
      <c r="AC263" s="36">
        <f>IF(AO263="7",BG263,0)</f>
        <v>0</v>
      </c>
      <c r="AD263" s="36">
        <f>IF(AO263="2",BF263,0)</f>
        <v>0</v>
      </c>
      <c r="AE263" s="36">
        <f>IF(AO263="2",BG263,0)</f>
        <v>0</v>
      </c>
      <c r="AF263" s="36">
        <f>IF(AO263="0",BH263,0)</f>
        <v>0</v>
      </c>
      <c r="AG263" s="28" t="s">
        <v>158</v>
      </c>
      <c r="AH263" s="20">
        <f>IF(AL263=0,H263,0)</f>
        <v>0</v>
      </c>
      <c r="AI263" s="20">
        <f>IF(AL263=15,H263,0)</f>
        <v>0</v>
      </c>
      <c r="AJ263" s="20">
        <f>IF(AL263=21,H263,0)</f>
        <v>0</v>
      </c>
      <c r="AL263" s="36">
        <v>21</v>
      </c>
      <c r="AM263" s="36">
        <f>G263*0.418488549618321</f>
        <v>0</v>
      </c>
      <c r="AN263" s="36">
        <f>G263*(1-0.418488549618321)</f>
        <v>0</v>
      </c>
      <c r="AO263" s="32" t="s">
        <v>13</v>
      </c>
      <c r="AT263" s="36">
        <f>AU263+AV263</f>
        <v>0</v>
      </c>
      <c r="AU263" s="36">
        <f>F263*AM263</f>
        <v>0</v>
      </c>
      <c r="AV263" s="36">
        <f>F263*AN263</f>
        <v>0</v>
      </c>
      <c r="AW263" s="37" t="s">
        <v>684</v>
      </c>
      <c r="AX263" s="37" t="s">
        <v>698</v>
      </c>
      <c r="AY263" s="28" t="s">
        <v>705</v>
      </c>
      <c r="BA263" s="36">
        <f>AU263+AV263</f>
        <v>0</v>
      </c>
      <c r="BB263" s="36">
        <f>G263/(100-BC263)*100</f>
        <v>0</v>
      </c>
      <c r="BC263" s="36">
        <v>0</v>
      </c>
      <c r="BD263" s="36">
        <f>J263</f>
        <v>0.011134999999999999</v>
      </c>
      <c r="BF263" s="20">
        <f>F263*AM263</f>
        <v>0</v>
      </c>
      <c r="BG263" s="20">
        <f>F263*AN263</f>
        <v>0</v>
      </c>
      <c r="BH263" s="20">
        <f>F263*G263</f>
        <v>0</v>
      </c>
    </row>
    <row r="264" spans="1:11" ht="12.75">
      <c r="A264" s="70"/>
      <c r="B264" s="70"/>
      <c r="C264" s="70"/>
      <c r="D264" s="71" t="s">
        <v>526</v>
      </c>
      <c r="E264" s="70"/>
      <c r="F264" s="72">
        <v>8.5</v>
      </c>
      <c r="G264" s="70"/>
      <c r="H264" s="101"/>
      <c r="I264" s="82"/>
      <c r="J264" s="82"/>
      <c r="K264" s="62"/>
    </row>
    <row r="265" spans="1:60" ht="12.75">
      <c r="A265" s="64" t="s">
        <v>111</v>
      </c>
      <c r="B265" s="64" t="s">
        <v>158</v>
      </c>
      <c r="C265" s="64" t="s">
        <v>269</v>
      </c>
      <c r="D265" s="64" t="s">
        <v>527</v>
      </c>
      <c r="E265" s="64" t="s">
        <v>632</v>
      </c>
      <c r="F265" s="67">
        <v>22.5</v>
      </c>
      <c r="G265" s="68"/>
      <c r="H265" s="100">
        <f>F265*G265</f>
        <v>0</v>
      </c>
      <c r="I265" s="81">
        <v>0.00403</v>
      </c>
      <c r="J265" s="81">
        <f>F265*I265</f>
        <v>0.09067499999999999</v>
      </c>
      <c r="K265" s="61" t="s">
        <v>653</v>
      </c>
      <c r="X265" s="36">
        <f>IF(AO265="5",BH265,0)</f>
        <v>0</v>
      </c>
      <c r="Z265" s="36">
        <f>IF(AO265="1",BF265,0)</f>
        <v>0</v>
      </c>
      <c r="AA265" s="36">
        <f>IF(AO265="1",BG265,0)</f>
        <v>0</v>
      </c>
      <c r="AB265" s="36">
        <f>IF(AO265="7",BF265,0)</f>
        <v>0</v>
      </c>
      <c r="AC265" s="36">
        <f>IF(AO265="7",BG265,0)</f>
        <v>0</v>
      </c>
      <c r="AD265" s="36">
        <f>IF(AO265="2",BF265,0)</f>
        <v>0</v>
      </c>
      <c r="AE265" s="36">
        <f>IF(AO265="2",BG265,0)</f>
        <v>0</v>
      </c>
      <c r="AF265" s="36">
        <f>IF(AO265="0",BH265,0)</f>
        <v>0</v>
      </c>
      <c r="AG265" s="28" t="s">
        <v>158</v>
      </c>
      <c r="AH265" s="20">
        <f>IF(AL265=0,H265,0)</f>
        <v>0</v>
      </c>
      <c r="AI265" s="20">
        <f>IF(AL265=15,H265,0)</f>
        <v>0</v>
      </c>
      <c r="AJ265" s="20">
        <f>IF(AL265=21,H265,0)</f>
        <v>0</v>
      </c>
      <c r="AL265" s="36">
        <v>21</v>
      </c>
      <c r="AM265" s="36">
        <f>G265*0.619629139072848</f>
        <v>0</v>
      </c>
      <c r="AN265" s="36">
        <f>G265*(1-0.619629139072848)</f>
        <v>0</v>
      </c>
      <c r="AO265" s="32" t="s">
        <v>13</v>
      </c>
      <c r="AT265" s="36">
        <f>AU265+AV265</f>
        <v>0</v>
      </c>
      <c r="AU265" s="36">
        <f>F265*AM265</f>
        <v>0</v>
      </c>
      <c r="AV265" s="36">
        <f>F265*AN265</f>
        <v>0</v>
      </c>
      <c r="AW265" s="37" t="s">
        <v>684</v>
      </c>
      <c r="AX265" s="37" t="s">
        <v>698</v>
      </c>
      <c r="AY265" s="28" t="s">
        <v>705</v>
      </c>
      <c r="BA265" s="36">
        <f>AU265+AV265</f>
        <v>0</v>
      </c>
      <c r="BB265" s="36">
        <f>G265/(100-BC265)*100</f>
        <v>0</v>
      </c>
      <c r="BC265" s="36">
        <v>0</v>
      </c>
      <c r="BD265" s="36">
        <f>J265</f>
        <v>0.09067499999999999</v>
      </c>
      <c r="BF265" s="20">
        <f>F265*AM265</f>
        <v>0</v>
      </c>
      <c r="BG265" s="20">
        <f>F265*AN265</f>
        <v>0</v>
      </c>
      <c r="BH265" s="20">
        <f>F265*G265</f>
        <v>0</v>
      </c>
    </row>
    <row r="266" spans="1:11" ht="12.75">
      <c r="A266" s="70"/>
      <c r="B266" s="70"/>
      <c r="C266" s="70"/>
      <c r="D266" s="71" t="s">
        <v>528</v>
      </c>
      <c r="E266" s="70"/>
      <c r="F266" s="72">
        <v>22.5</v>
      </c>
      <c r="G266" s="70"/>
      <c r="H266" s="101"/>
      <c r="I266" s="82"/>
      <c r="J266" s="82"/>
      <c r="K266" s="62"/>
    </row>
    <row r="267" spans="1:60" ht="12.75">
      <c r="A267" s="64" t="s">
        <v>112</v>
      </c>
      <c r="B267" s="64" t="s">
        <v>158</v>
      </c>
      <c r="C267" s="64" t="s">
        <v>270</v>
      </c>
      <c r="D267" s="64" t="s">
        <v>529</v>
      </c>
      <c r="E267" s="64" t="s">
        <v>633</v>
      </c>
      <c r="F267" s="67">
        <v>0.11</v>
      </c>
      <c r="G267" s="68"/>
      <c r="H267" s="100">
        <f>F267*G267</f>
        <v>0</v>
      </c>
      <c r="I267" s="81">
        <v>0</v>
      </c>
      <c r="J267" s="81">
        <f>F267*I267</f>
        <v>0</v>
      </c>
      <c r="K267" s="61" t="s">
        <v>653</v>
      </c>
      <c r="X267" s="36">
        <f>IF(AO267="5",BH267,0)</f>
        <v>0</v>
      </c>
      <c r="Z267" s="36">
        <f>IF(AO267="1",BF267,0)</f>
        <v>0</v>
      </c>
      <c r="AA267" s="36">
        <f>IF(AO267="1",BG267,0)</f>
        <v>0</v>
      </c>
      <c r="AB267" s="36">
        <f>IF(AO267="7",BF267,0)</f>
        <v>0</v>
      </c>
      <c r="AC267" s="36">
        <f>IF(AO267="7",BG267,0)</f>
        <v>0</v>
      </c>
      <c r="AD267" s="36">
        <f>IF(AO267="2",BF267,0)</f>
        <v>0</v>
      </c>
      <c r="AE267" s="36">
        <f>IF(AO267="2",BG267,0)</f>
        <v>0</v>
      </c>
      <c r="AF267" s="36">
        <f>IF(AO267="0",BH267,0)</f>
        <v>0</v>
      </c>
      <c r="AG267" s="28" t="s">
        <v>158</v>
      </c>
      <c r="AH267" s="20">
        <f>IF(AL267=0,H267,0)</f>
        <v>0</v>
      </c>
      <c r="AI267" s="20">
        <f>IF(AL267=15,H267,0)</f>
        <v>0</v>
      </c>
      <c r="AJ267" s="20">
        <f>IF(AL267=21,H267,0)</f>
        <v>0</v>
      </c>
      <c r="AL267" s="36">
        <v>21</v>
      </c>
      <c r="AM267" s="36">
        <f>G267*0</f>
        <v>0</v>
      </c>
      <c r="AN267" s="36">
        <f>G267*(1-0)</f>
        <v>0</v>
      </c>
      <c r="AO267" s="32" t="s">
        <v>11</v>
      </c>
      <c r="AT267" s="36">
        <f>AU267+AV267</f>
        <v>0</v>
      </c>
      <c r="AU267" s="36">
        <f>F267*AM267</f>
        <v>0</v>
      </c>
      <c r="AV267" s="36">
        <f>F267*AN267</f>
        <v>0</v>
      </c>
      <c r="AW267" s="37" t="s">
        <v>684</v>
      </c>
      <c r="AX267" s="37" t="s">
        <v>698</v>
      </c>
      <c r="AY267" s="28" t="s">
        <v>705</v>
      </c>
      <c r="BA267" s="36">
        <f>AU267+AV267</f>
        <v>0</v>
      </c>
      <c r="BB267" s="36">
        <f>G267/(100-BC267)*100</f>
        <v>0</v>
      </c>
      <c r="BC267" s="36">
        <v>0</v>
      </c>
      <c r="BD267" s="36">
        <f>J267</f>
        <v>0</v>
      </c>
      <c r="BF267" s="20">
        <f>F267*AM267</f>
        <v>0</v>
      </c>
      <c r="BG267" s="20">
        <f>F267*AN267</f>
        <v>0</v>
      </c>
      <c r="BH267" s="20">
        <f>F267*G267</f>
        <v>0</v>
      </c>
    </row>
    <row r="268" spans="1:11" ht="12.75">
      <c r="A268" s="65"/>
      <c r="B268" s="65"/>
      <c r="C268" s="65"/>
      <c r="D268" s="66" t="s">
        <v>530</v>
      </c>
      <c r="E268" s="65"/>
      <c r="F268" s="69">
        <v>0.11</v>
      </c>
      <c r="G268" s="65"/>
      <c r="H268" s="102"/>
      <c r="I268" s="83"/>
      <c r="J268" s="83"/>
      <c r="K268" s="63"/>
    </row>
    <row r="269" spans="1:45" ht="12.75">
      <c r="A269" s="4"/>
      <c r="B269" s="14" t="s">
        <v>158</v>
      </c>
      <c r="C269" s="14" t="s">
        <v>271</v>
      </c>
      <c r="D269" s="14" t="s">
        <v>531</v>
      </c>
      <c r="E269" s="4" t="s">
        <v>6</v>
      </c>
      <c r="F269" s="4" t="s">
        <v>6</v>
      </c>
      <c r="G269" s="4"/>
      <c r="H269" s="39">
        <f>SUM(H270:H276)</f>
        <v>0</v>
      </c>
      <c r="I269" s="80"/>
      <c r="J269" s="80">
        <f>SUM(J270:J276)</f>
        <v>0.192894</v>
      </c>
      <c r="K269" s="28"/>
      <c r="AG269" s="28" t="s">
        <v>158</v>
      </c>
      <c r="AQ269" s="39">
        <f>SUM(AH270:AH276)</f>
        <v>0</v>
      </c>
      <c r="AR269" s="39">
        <f>SUM(AI270:AI276)</f>
        <v>0</v>
      </c>
      <c r="AS269" s="39">
        <f>SUM(AJ270:AJ276)</f>
        <v>0</v>
      </c>
    </row>
    <row r="270" spans="1:60" ht="12.75">
      <c r="A270" s="64" t="s">
        <v>113</v>
      </c>
      <c r="B270" s="64" t="s">
        <v>158</v>
      </c>
      <c r="C270" s="64" t="s">
        <v>272</v>
      </c>
      <c r="D270" s="64" t="s">
        <v>532</v>
      </c>
      <c r="E270" s="64" t="s">
        <v>632</v>
      </c>
      <c r="F270" s="67">
        <v>1.8</v>
      </c>
      <c r="G270" s="68"/>
      <c r="H270" s="100">
        <f>F270*G270</f>
        <v>0</v>
      </c>
      <c r="I270" s="81">
        <v>0.00168</v>
      </c>
      <c r="J270" s="81">
        <f>F270*I270</f>
        <v>0.003024</v>
      </c>
      <c r="K270" s="61" t="s">
        <v>653</v>
      </c>
      <c r="X270" s="36">
        <f>IF(AO270="5",BH270,0)</f>
        <v>0</v>
      </c>
      <c r="Z270" s="36">
        <f>IF(AO270="1",BF270,0)</f>
        <v>0</v>
      </c>
      <c r="AA270" s="36">
        <f>IF(AO270="1",BG270,0)</f>
        <v>0</v>
      </c>
      <c r="AB270" s="36">
        <f>IF(AO270="7",BF270,0)</f>
        <v>0</v>
      </c>
      <c r="AC270" s="36">
        <f>IF(AO270="7",BG270,0)</f>
        <v>0</v>
      </c>
      <c r="AD270" s="36">
        <f>IF(AO270="2",BF270,0)</f>
        <v>0</v>
      </c>
      <c r="AE270" s="36">
        <f>IF(AO270="2",BG270,0)</f>
        <v>0</v>
      </c>
      <c r="AF270" s="36">
        <f>IF(AO270="0",BH270,0)</f>
        <v>0</v>
      </c>
      <c r="AG270" s="28" t="s">
        <v>158</v>
      </c>
      <c r="AH270" s="20">
        <f>IF(AL270=0,H270,0)</f>
        <v>0</v>
      </c>
      <c r="AI270" s="20">
        <f>IF(AL270=15,H270,0)</f>
        <v>0</v>
      </c>
      <c r="AJ270" s="20">
        <f>IF(AL270=21,H270,0)</f>
        <v>0</v>
      </c>
      <c r="AL270" s="36">
        <v>21</v>
      </c>
      <c r="AM270" s="36">
        <f>G270*0.204903100775194</f>
        <v>0</v>
      </c>
      <c r="AN270" s="36">
        <f>G270*(1-0.204903100775194)</f>
        <v>0</v>
      </c>
      <c r="AO270" s="32" t="s">
        <v>13</v>
      </c>
      <c r="AT270" s="36">
        <f>AU270+AV270</f>
        <v>0</v>
      </c>
      <c r="AU270" s="36">
        <f>F270*AM270</f>
        <v>0</v>
      </c>
      <c r="AV270" s="36">
        <f>F270*AN270</f>
        <v>0</v>
      </c>
      <c r="AW270" s="37" t="s">
        <v>685</v>
      </c>
      <c r="AX270" s="37" t="s">
        <v>699</v>
      </c>
      <c r="AY270" s="28" t="s">
        <v>705</v>
      </c>
      <c r="BA270" s="36">
        <f>AU270+AV270</f>
        <v>0</v>
      </c>
      <c r="BB270" s="36">
        <f>G270/(100-BC270)*100</f>
        <v>0</v>
      </c>
      <c r="BC270" s="36">
        <v>0</v>
      </c>
      <c r="BD270" s="36">
        <f>J270</f>
        <v>0.003024</v>
      </c>
      <c r="BF270" s="20">
        <f>F270*AM270</f>
        <v>0</v>
      </c>
      <c r="BG270" s="20">
        <f>F270*AN270</f>
        <v>0</v>
      </c>
      <c r="BH270" s="20">
        <f>F270*G270</f>
        <v>0</v>
      </c>
    </row>
    <row r="271" spans="1:11" ht="12.75">
      <c r="A271" s="70"/>
      <c r="B271" s="70"/>
      <c r="C271" s="70"/>
      <c r="D271" s="71" t="s">
        <v>533</v>
      </c>
      <c r="E271" s="70"/>
      <c r="F271" s="72">
        <v>1.8</v>
      </c>
      <c r="G271" s="70"/>
      <c r="H271" s="101"/>
      <c r="I271" s="82"/>
      <c r="J271" s="82"/>
      <c r="K271" s="62"/>
    </row>
    <row r="272" spans="1:60" ht="12.75">
      <c r="A272" s="64" t="s">
        <v>114</v>
      </c>
      <c r="B272" s="64" t="s">
        <v>158</v>
      </c>
      <c r="C272" s="64" t="s">
        <v>273</v>
      </c>
      <c r="D272" s="64" t="s">
        <v>534</v>
      </c>
      <c r="E272" s="64" t="s">
        <v>632</v>
      </c>
      <c r="F272" s="67">
        <v>43</v>
      </c>
      <c r="G272" s="68"/>
      <c r="H272" s="100">
        <f>F272*G272</f>
        <v>0</v>
      </c>
      <c r="I272" s="81">
        <v>0.00429</v>
      </c>
      <c r="J272" s="81">
        <f>F272*I272</f>
        <v>0.18447000000000002</v>
      </c>
      <c r="K272" s="61" t="s">
        <v>653</v>
      </c>
      <c r="X272" s="36">
        <f>IF(AO272="5",BH272,0)</f>
        <v>0</v>
      </c>
      <c r="Z272" s="36">
        <f>IF(AO272="1",BF272,0)</f>
        <v>0</v>
      </c>
      <c r="AA272" s="36">
        <f>IF(AO272="1",BG272,0)</f>
        <v>0</v>
      </c>
      <c r="AB272" s="36">
        <f>IF(AO272="7",BF272,0)</f>
        <v>0</v>
      </c>
      <c r="AC272" s="36">
        <f>IF(AO272="7",BG272,0)</f>
        <v>0</v>
      </c>
      <c r="AD272" s="36">
        <f>IF(AO272="2",BF272,0)</f>
        <v>0</v>
      </c>
      <c r="AE272" s="36">
        <f>IF(AO272="2",BG272,0)</f>
        <v>0</v>
      </c>
      <c r="AF272" s="36">
        <f>IF(AO272="0",BH272,0)</f>
        <v>0</v>
      </c>
      <c r="AG272" s="28" t="s">
        <v>158</v>
      </c>
      <c r="AH272" s="20">
        <f>IF(AL272=0,H272,0)</f>
        <v>0</v>
      </c>
      <c r="AI272" s="20">
        <f>IF(AL272=15,H272,0)</f>
        <v>0</v>
      </c>
      <c r="AJ272" s="20">
        <f>IF(AL272=21,H272,0)</f>
        <v>0</v>
      </c>
      <c r="AL272" s="36">
        <v>21</v>
      </c>
      <c r="AM272" s="36">
        <f>G272*0.362694958057843</f>
        <v>0</v>
      </c>
      <c r="AN272" s="36">
        <f>G272*(1-0.362694958057843)</f>
        <v>0</v>
      </c>
      <c r="AO272" s="32" t="s">
        <v>13</v>
      </c>
      <c r="AT272" s="36">
        <f>AU272+AV272</f>
        <v>0</v>
      </c>
      <c r="AU272" s="36">
        <f>F272*AM272</f>
        <v>0</v>
      </c>
      <c r="AV272" s="36">
        <f>F272*AN272</f>
        <v>0</v>
      </c>
      <c r="AW272" s="37" t="s">
        <v>685</v>
      </c>
      <c r="AX272" s="37" t="s">
        <v>699</v>
      </c>
      <c r="AY272" s="28" t="s">
        <v>705</v>
      </c>
      <c r="BA272" s="36">
        <f>AU272+AV272</f>
        <v>0</v>
      </c>
      <c r="BB272" s="36">
        <f>G272/(100-BC272)*100</f>
        <v>0</v>
      </c>
      <c r="BC272" s="36">
        <v>0</v>
      </c>
      <c r="BD272" s="36">
        <f>J272</f>
        <v>0.18447000000000002</v>
      </c>
      <c r="BF272" s="20">
        <f>F272*AM272</f>
        <v>0</v>
      </c>
      <c r="BG272" s="20">
        <f>F272*AN272</f>
        <v>0</v>
      </c>
      <c r="BH272" s="20">
        <f>F272*G272</f>
        <v>0</v>
      </c>
    </row>
    <row r="273" spans="1:11" ht="12.75">
      <c r="A273" s="70"/>
      <c r="B273" s="70"/>
      <c r="C273" s="70"/>
      <c r="D273" s="71" t="s">
        <v>535</v>
      </c>
      <c r="E273" s="70"/>
      <c r="F273" s="72">
        <v>43</v>
      </c>
      <c r="G273" s="70"/>
      <c r="H273" s="101"/>
      <c r="I273" s="82"/>
      <c r="J273" s="82"/>
      <c r="K273" s="62"/>
    </row>
    <row r="274" spans="1:60" ht="12.75">
      <c r="A274" s="64" t="s">
        <v>115</v>
      </c>
      <c r="B274" s="64" t="s">
        <v>158</v>
      </c>
      <c r="C274" s="64" t="s">
        <v>274</v>
      </c>
      <c r="D274" s="64" t="s">
        <v>536</v>
      </c>
      <c r="E274" s="64" t="s">
        <v>634</v>
      </c>
      <c r="F274" s="67">
        <v>1</v>
      </c>
      <c r="G274" s="68"/>
      <c r="H274" s="100">
        <f>F274*G274</f>
        <v>0</v>
      </c>
      <c r="I274" s="81">
        <v>0.0054</v>
      </c>
      <c r="J274" s="81">
        <f>F274*I274</f>
        <v>0.0054</v>
      </c>
      <c r="K274" s="61" t="s">
        <v>654</v>
      </c>
      <c r="X274" s="36">
        <f>IF(AO274="5",BH274,0)</f>
        <v>0</v>
      </c>
      <c r="Z274" s="36">
        <f>IF(AO274="1",BF274,0)</f>
        <v>0</v>
      </c>
      <c r="AA274" s="36">
        <f>IF(AO274="1",BG274,0)</f>
        <v>0</v>
      </c>
      <c r="AB274" s="36">
        <f>IF(AO274="7",BF274,0)</f>
        <v>0</v>
      </c>
      <c r="AC274" s="36">
        <f>IF(AO274="7",BG274,0)</f>
        <v>0</v>
      </c>
      <c r="AD274" s="36">
        <f>IF(AO274="2",BF274,0)</f>
        <v>0</v>
      </c>
      <c r="AE274" s="36">
        <f>IF(AO274="2",BG274,0)</f>
        <v>0</v>
      </c>
      <c r="AF274" s="36">
        <f>IF(AO274="0",BH274,0)</f>
        <v>0</v>
      </c>
      <c r="AG274" s="28" t="s">
        <v>158</v>
      </c>
      <c r="AH274" s="20">
        <f>IF(AL274=0,H274,0)</f>
        <v>0</v>
      </c>
      <c r="AI274" s="20">
        <f>IF(AL274=15,H274,0)</f>
        <v>0</v>
      </c>
      <c r="AJ274" s="20">
        <f>IF(AL274=21,H274,0)</f>
        <v>0</v>
      </c>
      <c r="AL274" s="36">
        <v>21</v>
      </c>
      <c r="AM274" s="36">
        <f>G274*0.432333333333333</f>
        <v>0</v>
      </c>
      <c r="AN274" s="36">
        <f>G274*(1-0.432333333333333)</f>
        <v>0</v>
      </c>
      <c r="AO274" s="32" t="s">
        <v>13</v>
      </c>
      <c r="AT274" s="36">
        <f>AU274+AV274</f>
        <v>0</v>
      </c>
      <c r="AU274" s="36">
        <f>F274*AM274</f>
        <v>0</v>
      </c>
      <c r="AV274" s="36">
        <f>F274*AN274</f>
        <v>0</v>
      </c>
      <c r="AW274" s="37" t="s">
        <v>685</v>
      </c>
      <c r="AX274" s="37" t="s">
        <v>699</v>
      </c>
      <c r="AY274" s="28" t="s">
        <v>705</v>
      </c>
      <c r="BA274" s="36">
        <f>AU274+AV274</f>
        <v>0</v>
      </c>
      <c r="BB274" s="36">
        <f>G274/(100-BC274)*100</f>
        <v>0</v>
      </c>
      <c r="BC274" s="36">
        <v>0</v>
      </c>
      <c r="BD274" s="36">
        <f>J274</f>
        <v>0.0054</v>
      </c>
      <c r="BF274" s="20">
        <f>F274*AM274</f>
        <v>0</v>
      </c>
      <c r="BG274" s="20">
        <f>F274*AN274</f>
        <v>0</v>
      </c>
      <c r="BH274" s="20">
        <f>F274*G274</f>
        <v>0</v>
      </c>
    </row>
    <row r="275" spans="1:11" ht="12.75">
      <c r="A275" s="70"/>
      <c r="B275" s="70"/>
      <c r="C275" s="70"/>
      <c r="D275" s="71" t="s">
        <v>537</v>
      </c>
      <c r="E275" s="70"/>
      <c r="F275" s="72">
        <v>1</v>
      </c>
      <c r="G275" s="70"/>
      <c r="H275" s="101"/>
      <c r="I275" s="82"/>
      <c r="J275" s="82"/>
      <c r="K275" s="62"/>
    </row>
    <row r="276" spans="1:60" ht="12.75">
      <c r="A276" s="64" t="s">
        <v>116</v>
      </c>
      <c r="B276" s="64" t="s">
        <v>158</v>
      </c>
      <c r="C276" s="64" t="s">
        <v>275</v>
      </c>
      <c r="D276" s="64" t="s">
        <v>538</v>
      </c>
      <c r="E276" s="64" t="s">
        <v>633</v>
      </c>
      <c r="F276" s="67">
        <v>0.2</v>
      </c>
      <c r="G276" s="68"/>
      <c r="H276" s="100">
        <f>F276*G276</f>
        <v>0</v>
      </c>
      <c r="I276" s="81">
        <v>0</v>
      </c>
      <c r="J276" s="81">
        <f>F276*I276</f>
        <v>0</v>
      </c>
      <c r="K276" s="61" t="s">
        <v>653</v>
      </c>
      <c r="X276" s="36">
        <f>IF(AO276="5",BH276,0)</f>
        <v>0</v>
      </c>
      <c r="Z276" s="36">
        <f>IF(AO276="1",BF276,0)</f>
        <v>0</v>
      </c>
      <c r="AA276" s="36">
        <f>IF(AO276="1",BG276,0)</f>
        <v>0</v>
      </c>
      <c r="AB276" s="36">
        <f>IF(AO276="7",BF276,0)</f>
        <v>0</v>
      </c>
      <c r="AC276" s="36">
        <f>IF(AO276="7",BG276,0)</f>
        <v>0</v>
      </c>
      <c r="AD276" s="36">
        <f>IF(AO276="2",BF276,0)</f>
        <v>0</v>
      </c>
      <c r="AE276" s="36">
        <f>IF(AO276="2",BG276,0)</f>
        <v>0</v>
      </c>
      <c r="AF276" s="36">
        <f>IF(AO276="0",BH276,0)</f>
        <v>0</v>
      </c>
      <c r="AG276" s="28" t="s">
        <v>158</v>
      </c>
      <c r="AH276" s="20">
        <f>IF(AL276=0,H276,0)</f>
        <v>0</v>
      </c>
      <c r="AI276" s="20">
        <f>IF(AL276=15,H276,0)</f>
        <v>0</v>
      </c>
      <c r="AJ276" s="20">
        <f>IF(AL276=21,H276,0)</f>
        <v>0</v>
      </c>
      <c r="AL276" s="36">
        <v>21</v>
      </c>
      <c r="AM276" s="36">
        <f>G276*0</f>
        <v>0</v>
      </c>
      <c r="AN276" s="36">
        <f>G276*(1-0)</f>
        <v>0</v>
      </c>
      <c r="AO276" s="32" t="s">
        <v>11</v>
      </c>
      <c r="AT276" s="36">
        <f>AU276+AV276</f>
        <v>0</v>
      </c>
      <c r="AU276" s="36">
        <f>F276*AM276</f>
        <v>0</v>
      </c>
      <c r="AV276" s="36">
        <f>F276*AN276</f>
        <v>0</v>
      </c>
      <c r="AW276" s="37" t="s">
        <v>685</v>
      </c>
      <c r="AX276" s="37" t="s">
        <v>699</v>
      </c>
      <c r="AY276" s="28" t="s">
        <v>705</v>
      </c>
      <c r="BA276" s="36">
        <f>AU276+AV276</f>
        <v>0</v>
      </c>
      <c r="BB276" s="36">
        <f>G276/(100-BC276)*100</f>
        <v>0</v>
      </c>
      <c r="BC276" s="36">
        <v>0</v>
      </c>
      <c r="BD276" s="36">
        <f>J276</f>
        <v>0</v>
      </c>
      <c r="BF276" s="20">
        <f>F276*AM276</f>
        <v>0</v>
      </c>
      <c r="BG276" s="20">
        <f>F276*AN276</f>
        <v>0</v>
      </c>
      <c r="BH276" s="20">
        <f>F276*G276</f>
        <v>0</v>
      </c>
    </row>
    <row r="277" spans="1:11" ht="12.75">
      <c r="A277" s="65"/>
      <c r="B277" s="65"/>
      <c r="C277" s="65"/>
      <c r="D277" s="66" t="s">
        <v>539</v>
      </c>
      <c r="E277" s="65"/>
      <c r="F277" s="69">
        <v>0.2</v>
      </c>
      <c r="G277" s="65"/>
      <c r="H277" s="65"/>
      <c r="I277" s="83"/>
      <c r="J277" s="83"/>
      <c r="K277" s="63"/>
    </row>
    <row r="278" spans="1:45" ht="12.75">
      <c r="A278" s="4"/>
      <c r="B278" s="14" t="s">
        <v>158</v>
      </c>
      <c r="C278" s="14" t="s">
        <v>276</v>
      </c>
      <c r="D278" s="14" t="s">
        <v>540</v>
      </c>
      <c r="E278" s="4" t="s">
        <v>6</v>
      </c>
      <c r="F278" s="4" t="s">
        <v>6</v>
      </c>
      <c r="G278" s="4"/>
      <c r="H278" s="39">
        <f>SUM(H279:H287)</f>
        <v>0</v>
      </c>
      <c r="I278" s="80"/>
      <c r="J278" s="80">
        <f>SUM(J279:J287)</f>
        <v>0.064172</v>
      </c>
      <c r="K278" s="28"/>
      <c r="AG278" s="28" t="s">
        <v>158</v>
      </c>
      <c r="AQ278" s="39">
        <f>SUM(AH279:AH287)</f>
        <v>0</v>
      </c>
      <c r="AR278" s="39">
        <f>SUM(AI279:AI287)</f>
        <v>0</v>
      </c>
      <c r="AS278" s="39">
        <f>SUM(AJ279:AJ287)</f>
        <v>0</v>
      </c>
    </row>
    <row r="279" spans="1:60" ht="12.75">
      <c r="A279" s="64" t="s">
        <v>117</v>
      </c>
      <c r="B279" s="64" t="s">
        <v>158</v>
      </c>
      <c r="C279" s="64" t="s">
        <v>277</v>
      </c>
      <c r="D279" s="64" t="s">
        <v>541</v>
      </c>
      <c r="E279" s="64" t="s">
        <v>631</v>
      </c>
      <c r="F279" s="67">
        <v>1.8</v>
      </c>
      <c r="G279" s="68"/>
      <c r="H279" s="100">
        <f>F279*G279</f>
        <v>0</v>
      </c>
      <c r="I279" s="81">
        <v>0.032</v>
      </c>
      <c r="J279" s="81">
        <f>F279*I279</f>
        <v>0.057600000000000005</v>
      </c>
      <c r="K279" s="61" t="s">
        <v>653</v>
      </c>
      <c r="X279" s="36">
        <f>IF(AO279="5",BH279,0)</f>
        <v>0</v>
      </c>
      <c r="Z279" s="36">
        <f>IF(AO279="1",BF279,0)</f>
        <v>0</v>
      </c>
      <c r="AA279" s="36">
        <f>IF(AO279="1",BG279,0)</f>
        <v>0</v>
      </c>
      <c r="AB279" s="36">
        <f>IF(AO279="7",BF279,0)</f>
        <v>0</v>
      </c>
      <c r="AC279" s="36">
        <f>IF(AO279="7",BG279,0)</f>
        <v>0</v>
      </c>
      <c r="AD279" s="36">
        <f>IF(AO279="2",BF279,0)</f>
        <v>0</v>
      </c>
      <c r="AE279" s="36">
        <f>IF(AO279="2",BG279,0)</f>
        <v>0</v>
      </c>
      <c r="AF279" s="36">
        <f>IF(AO279="0",BH279,0)</f>
        <v>0</v>
      </c>
      <c r="AG279" s="28" t="s">
        <v>158</v>
      </c>
      <c r="AH279" s="20">
        <f>IF(AL279=0,H279,0)</f>
        <v>0</v>
      </c>
      <c r="AI279" s="20">
        <f>IF(AL279=15,H279,0)</f>
        <v>0</v>
      </c>
      <c r="AJ279" s="20">
        <f>IF(AL279=21,H279,0)</f>
        <v>0</v>
      </c>
      <c r="AL279" s="36">
        <v>21</v>
      </c>
      <c r="AM279" s="36">
        <f>G279*0.0323773333333333</f>
        <v>0</v>
      </c>
      <c r="AN279" s="36">
        <f>G279*(1-0.0323773333333333)</f>
        <v>0</v>
      </c>
      <c r="AO279" s="32" t="s">
        <v>13</v>
      </c>
      <c r="AT279" s="36">
        <f>AU279+AV279</f>
        <v>0</v>
      </c>
      <c r="AU279" s="36">
        <f>F279*AM279</f>
        <v>0</v>
      </c>
      <c r="AV279" s="36">
        <f>F279*AN279</f>
        <v>0</v>
      </c>
      <c r="AW279" s="37" t="s">
        <v>686</v>
      </c>
      <c r="AX279" s="37" t="s">
        <v>699</v>
      </c>
      <c r="AY279" s="28" t="s">
        <v>705</v>
      </c>
      <c r="BA279" s="36">
        <f>AU279+AV279</f>
        <v>0</v>
      </c>
      <c r="BB279" s="36">
        <f>G279/(100-BC279)*100</f>
        <v>0</v>
      </c>
      <c r="BC279" s="36">
        <v>0</v>
      </c>
      <c r="BD279" s="36">
        <f>J279</f>
        <v>0.057600000000000005</v>
      </c>
      <c r="BF279" s="20">
        <f>F279*AM279</f>
        <v>0</v>
      </c>
      <c r="BG279" s="20">
        <f>F279*AN279</f>
        <v>0</v>
      </c>
      <c r="BH279" s="20">
        <f>F279*G279</f>
        <v>0</v>
      </c>
    </row>
    <row r="280" spans="1:11" ht="12.75">
      <c r="A280" s="70"/>
      <c r="B280" s="70"/>
      <c r="C280" s="70"/>
      <c r="D280" s="71" t="s">
        <v>542</v>
      </c>
      <c r="E280" s="70"/>
      <c r="F280" s="72">
        <v>1.8</v>
      </c>
      <c r="G280" s="70"/>
      <c r="H280" s="101"/>
      <c r="I280" s="82"/>
      <c r="J280" s="82"/>
      <c r="K280" s="62"/>
    </row>
    <row r="281" spans="1:60" ht="12.75">
      <c r="A281" s="64" t="s">
        <v>118</v>
      </c>
      <c r="B281" s="64" t="s">
        <v>158</v>
      </c>
      <c r="C281" s="64" t="s">
        <v>278</v>
      </c>
      <c r="D281" s="64" t="s">
        <v>543</v>
      </c>
      <c r="E281" s="64" t="s">
        <v>632</v>
      </c>
      <c r="F281" s="67">
        <v>5.6</v>
      </c>
      <c r="G281" s="68"/>
      <c r="H281" s="100">
        <f>F281*G281</f>
        <v>0</v>
      </c>
      <c r="I281" s="81">
        <v>0</v>
      </c>
      <c r="J281" s="81">
        <f>F281*I281</f>
        <v>0</v>
      </c>
      <c r="K281" s="61" t="s">
        <v>653</v>
      </c>
      <c r="X281" s="36">
        <f>IF(AO281="5",BH281,0)</f>
        <v>0</v>
      </c>
      <c r="Z281" s="36">
        <f>IF(AO281="1",BF281,0)</f>
        <v>0</v>
      </c>
      <c r="AA281" s="36">
        <f>IF(AO281="1",BG281,0)</f>
        <v>0</v>
      </c>
      <c r="AB281" s="36">
        <f>IF(AO281="7",BF281,0)</f>
        <v>0</v>
      </c>
      <c r="AC281" s="36">
        <f>IF(AO281="7",BG281,0)</f>
        <v>0</v>
      </c>
      <c r="AD281" s="36">
        <f>IF(AO281="2",BF281,0)</f>
        <v>0</v>
      </c>
      <c r="AE281" s="36">
        <f>IF(AO281="2",BG281,0)</f>
        <v>0</v>
      </c>
      <c r="AF281" s="36">
        <f>IF(AO281="0",BH281,0)</f>
        <v>0</v>
      </c>
      <c r="AG281" s="28" t="s">
        <v>158</v>
      </c>
      <c r="AH281" s="20">
        <f>IF(AL281=0,H281,0)</f>
        <v>0</v>
      </c>
      <c r="AI281" s="20">
        <f>IF(AL281=15,H281,0)</f>
        <v>0</v>
      </c>
      <c r="AJ281" s="20">
        <f>IF(AL281=21,H281,0)</f>
        <v>0</v>
      </c>
      <c r="AL281" s="36">
        <v>21</v>
      </c>
      <c r="AM281" s="36">
        <f>G281*0.420592991913747</f>
        <v>0</v>
      </c>
      <c r="AN281" s="36">
        <f>G281*(1-0.420592991913747)</f>
        <v>0</v>
      </c>
      <c r="AO281" s="32" t="s">
        <v>13</v>
      </c>
      <c r="AT281" s="36">
        <f>AU281+AV281</f>
        <v>0</v>
      </c>
      <c r="AU281" s="36">
        <f>F281*AM281</f>
        <v>0</v>
      </c>
      <c r="AV281" s="36">
        <f>F281*AN281</f>
        <v>0</v>
      </c>
      <c r="AW281" s="37" t="s">
        <v>686</v>
      </c>
      <c r="AX281" s="37" t="s">
        <v>699</v>
      </c>
      <c r="AY281" s="28" t="s">
        <v>705</v>
      </c>
      <c r="BA281" s="36">
        <f>AU281+AV281</f>
        <v>0</v>
      </c>
      <c r="BB281" s="36">
        <f>G281/(100-BC281)*100</f>
        <v>0</v>
      </c>
      <c r="BC281" s="36">
        <v>0</v>
      </c>
      <c r="BD281" s="36">
        <f>J281</f>
        <v>0</v>
      </c>
      <c r="BF281" s="20">
        <f>F281*AM281</f>
        <v>0</v>
      </c>
      <c r="BG281" s="20">
        <f>F281*AN281</f>
        <v>0</v>
      </c>
      <c r="BH281" s="20">
        <f>F281*G281</f>
        <v>0</v>
      </c>
    </row>
    <row r="282" spans="1:11" ht="12.75">
      <c r="A282" s="70"/>
      <c r="B282" s="70"/>
      <c r="C282" s="70"/>
      <c r="D282" s="71" t="s">
        <v>544</v>
      </c>
      <c r="E282" s="70"/>
      <c r="F282" s="72">
        <v>5.6</v>
      </c>
      <c r="G282" s="70"/>
      <c r="H282" s="101"/>
      <c r="I282" s="82"/>
      <c r="J282" s="82"/>
      <c r="K282" s="62"/>
    </row>
    <row r="283" spans="1:60" ht="12.75">
      <c r="A283" s="64" t="s">
        <v>119</v>
      </c>
      <c r="B283" s="64" t="s">
        <v>158</v>
      </c>
      <c r="C283" s="64" t="s">
        <v>279</v>
      </c>
      <c r="D283" s="64" t="s">
        <v>545</v>
      </c>
      <c r="E283" s="64" t="s">
        <v>634</v>
      </c>
      <c r="F283" s="67">
        <v>1</v>
      </c>
      <c r="G283" s="68"/>
      <c r="H283" s="100">
        <f>F283*G283</f>
        <v>0</v>
      </c>
      <c r="I283" s="81">
        <v>2E-05</v>
      </c>
      <c r="J283" s="81">
        <f>F283*I283</f>
        <v>2E-05</v>
      </c>
      <c r="K283" s="61" t="s">
        <v>653</v>
      </c>
      <c r="X283" s="36">
        <f>IF(AO283="5",BH283,0)</f>
        <v>0</v>
      </c>
      <c r="Z283" s="36">
        <f>IF(AO283="1",BF283,0)</f>
        <v>0</v>
      </c>
      <c r="AA283" s="36">
        <f>IF(AO283="1",BG283,0)</f>
        <v>0</v>
      </c>
      <c r="AB283" s="36">
        <f>IF(AO283="7",BF283,0)</f>
        <v>0</v>
      </c>
      <c r="AC283" s="36">
        <f>IF(AO283="7",BG283,0)</f>
        <v>0</v>
      </c>
      <c r="AD283" s="36">
        <f>IF(AO283="2",BF283,0)</f>
        <v>0</v>
      </c>
      <c r="AE283" s="36">
        <f>IF(AO283="2",BG283,0)</f>
        <v>0</v>
      </c>
      <c r="AF283" s="36">
        <f>IF(AO283="0",BH283,0)</f>
        <v>0</v>
      </c>
      <c r="AG283" s="28" t="s">
        <v>158</v>
      </c>
      <c r="AH283" s="20">
        <f>IF(AL283=0,H283,0)</f>
        <v>0</v>
      </c>
      <c r="AI283" s="20">
        <f>IF(AL283=15,H283,0)</f>
        <v>0</v>
      </c>
      <c r="AJ283" s="20">
        <f>IF(AL283=21,H283,0)</f>
        <v>0</v>
      </c>
      <c r="AL283" s="36">
        <v>21</v>
      </c>
      <c r="AM283" s="36">
        <f>G283*0.0215583039970093</f>
        <v>0</v>
      </c>
      <c r="AN283" s="36">
        <f>G283*(1-0.0215583039970093)</f>
        <v>0</v>
      </c>
      <c r="AO283" s="32" t="s">
        <v>13</v>
      </c>
      <c r="AT283" s="36">
        <f>AU283+AV283</f>
        <v>0</v>
      </c>
      <c r="AU283" s="36">
        <f>F283*AM283</f>
        <v>0</v>
      </c>
      <c r="AV283" s="36">
        <f>F283*AN283</f>
        <v>0</v>
      </c>
      <c r="AW283" s="37" t="s">
        <v>686</v>
      </c>
      <c r="AX283" s="37" t="s">
        <v>699</v>
      </c>
      <c r="AY283" s="28" t="s">
        <v>705</v>
      </c>
      <c r="BA283" s="36">
        <f>AU283+AV283</f>
        <v>0</v>
      </c>
      <c r="BB283" s="36">
        <f>G283/(100-BC283)*100</f>
        <v>0</v>
      </c>
      <c r="BC283" s="36">
        <v>0</v>
      </c>
      <c r="BD283" s="36">
        <f>J283</f>
        <v>2E-05</v>
      </c>
      <c r="BF283" s="20">
        <f>F283*AM283</f>
        <v>0</v>
      </c>
      <c r="BG283" s="20">
        <f>F283*AN283</f>
        <v>0</v>
      </c>
      <c r="BH283" s="20">
        <f>F283*G283</f>
        <v>0</v>
      </c>
    </row>
    <row r="284" spans="1:11" ht="12.75">
      <c r="A284" s="70"/>
      <c r="B284" s="70"/>
      <c r="C284" s="70"/>
      <c r="D284" s="71" t="s">
        <v>546</v>
      </c>
      <c r="E284" s="70"/>
      <c r="F284" s="72">
        <v>1</v>
      </c>
      <c r="G284" s="70"/>
      <c r="H284" s="101"/>
      <c r="I284" s="82"/>
      <c r="J284" s="82"/>
      <c r="K284" s="62"/>
    </row>
    <row r="285" spans="1:60" ht="12.75">
      <c r="A285" s="74" t="s">
        <v>120</v>
      </c>
      <c r="B285" s="74" t="s">
        <v>158</v>
      </c>
      <c r="C285" s="74" t="s">
        <v>280</v>
      </c>
      <c r="D285" s="74" t="s">
        <v>547</v>
      </c>
      <c r="E285" s="74" t="s">
        <v>632</v>
      </c>
      <c r="F285" s="75">
        <v>1.8</v>
      </c>
      <c r="G285" s="76"/>
      <c r="H285" s="103">
        <f>F285*G285</f>
        <v>0</v>
      </c>
      <c r="I285" s="84">
        <v>0.00364</v>
      </c>
      <c r="J285" s="84">
        <f>F285*I285</f>
        <v>0.0065520000000000005</v>
      </c>
      <c r="K285" s="73" t="s">
        <v>653</v>
      </c>
      <c r="X285" s="36">
        <f>IF(AO285="5",BH285,0)</f>
        <v>0</v>
      </c>
      <c r="Z285" s="36">
        <f>IF(AO285="1",BF285,0)</f>
        <v>0</v>
      </c>
      <c r="AA285" s="36">
        <f>IF(AO285="1",BG285,0)</f>
        <v>0</v>
      </c>
      <c r="AB285" s="36">
        <f>IF(AO285="7",BF285,0)</f>
        <v>0</v>
      </c>
      <c r="AC285" s="36">
        <f>IF(AO285="7",BG285,0)</f>
        <v>0</v>
      </c>
      <c r="AD285" s="36">
        <f>IF(AO285="2",BF285,0)</f>
        <v>0</v>
      </c>
      <c r="AE285" s="36">
        <f>IF(AO285="2",BG285,0)</f>
        <v>0</v>
      </c>
      <c r="AF285" s="36">
        <f>IF(AO285="0",BH285,0)</f>
        <v>0</v>
      </c>
      <c r="AG285" s="28" t="s">
        <v>158</v>
      </c>
      <c r="AH285" s="21">
        <f>IF(AL285=0,H285,0)</f>
        <v>0</v>
      </c>
      <c r="AI285" s="21">
        <f>IF(AL285=15,H285,0)</f>
        <v>0</v>
      </c>
      <c r="AJ285" s="21">
        <f>IF(AL285=21,H285,0)</f>
        <v>0</v>
      </c>
      <c r="AL285" s="36">
        <v>21</v>
      </c>
      <c r="AM285" s="36">
        <f>G285*1</f>
        <v>0</v>
      </c>
      <c r="AN285" s="36">
        <f>G285*(1-1)</f>
        <v>0</v>
      </c>
      <c r="AO285" s="33" t="s">
        <v>13</v>
      </c>
      <c r="AT285" s="36">
        <f>AU285+AV285</f>
        <v>0</v>
      </c>
      <c r="AU285" s="36">
        <f>F285*AM285</f>
        <v>0</v>
      </c>
      <c r="AV285" s="36">
        <f>F285*AN285</f>
        <v>0</v>
      </c>
      <c r="AW285" s="37" t="s">
        <v>686</v>
      </c>
      <c r="AX285" s="37" t="s">
        <v>699</v>
      </c>
      <c r="AY285" s="28" t="s">
        <v>705</v>
      </c>
      <c r="BA285" s="36">
        <f>AU285+AV285</f>
        <v>0</v>
      </c>
      <c r="BB285" s="36">
        <f>G285/(100-BC285)*100</f>
        <v>0</v>
      </c>
      <c r="BC285" s="36">
        <v>0</v>
      </c>
      <c r="BD285" s="36">
        <f>J285</f>
        <v>0.0065520000000000005</v>
      </c>
      <c r="BF285" s="21">
        <f>F285*AM285</f>
        <v>0</v>
      </c>
      <c r="BG285" s="21">
        <f>F285*AN285</f>
        <v>0</v>
      </c>
      <c r="BH285" s="21">
        <f>F285*G285</f>
        <v>0</v>
      </c>
    </row>
    <row r="286" spans="1:11" ht="12.75">
      <c r="A286" s="70"/>
      <c r="B286" s="70"/>
      <c r="C286" s="70"/>
      <c r="D286" s="71" t="s">
        <v>548</v>
      </c>
      <c r="E286" s="70"/>
      <c r="F286" s="72">
        <v>1.8</v>
      </c>
      <c r="G286" s="70"/>
      <c r="H286" s="101"/>
      <c r="I286" s="82"/>
      <c r="J286" s="82"/>
      <c r="K286" s="62"/>
    </row>
    <row r="287" spans="1:60" ht="12.75">
      <c r="A287" s="64" t="s">
        <v>121</v>
      </c>
      <c r="B287" s="64" t="s">
        <v>158</v>
      </c>
      <c r="C287" s="64" t="s">
        <v>281</v>
      </c>
      <c r="D287" s="64" t="s">
        <v>549</v>
      </c>
      <c r="E287" s="64" t="s">
        <v>633</v>
      </c>
      <c r="F287" s="67">
        <v>0.07</v>
      </c>
      <c r="G287" s="68"/>
      <c r="H287" s="100">
        <f>F287*G287</f>
        <v>0</v>
      </c>
      <c r="I287" s="81">
        <v>0</v>
      </c>
      <c r="J287" s="81">
        <f>F287*I287</f>
        <v>0</v>
      </c>
      <c r="K287" s="61" t="s">
        <v>653</v>
      </c>
      <c r="X287" s="36">
        <f>IF(AO287="5",BH287,0)</f>
        <v>0</v>
      </c>
      <c r="Z287" s="36">
        <f>IF(AO287="1",BF287,0)</f>
        <v>0</v>
      </c>
      <c r="AA287" s="36">
        <f>IF(AO287="1",BG287,0)</f>
        <v>0</v>
      </c>
      <c r="AB287" s="36">
        <f>IF(AO287="7",BF287,0)</f>
        <v>0</v>
      </c>
      <c r="AC287" s="36">
        <f>IF(AO287="7",BG287,0)</f>
        <v>0</v>
      </c>
      <c r="AD287" s="36">
        <f>IF(AO287="2",BF287,0)</f>
        <v>0</v>
      </c>
      <c r="AE287" s="36">
        <f>IF(AO287="2",BG287,0)</f>
        <v>0</v>
      </c>
      <c r="AF287" s="36">
        <f>IF(AO287="0",BH287,0)</f>
        <v>0</v>
      </c>
      <c r="AG287" s="28" t="s">
        <v>158</v>
      </c>
      <c r="AH287" s="20">
        <f>IF(AL287=0,H287,0)</f>
        <v>0</v>
      </c>
      <c r="AI287" s="20">
        <f>IF(AL287=15,H287,0)</f>
        <v>0</v>
      </c>
      <c r="AJ287" s="20">
        <f>IF(AL287=21,H287,0)</f>
        <v>0</v>
      </c>
      <c r="AL287" s="36">
        <v>21</v>
      </c>
      <c r="AM287" s="36">
        <f>G287*0</f>
        <v>0</v>
      </c>
      <c r="AN287" s="36">
        <f>G287*(1-0)</f>
        <v>0</v>
      </c>
      <c r="AO287" s="32" t="s">
        <v>11</v>
      </c>
      <c r="AT287" s="36">
        <f>AU287+AV287</f>
        <v>0</v>
      </c>
      <c r="AU287" s="36">
        <f>F287*AM287</f>
        <v>0</v>
      </c>
      <c r="AV287" s="36">
        <f>F287*AN287</f>
        <v>0</v>
      </c>
      <c r="AW287" s="37" t="s">
        <v>686</v>
      </c>
      <c r="AX287" s="37" t="s">
        <v>699</v>
      </c>
      <c r="AY287" s="28" t="s">
        <v>705</v>
      </c>
      <c r="BA287" s="36">
        <f>AU287+AV287</f>
        <v>0</v>
      </c>
      <c r="BB287" s="36">
        <f>G287/(100-BC287)*100</f>
        <v>0</v>
      </c>
      <c r="BC287" s="36">
        <v>0</v>
      </c>
      <c r="BD287" s="36">
        <f>J287</f>
        <v>0</v>
      </c>
      <c r="BF287" s="20">
        <f>F287*AM287</f>
        <v>0</v>
      </c>
      <c r="BG287" s="20">
        <f>F287*AN287</f>
        <v>0</v>
      </c>
      <c r="BH287" s="20">
        <f>F287*G287</f>
        <v>0</v>
      </c>
    </row>
    <row r="288" spans="1:11" ht="12.75">
      <c r="A288" s="65"/>
      <c r="B288" s="65"/>
      <c r="C288" s="65"/>
      <c r="D288" s="66" t="s">
        <v>550</v>
      </c>
      <c r="E288" s="65"/>
      <c r="F288" s="69">
        <v>0.07</v>
      </c>
      <c r="G288" s="65"/>
      <c r="H288" s="65"/>
      <c r="I288" s="83"/>
      <c r="J288" s="83"/>
      <c r="K288" s="63"/>
    </row>
    <row r="289" spans="1:45" ht="12.75">
      <c r="A289" s="4"/>
      <c r="B289" s="14" t="s">
        <v>158</v>
      </c>
      <c r="C289" s="14" t="s">
        <v>282</v>
      </c>
      <c r="D289" s="14" t="s">
        <v>551</v>
      </c>
      <c r="E289" s="4" t="s">
        <v>6</v>
      </c>
      <c r="F289" s="4" t="s">
        <v>6</v>
      </c>
      <c r="G289" s="4"/>
      <c r="H289" s="39">
        <f>SUM(H290:H300)</f>
        <v>0</v>
      </c>
      <c r="I289" s="80"/>
      <c r="J289" s="80">
        <f>SUM(J290:J300)</f>
        <v>0.22083660000000002</v>
      </c>
      <c r="K289" s="28"/>
      <c r="AG289" s="28" t="s">
        <v>158</v>
      </c>
      <c r="AQ289" s="39">
        <f>SUM(AH290:AH300)</f>
        <v>0</v>
      </c>
      <c r="AR289" s="39">
        <f>SUM(AI290:AI300)</f>
        <v>0</v>
      </c>
      <c r="AS289" s="39">
        <f>SUM(AJ290:AJ300)</f>
        <v>0</v>
      </c>
    </row>
    <row r="290" spans="1:60" ht="12.75">
      <c r="A290" s="64" t="s">
        <v>122</v>
      </c>
      <c r="B290" s="64" t="s">
        <v>158</v>
      </c>
      <c r="C290" s="64" t="s">
        <v>283</v>
      </c>
      <c r="D290" s="64" t="s">
        <v>552</v>
      </c>
      <c r="E290" s="64" t="s">
        <v>635</v>
      </c>
      <c r="F290" s="67">
        <v>12.722</v>
      </c>
      <c r="G290" s="68"/>
      <c r="H290" s="100">
        <f>F290*G290</f>
        <v>0</v>
      </c>
      <c r="I290" s="81">
        <v>6E-05</v>
      </c>
      <c r="J290" s="81">
        <f>F290*I290</f>
        <v>0.00076332</v>
      </c>
      <c r="K290" s="61" t="s">
        <v>654</v>
      </c>
      <c r="X290" s="36">
        <f>IF(AO290="5",BH290,0)</f>
        <v>0</v>
      </c>
      <c r="Z290" s="36">
        <f>IF(AO290="1",BF290,0)</f>
        <v>0</v>
      </c>
      <c r="AA290" s="36">
        <f>IF(AO290="1",BG290,0)</f>
        <v>0</v>
      </c>
      <c r="AB290" s="36">
        <f>IF(AO290="7",BF290,0)</f>
        <v>0</v>
      </c>
      <c r="AC290" s="36">
        <f>IF(AO290="7",BG290,0)</f>
        <v>0</v>
      </c>
      <c r="AD290" s="36">
        <f>IF(AO290="2",BF290,0)</f>
        <v>0</v>
      </c>
      <c r="AE290" s="36">
        <f>IF(AO290="2",BG290,0)</f>
        <v>0</v>
      </c>
      <c r="AF290" s="36">
        <f>IF(AO290="0",BH290,0)</f>
        <v>0</v>
      </c>
      <c r="AG290" s="28" t="s">
        <v>158</v>
      </c>
      <c r="AH290" s="20">
        <f>IF(AL290=0,H290,0)</f>
        <v>0</v>
      </c>
      <c r="AI290" s="20">
        <f>IF(AL290=15,H290,0)</f>
        <v>0</v>
      </c>
      <c r="AJ290" s="20">
        <f>IF(AL290=21,H290,0)</f>
        <v>0</v>
      </c>
      <c r="AL290" s="36">
        <v>21</v>
      </c>
      <c r="AM290" s="36">
        <f>G290*0.25052</f>
        <v>0</v>
      </c>
      <c r="AN290" s="36">
        <f>G290*(1-0.25052)</f>
        <v>0</v>
      </c>
      <c r="AO290" s="32" t="s">
        <v>13</v>
      </c>
      <c r="AT290" s="36">
        <f>AU290+AV290</f>
        <v>0</v>
      </c>
      <c r="AU290" s="36">
        <f>F290*AM290</f>
        <v>0</v>
      </c>
      <c r="AV290" s="36">
        <f>F290*AN290</f>
        <v>0</v>
      </c>
      <c r="AW290" s="37" t="s">
        <v>687</v>
      </c>
      <c r="AX290" s="37" t="s">
        <v>699</v>
      </c>
      <c r="AY290" s="28" t="s">
        <v>705</v>
      </c>
      <c r="BA290" s="36">
        <f>AU290+AV290</f>
        <v>0</v>
      </c>
      <c r="BB290" s="36">
        <f>G290/(100-BC290)*100</f>
        <v>0</v>
      </c>
      <c r="BC290" s="36">
        <v>0</v>
      </c>
      <c r="BD290" s="36">
        <f>J290</f>
        <v>0.00076332</v>
      </c>
      <c r="BF290" s="20">
        <f>F290*AM290</f>
        <v>0</v>
      </c>
      <c r="BG290" s="20">
        <f>F290*AN290</f>
        <v>0</v>
      </c>
      <c r="BH290" s="20">
        <f>F290*G290</f>
        <v>0</v>
      </c>
    </row>
    <row r="291" spans="1:11" ht="12.75">
      <c r="A291" s="70"/>
      <c r="B291" s="70"/>
      <c r="C291" s="70"/>
      <c r="D291" s="71" t="s">
        <v>553</v>
      </c>
      <c r="E291" s="70"/>
      <c r="F291" s="72">
        <v>12.722</v>
      </c>
      <c r="G291" s="70"/>
      <c r="H291" s="101"/>
      <c r="I291" s="82"/>
      <c r="J291" s="82"/>
      <c r="K291" s="62"/>
    </row>
    <row r="292" spans="1:60" ht="12.75">
      <c r="A292" s="64" t="s">
        <v>123</v>
      </c>
      <c r="B292" s="64" t="s">
        <v>158</v>
      </c>
      <c r="C292" s="64" t="s">
        <v>284</v>
      </c>
      <c r="D292" s="64" t="s">
        <v>554</v>
      </c>
      <c r="E292" s="64" t="s">
        <v>635</v>
      </c>
      <c r="F292" s="67">
        <v>31.777</v>
      </c>
      <c r="G292" s="68"/>
      <c r="H292" s="100">
        <f>F292*G292</f>
        <v>0</v>
      </c>
      <c r="I292" s="81">
        <v>0.0015</v>
      </c>
      <c r="J292" s="81">
        <f>F292*I292</f>
        <v>0.0476655</v>
      </c>
      <c r="K292" s="61" t="s">
        <v>654</v>
      </c>
      <c r="X292" s="36">
        <f>IF(AO292="5",BH292,0)</f>
        <v>0</v>
      </c>
      <c r="Z292" s="36">
        <f>IF(AO292="1",BF292,0)</f>
        <v>0</v>
      </c>
      <c r="AA292" s="36">
        <f>IF(AO292="1",BG292,0)</f>
        <v>0</v>
      </c>
      <c r="AB292" s="36">
        <f>IF(AO292="7",BF292,0)</f>
        <v>0</v>
      </c>
      <c r="AC292" s="36">
        <f>IF(AO292="7",BG292,0)</f>
        <v>0</v>
      </c>
      <c r="AD292" s="36">
        <f>IF(AO292="2",BF292,0)</f>
        <v>0</v>
      </c>
      <c r="AE292" s="36">
        <f>IF(AO292="2",BG292,0)</f>
        <v>0</v>
      </c>
      <c r="AF292" s="36">
        <f>IF(AO292="0",BH292,0)</f>
        <v>0</v>
      </c>
      <c r="AG292" s="28" t="s">
        <v>158</v>
      </c>
      <c r="AH292" s="20">
        <f>IF(AL292=0,H292,0)</f>
        <v>0</v>
      </c>
      <c r="AI292" s="20">
        <f>IF(AL292=15,H292,0)</f>
        <v>0</v>
      </c>
      <c r="AJ292" s="20">
        <f>IF(AL292=21,H292,0)</f>
        <v>0</v>
      </c>
      <c r="AL292" s="36">
        <v>21</v>
      </c>
      <c r="AM292" s="36">
        <f>G292*0.446473684210526</f>
        <v>0</v>
      </c>
      <c r="AN292" s="36">
        <f>G292*(1-0.446473684210526)</f>
        <v>0</v>
      </c>
      <c r="AO292" s="32" t="s">
        <v>13</v>
      </c>
      <c r="AT292" s="36">
        <f>AU292+AV292</f>
        <v>0</v>
      </c>
      <c r="AU292" s="36">
        <f>F292*AM292</f>
        <v>0</v>
      </c>
      <c r="AV292" s="36">
        <f>F292*AN292</f>
        <v>0</v>
      </c>
      <c r="AW292" s="37" t="s">
        <v>687</v>
      </c>
      <c r="AX292" s="37" t="s">
        <v>699</v>
      </c>
      <c r="AY292" s="28" t="s">
        <v>705</v>
      </c>
      <c r="BA292" s="36">
        <f>AU292+AV292</f>
        <v>0</v>
      </c>
      <c r="BB292" s="36">
        <f>G292/(100-BC292)*100</f>
        <v>0</v>
      </c>
      <c r="BC292" s="36">
        <v>0</v>
      </c>
      <c r="BD292" s="36">
        <f>J292</f>
        <v>0.0476655</v>
      </c>
      <c r="BF292" s="20">
        <f>F292*AM292</f>
        <v>0</v>
      </c>
      <c r="BG292" s="20">
        <f>F292*AN292</f>
        <v>0</v>
      </c>
      <c r="BH292" s="20">
        <f>F292*G292</f>
        <v>0</v>
      </c>
    </row>
    <row r="293" spans="1:11" ht="12.75">
      <c r="A293" s="70"/>
      <c r="B293" s="70"/>
      <c r="C293" s="70"/>
      <c r="D293" s="71" t="s">
        <v>555</v>
      </c>
      <c r="E293" s="70"/>
      <c r="F293" s="72">
        <v>31.777</v>
      </c>
      <c r="G293" s="70"/>
      <c r="H293" s="101"/>
      <c r="I293" s="82"/>
      <c r="J293" s="82"/>
      <c r="K293" s="62"/>
    </row>
    <row r="294" spans="1:60" ht="12.75">
      <c r="A294" s="64" t="s">
        <v>124</v>
      </c>
      <c r="B294" s="64" t="s">
        <v>158</v>
      </c>
      <c r="C294" s="64" t="s">
        <v>285</v>
      </c>
      <c r="D294" s="64" t="s">
        <v>556</v>
      </c>
      <c r="E294" s="64" t="s">
        <v>635</v>
      </c>
      <c r="F294" s="67">
        <v>21.463</v>
      </c>
      <c r="G294" s="68"/>
      <c r="H294" s="100">
        <f>F294*G294</f>
        <v>0</v>
      </c>
      <c r="I294" s="81">
        <v>6E-05</v>
      </c>
      <c r="J294" s="81">
        <f>F294*I294</f>
        <v>0.00128778</v>
      </c>
      <c r="K294" s="61" t="s">
        <v>654</v>
      </c>
      <c r="X294" s="36">
        <f>IF(AO294="5",BH294,0)</f>
        <v>0</v>
      </c>
      <c r="Z294" s="36">
        <f>IF(AO294="1",BF294,0)</f>
        <v>0</v>
      </c>
      <c r="AA294" s="36">
        <f>IF(AO294="1",BG294,0)</f>
        <v>0</v>
      </c>
      <c r="AB294" s="36">
        <f>IF(AO294="7",BF294,0)</f>
        <v>0</v>
      </c>
      <c r="AC294" s="36">
        <f>IF(AO294="7",BG294,0)</f>
        <v>0</v>
      </c>
      <c r="AD294" s="36">
        <f>IF(AO294="2",BF294,0)</f>
        <v>0</v>
      </c>
      <c r="AE294" s="36">
        <f>IF(AO294="2",BG294,0)</f>
        <v>0</v>
      </c>
      <c r="AF294" s="36">
        <f>IF(AO294="0",BH294,0)</f>
        <v>0</v>
      </c>
      <c r="AG294" s="28" t="s">
        <v>158</v>
      </c>
      <c r="AH294" s="20">
        <f>IF(AL294=0,H294,0)</f>
        <v>0</v>
      </c>
      <c r="AI294" s="20">
        <f>IF(AL294=15,H294,0)</f>
        <v>0</v>
      </c>
      <c r="AJ294" s="20">
        <f>IF(AL294=21,H294,0)</f>
        <v>0</v>
      </c>
      <c r="AL294" s="36">
        <v>21</v>
      </c>
      <c r="AM294" s="36">
        <f>G294*0.377157894736842</f>
        <v>0</v>
      </c>
      <c r="AN294" s="36">
        <f>G294*(1-0.377157894736842)</f>
        <v>0</v>
      </c>
      <c r="AO294" s="32" t="s">
        <v>13</v>
      </c>
      <c r="AT294" s="36">
        <f>AU294+AV294</f>
        <v>0</v>
      </c>
      <c r="AU294" s="36">
        <f>F294*AM294</f>
        <v>0</v>
      </c>
      <c r="AV294" s="36">
        <f>F294*AN294</f>
        <v>0</v>
      </c>
      <c r="AW294" s="37" t="s">
        <v>687</v>
      </c>
      <c r="AX294" s="37" t="s">
        <v>699</v>
      </c>
      <c r="AY294" s="28" t="s">
        <v>705</v>
      </c>
      <c r="BA294" s="36">
        <f>AU294+AV294</f>
        <v>0</v>
      </c>
      <c r="BB294" s="36">
        <f>G294/(100-BC294)*100</f>
        <v>0</v>
      </c>
      <c r="BC294" s="36">
        <v>0</v>
      </c>
      <c r="BD294" s="36">
        <f>J294</f>
        <v>0.00128778</v>
      </c>
      <c r="BF294" s="20">
        <f>F294*AM294</f>
        <v>0</v>
      </c>
      <c r="BG294" s="20">
        <f>F294*AN294</f>
        <v>0</v>
      </c>
      <c r="BH294" s="20">
        <f>F294*G294</f>
        <v>0</v>
      </c>
    </row>
    <row r="295" spans="1:11" ht="12.75">
      <c r="A295" s="70"/>
      <c r="B295" s="70"/>
      <c r="C295" s="70"/>
      <c r="D295" s="71" t="s">
        <v>557</v>
      </c>
      <c r="E295" s="70"/>
      <c r="F295" s="72">
        <v>21.463</v>
      </c>
      <c r="G295" s="70"/>
      <c r="H295" s="101"/>
      <c r="I295" s="82"/>
      <c r="J295" s="82"/>
      <c r="K295" s="62"/>
    </row>
    <row r="296" spans="1:60" ht="12.75">
      <c r="A296" s="64" t="s">
        <v>125</v>
      </c>
      <c r="B296" s="64" t="s">
        <v>158</v>
      </c>
      <c r="C296" s="64" t="s">
        <v>286</v>
      </c>
      <c r="D296" s="64" t="s">
        <v>558</v>
      </c>
      <c r="E296" s="64" t="s">
        <v>634</v>
      </c>
      <c r="F296" s="67">
        <v>1</v>
      </c>
      <c r="G296" s="68"/>
      <c r="H296" s="100">
        <f>F296*G296</f>
        <v>0</v>
      </c>
      <c r="I296" s="81">
        <v>0.00112</v>
      </c>
      <c r="J296" s="81">
        <f>F296*I296</f>
        <v>0.00112</v>
      </c>
      <c r="K296" s="61" t="s">
        <v>653</v>
      </c>
      <c r="X296" s="36">
        <f>IF(AO296="5",BH296,0)</f>
        <v>0</v>
      </c>
      <c r="Z296" s="36">
        <f>IF(AO296="1",BF296,0)</f>
        <v>0</v>
      </c>
      <c r="AA296" s="36">
        <f>IF(AO296="1",BG296,0)</f>
        <v>0</v>
      </c>
      <c r="AB296" s="36">
        <f>IF(AO296="7",BF296,0)</f>
        <v>0</v>
      </c>
      <c r="AC296" s="36">
        <f>IF(AO296="7",BG296,0)</f>
        <v>0</v>
      </c>
      <c r="AD296" s="36">
        <f>IF(AO296="2",BF296,0)</f>
        <v>0</v>
      </c>
      <c r="AE296" s="36">
        <f>IF(AO296="2",BG296,0)</f>
        <v>0</v>
      </c>
      <c r="AF296" s="36">
        <f>IF(AO296="0",BH296,0)</f>
        <v>0</v>
      </c>
      <c r="AG296" s="28" t="s">
        <v>158</v>
      </c>
      <c r="AH296" s="20">
        <f>IF(AL296=0,H296,0)</f>
        <v>0</v>
      </c>
      <c r="AI296" s="20">
        <f>IF(AL296=15,H296,0)</f>
        <v>0</v>
      </c>
      <c r="AJ296" s="20">
        <f>IF(AL296=21,H296,0)</f>
        <v>0</v>
      </c>
      <c r="AL296" s="36">
        <v>21</v>
      </c>
      <c r="AM296" s="36">
        <f>G296*0.0185676020408163</f>
        <v>0</v>
      </c>
      <c r="AN296" s="36">
        <f>G296*(1-0.0185676020408163)</f>
        <v>0</v>
      </c>
      <c r="AO296" s="32" t="s">
        <v>13</v>
      </c>
      <c r="AT296" s="36">
        <f>AU296+AV296</f>
        <v>0</v>
      </c>
      <c r="AU296" s="36">
        <f>F296*AM296</f>
        <v>0</v>
      </c>
      <c r="AV296" s="36">
        <f>F296*AN296</f>
        <v>0</v>
      </c>
      <c r="AW296" s="37" t="s">
        <v>687</v>
      </c>
      <c r="AX296" s="37" t="s">
        <v>699</v>
      </c>
      <c r="AY296" s="28" t="s">
        <v>705</v>
      </c>
      <c r="BA296" s="36">
        <f>AU296+AV296</f>
        <v>0</v>
      </c>
      <c r="BB296" s="36">
        <f>G296/(100-BC296)*100</f>
        <v>0</v>
      </c>
      <c r="BC296" s="36">
        <v>0</v>
      </c>
      <c r="BD296" s="36">
        <f>J296</f>
        <v>0.00112</v>
      </c>
      <c r="BF296" s="20">
        <f>F296*AM296</f>
        <v>0</v>
      </c>
      <c r="BG296" s="20">
        <f>F296*AN296</f>
        <v>0</v>
      </c>
      <c r="BH296" s="20">
        <f>F296*G296</f>
        <v>0</v>
      </c>
    </row>
    <row r="297" spans="1:11" ht="12.75">
      <c r="A297" s="70"/>
      <c r="B297" s="70"/>
      <c r="C297" s="70"/>
      <c r="D297" s="71" t="s">
        <v>559</v>
      </c>
      <c r="E297" s="70"/>
      <c r="F297" s="72">
        <v>1</v>
      </c>
      <c r="G297" s="70"/>
      <c r="H297" s="101"/>
      <c r="I297" s="82"/>
      <c r="J297" s="82"/>
      <c r="K297" s="62"/>
    </row>
    <row r="298" spans="1:60" ht="12.75">
      <c r="A298" s="74" t="s">
        <v>126</v>
      </c>
      <c r="B298" s="74" t="s">
        <v>158</v>
      </c>
      <c r="C298" s="74" t="s">
        <v>287</v>
      </c>
      <c r="D298" s="74" t="s">
        <v>560</v>
      </c>
      <c r="E298" s="74" t="s">
        <v>634</v>
      </c>
      <c r="F298" s="75">
        <v>1</v>
      </c>
      <c r="G298" s="76"/>
      <c r="H298" s="103">
        <f>F298*G298</f>
        <v>0</v>
      </c>
      <c r="I298" s="84">
        <v>0.17</v>
      </c>
      <c r="J298" s="84">
        <f>F298*I298</f>
        <v>0.17</v>
      </c>
      <c r="K298" s="73" t="s">
        <v>654</v>
      </c>
      <c r="X298" s="36">
        <f>IF(AO298="5",BH298,0)</f>
        <v>0</v>
      </c>
      <c r="Z298" s="36">
        <f>IF(AO298="1",BF298,0)</f>
        <v>0</v>
      </c>
      <c r="AA298" s="36">
        <f>IF(AO298="1",BG298,0)</f>
        <v>0</v>
      </c>
      <c r="AB298" s="36">
        <f>IF(AO298="7",BF298,0)</f>
        <v>0</v>
      </c>
      <c r="AC298" s="36">
        <f>IF(AO298="7",BG298,0)</f>
        <v>0</v>
      </c>
      <c r="AD298" s="36">
        <f>IF(AO298="2",BF298,0)</f>
        <v>0</v>
      </c>
      <c r="AE298" s="36">
        <f>IF(AO298="2",BG298,0)</f>
        <v>0</v>
      </c>
      <c r="AF298" s="36">
        <f>IF(AO298="0",BH298,0)</f>
        <v>0</v>
      </c>
      <c r="AG298" s="28" t="s">
        <v>158</v>
      </c>
      <c r="AH298" s="21">
        <f>IF(AL298=0,H298,0)</f>
        <v>0</v>
      </c>
      <c r="AI298" s="21">
        <f>IF(AL298=15,H298,0)</f>
        <v>0</v>
      </c>
      <c r="AJ298" s="21">
        <f>IF(AL298=21,H298,0)</f>
        <v>0</v>
      </c>
      <c r="AL298" s="36">
        <v>21</v>
      </c>
      <c r="AM298" s="36">
        <f>G298*1</f>
        <v>0</v>
      </c>
      <c r="AN298" s="36">
        <f>G298*(1-1)</f>
        <v>0</v>
      </c>
      <c r="AO298" s="33" t="s">
        <v>13</v>
      </c>
      <c r="AT298" s="36">
        <f>AU298+AV298</f>
        <v>0</v>
      </c>
      <c r="AU298" s="36">
        <f>F298*AM298</f>
        <v>0</v>
      </c>
      <c r="AV298" s="36">
        <f>F298*AN298</f>
        <v>0</v>
      </c>
      <c r="AW298" s="37" t="s">
        <v>687</v>
      </c>
      <c r="AX298" s="37" t="s">
        <v>699</v>
      </c>
      <c r="AY298" s="28" t="s">
        <v>705</v>
      </c>
      <c r="BA298" s="36">
        <f>AU298+AV298</f>
        <v>0</v>
      </c>
      <c r="BB298" s="36">
        <f>G298/(100-BC298)*100</f>
        <v>0</v>
      </c>
      <c r="BC298" s="36">
        <v>0</v>
      </c>
      <c r="BD298" s="36">
        <f>J298</f>
        <v>0.17</v>
      </c>
      <c r="BF298" s="21">
        <f>F298*AM298</f>
        <v>0</v>
      </c>
      <c r="BG298" s="21">
        <f>F298*AN298</f>
        <v>0</v>
      </c>
      <c r="BH298" s="21">
        <f>F298*G298</f>
        <v>0</v>
      </c>
    </row>
    <row r="299" spans="1:11" ht="12.75">
      <c r="A299" s="70"/>
      <c r="B299" s="70"/>
      <c r="C299" s="70"/>
      <c r="D299" s="71" t="s">
        <v>559</v>
      </c>
      <c r="E299" s="70"/>
      <c r="F299" s="72">
        <v>1</v>
      </c>
      <c r="G299" s="70"/>
      <c r="H299" s="101"/>
      <c r="I299" s="82"/>
      <c r="J299" s="82"/>
      <c r="K299" s="62"/>
    </row>
    <row r="300" spans="1:60" ht="12.75">
      <c r="A300" s="64" t="s">
        <v>127</v>
      </c>
      <c r="B300" s="64" t="s">
        <v>158</v>
      </c>
      <c r="C300" s="64" t="s">
        <v>288</v>
      </c>
      <c r="D300" s="64" t="s">
        <v>561</v>
      </c>
      <c r="E300" s="64" t="s">
        <v>633</v>
      </c>
      <c r="F300" s="67">
        <v>0.23</v>
      </c>
      <c r="G300" s="68"/>
      <c r="H300" s="100">
        <f>F300*G300</f>
        <v>0</v>
      </c>
      <c r="I300" s="81">
        <v>0</v>
      </c>
      <c r="J300" s="81">
        <f>F300*I300</f>
        <v>0</v>
      </c>
      <c r="K300" s="61" t="s">
        <v>653</v>
      </c>
      <c r="X300" s="36">
        <f>IF(AO300="5",BH300,0)</f>
        <v>0</v>
      </c>
      <c r="Z300" s="36">
        <f>IF(AO300="1",BF300,0)</f>
        <v>0</v>
      </c>
      <c r="AA300" s="36">
        <f>IF(AO300="1",BG300,0)</f>
        <v>0</v>
      </c>
      <c r="AB300" s="36">
        <f>IF(AO300="7",BF300,0)</f>
        <v>0</v>
      </c>
      <c r="AC300" s="36">
        <f>IF(AO300="7",BG300,0)</f>
        <v>0</v>
      </c>
      <c r="AD300" s="36">
        <f>IF(AO300="2",BF300,0)</f>
        <v>0</v>
      </c>
      <c r="AE300" s="36">
        <f>IF(AO300="2",BG300,0)</f>
        <v>0</v>
      </c>
      <c r="AF300" s="36">
        <f>IF(AO300="0",BH300,0)</f>
        <v>0</v>
      </c>
      <c r="AG300" s="28" t="s">
        <v>158</v>
      </c>
      <c r="AH300" s="20">
        <f>IF(AL300=0,H300,0)</f>
        <v>0</v>
      </c>
      <c r="AI300" s="20">
        <f>IF(AL300=15,H300,0)</f>
        <v>0</v>
      </c>
      <c r="AJ300" s="20">
        <f>IF(AL300=21,H300,0)</f>
        <v>0</v>
      </c>
      <c r="AL300" s="36">
        <v>21</v>
      </c>
      <c r="AM300" s="36">
        <f>G300*0</f>
        <v>0</v>
      </c>
      <c r="AN300" s="36">
        <f>G300*(1-0)</f>
        <v>0</v>
      </c>
      <c r="AO300" s="32" t="s">
        <v>11</v>
      </c>
      <c r="AT300" s="36">
        <f>AU300+AV300</f>
        <v>0</v>
      </c>
      <c r="AU300" s="36">
        <f>F300*AM300</f>
        <v>0</v>
      </c>
      <c r="AV300" s="36">
        <f>F300*AN300</f>
        <v>0</v>
      </c>
      <c r="AW300" s="37" t="s">
        <v>687</v>
      </c>
      <c r="AX300" s="37" t="s">
        <v>699</v>
      </c>
      <c r="AY300" s="28" t="s">
        <v>705</v>
      </c>
      <c r="BA300" s="36">
        <f>AU300+AV300</f>
        <v>0</v>
      </c>
      <c r="BB300" s="36">
        <f>G300/(100-BC300)*100</f>
        <v>0</v>
      </c>
      <c r="BC300" s="36">
        <v>0</v>
      </c>
      <c r="BD300" s="36">
        <f>J300</f>
        <v>0</v>
      </c>
      <c r="BF300" s="20">
        <f>F300*AM300</f>
        <v>0</v>
      </c>
      <c r="BG300" s="20">
        <f>F300*AN300</f>
        <v>0</v>
      </c>
      <c r="BH300" s="20">
        <f>F300*G300</f>
        <v>0</v>
      </c>
    </row>
    <row r="301" spans="1:11" ht="12.75">
      <c r="A301" s="65"/>
      <c r="B301" s="65"/>
      <c r="C301" s="65"/>
      <c r="D301" s="66" t="s">
        <v>562</v>
      </c>
      <c r="E301" s="65"/>
      <c r="F301" s="69">
        <v>0.23</v>
      </c>
      <c r="G301" s="65"/>
      <c r="H301" s="102"/>
      <c r="I301" s="83"/>
      <c r="J301" s="83"/>
      <c r="K301" s="63"/>
    </row>
    <row r="302" spans="1:45" ht="12.75">
      <c r="A302" s="4"/>
      <c r="B302" s="14" t="s">
        <v>158</v>
      </c>
      <c r="C302" s="14" t="s">
        <v>289</v>
      </c>
      <c r="D302" s="14" t="s">
        <v>563</v>
      </c>
      <c r="E302" s="4" t="s">
        <v>6</v>
      </c>
      <c r="F302" s="4" t="s">
        <v>6</v>
      </c>
      <c r="G302" s="4"/>
      <c r="H302" s="39">
        <f>SUM(H303:H305)</f>
        <v>0</v>
      </c>
      <c r="I302" s="80"/>
      <c r="J302" s="80">
        <f>SUM(J303:J305)</f>
        <v>0.0580194</v>
      </c>
      <c r="K302" s="28"/>
      <c r="AG302" s="28" t="s">
        <v>158</v>
      </c>
      <c r="AQ302" s="39">
        <f>SUM(AH303:AH305)</f>
        <v>0</v>
      </c>
      <c r="AR302" s="39">
        <f>SUM(AI303:AI305)</f>
        <v>0</v>
      </c>
      <c r="AS302" s="39">
        <f>SUM(AJ303:AJ305)</f>
        <v>0</v>
      </c>
    </row>
    <row r="303" spans="1:60" ht="12.75">
      <c r="A303" s="64" t="s">
        <v>128</v>
      </c>
      <c r="B303" s="64" t="s">
        <v>158</v>
      </c>
      <c r="C303" s="64" t="s">
        <v>290</v>
      </c>
      <c r="D303" s="64" t="s">
        <v>564</v>
      </c>
      <c r="E303" s="64" t="s">
        <v>631</v>
      </c>
      <c r="F303" s="67">
        <v>96.39</v>
      </c>
      <c r="G303" s="68"/>
      <c r="H303" s="100">
        <f>F303*G303</f>
        <v>0</v>
      </c>
      <c r="I303" s="81">
        <v>0.00047</v>
      </c>
      <c r="J303" s="81">
        <f>F303*I303</f>
        <v>0.0453033</v>
      </c>
      <c r="K303" s="61" t="s">
        <v>653</v>
      </c>
      <c r="X303" s="36">
        <f>IF(AO303="5",BH303,0)</f>
        <v>0</v>
      </c>
      <c r="Z303" s="36">
        <f>IF(AO303="1",BF303,0)</f>
        <v>0</v>
      </c>
      <c r="AA303" s="36">
        <f>IF(AO303="1",BG303,0)</f>
        <v>0</v>
      </c>
      <c r="AB303" s="36">
        <f>IF(AO303="7",BF303,0)</f>
        <v>0</v>
      </c>
      <c r="AC303" s="36">
        <f>IF(AO303="7",BG303,0)</f>
        <v>0</v>
      </c>
      <c r="AD303" s="36">
        <f>IF(AO303="2",BF303,0)</f>
        <v>0</v>
      </c>
      <c r="AE303" s="36">
        <f>IF(AO303="2",BG303,0)</f>
        <v>0</v>
      </c>
      <c r="AF303" s="36">
        <f>IF(AO303="0",BH303,0)</f>
        <v>0</v>
      </c>
      <c r="AG303" s="28" t="s">
        <v>158</v>
      </c>
      <c r="AH303" s="20">
        <f>IF(AL303=0,H303,0)</f>
        <v>0</v>
      </c>
      <c r="AI303" s="20">
        <f>IF(AL303=15,H303,0)</f>
        <v>0</v>
      </c>
      <c r="AJ303" s="20">
        <f>IF(AL303=21,H303,0)</f>
        <v>0</v>
      </c>
      <c r="AL303" s="36">
        <v>21</v>
      </c>
      <c r="AM303" s="36">
        <f>G303*0.39144594580318</f>
        <v>0</v>
      </c>
      <c r="AN303" s="36">
        <f>G303*(1-0.39144594580318)</f>
        <v>0</v>
      </c>
      <c r="AO303" s="32" t="s">
        <v>13</v>
      </c>
      <c r="AT303" s="36">
        <f>AU303+AV303</f>
        <v>0</v>
      </c>
      <c r="AU303" s="36">
        <f>F303*AM303</f>
        <v>0</v>
      </c>
      <c r="AV303" s="36">
        <f>F303*AN303</f>
        <v>0</v>
      </c>
      <c r="AW303" s="37" t="s">
        <v>688</v>
      </c>
      <c r="AX303" s="37" t="s">
        <v>700</v>
      </c>
      <c r="AY303" s="28" t="s">
        <v>705</v>
      </c>
      <c r="BA303" s="36">
        <f>AU303+AV303</f>
        <v>0</v>
      </c>
      <c r="BB303" s="36">
        <f>G303/(100-BC303)*100</f>
        <v>0</v>
      </c>
      <c r="BC303" s="36">
        <v>0</v>
      </c>
      <c r="BD303" s="36">
        <f>J303</f>
        <v>0.0453033</v>
      </c>
      <c r="BF303" s="20">
        <f>F303*AM303</f>
        <v>0</v>
      </c>
      <c r="BG303" s="20">
        <f>F303*AN303</f>
        <v>0</v>
      </c>
      <c r="BH303" s="20">
        <f>F303*G303</f>
        <v>0</v>
      </c>
    </row>
    <row r="304" spans="1:11" ht="12.75">
      <c r="A304" s="70"/>
      <c r="B304" s="70"/>
      <c r="C304" s="70"/>
      <c r="D304" s="71" t="s">
        <v>565</v>
      </c>
      <c r="E304" s="70"/>
      <c r="F304" s="72">
        <v>96.39</v>
      </c>
      <c r="G304" s="70"/>
      <c r="H304" s="101"/>
      <c r="I304" s="82"/>
      <c r="J304" s="82"/>
      <c r="K304" s="62"/>
    </row>
    <row r="305" spans="1:60" ht="12.75">
      <c r="A305" s="64" t="s">
        <v>129</v>
      </c>
      <c r="B305" s="64" t="s">
        <v>158</v>
      </c>
      <c r="C305" s="64" t="s">
        <v>291</v>
      </c>
      <c r="D305" s="64" t="s">
        <v>566</v>
      </c>
      <c r="E305" s="64" t="s">
        <v>631</v>
      </c>
      <c r="F305" s="67">
        <v>5.97</v>
      </c>
      <c r="G305" s="68"/>
      <c r="H305" s="100">
        <f>F305*G305</f>
        <v>0</v>
      </c>
      <c r="I305" s="81">
        <v>0.00213</v>
      </c>
      <c r="J305" s="81">
        <f>F305*I305</f>
        <v>0.0127161</v>
      </c>
      <c r="K305" s="61" t="s">
        <v>653</v>
      </c>
      <c r="X305" s="36">
        <f>IF(AO305="5",BH305,0)</f>
        <v>0</v>
      </c>
      <c r="Z305" s="36">
        <f>IF(AO305="1",BF305,0)</f>
        <v>0</v>
      </c>
      <c r="AA305" s="36">
        <f>IF(AO305="1",BG305,0)</f>
        <v>0</v>
      </c>
      <c r="AB305" s="36">
        <f>IF(AO305="7",BF305,0)</f>
        <v>0</v>
      </c>
      <c r="AC305" s="36">
        <f>IF(AO305="7",BG305,0)</f>
        <v>0</v>
      </c>
      <c r="AD305" s="36">
        <f>IF(AO305="2",BF305,0)</f>
        <v>0</v>
      </c>
      <c r="AE305" s="36">
        <f>IF(AO305="2",BG305,0)</f>
        <v>0</v>
      </c>
      <c r="AF305" s="36">
        <f>IF(AO305="0",BH305,0)</f>
        <v>0</v>
      </c>
      <c r="AG305" s="28" t="s">
        <v>158</v>
      </c>
      <c r="AH305" s="20">
        <f>IF(AL305=0,H305,0)</f>
        <v>0</v>
      </c>
      <c r="AI305" s="20">
        <f>IF(AL305=15,H305,0)</f>
        <v>0</v>
      </c>
      <c r="AJ305" s="20">
        <f>IF(AL305=21,H305,0)</f>
        <v>0</v>
      </c>
      <c r="AL305" s="36">
        <v>21</v>
      </c>
      <c r="AM305" s="36">
        <f>G305*0.834968394437421</f>
        <v>0</v>
      </c>
      <c r="AN305" s="36">
        <f>G305*(1-0.834968394437421)</f>
        <v>0</v>
      </c>
      <c r="AO305" s="32" t="s">
        <v>13</v>
      </c>
      <c r="AT305" s="36">
        <f>AU305+AV305</f>
        <v>0</v>
      </c>
      <c r="AU305" s="36">
        <f>F305*AM305</f>
        <v>0</v>
      </c>
      <c r="AV305" s="36">
        <f>F305*AN305</f>
        <v>0</v>
      </c>
      <c r="AW305" s="37" t="s">
        <v>688</v>
      </c>
      <c r="AX305" s="37" t="s">
        <v>700</v>
      </c>
      <c r="AY305" s="28" t="s">
        <v>705</v>
      </c>
      <c r="BA305" s="36">
        <f>AU305+AV305</f>
        <v>0</v>
      </c>
      <c r="BB305" s="36">
        <f>G305/(100-BC305)*100</f>
        <v>0</v>
      </c>
      <c r="BC305" s="36">
        <v>0</v>
      </c>
      <c r="BD305" s="36">
        <f>J305</f>
        <v>0.0127161</v>
      </c>
      <c r="BF305" s="20">
        <f>F305*AM305</f>
        <v>0</v>
      </c>
      <c r="BG305" s="20">
        <f>F305*AN305</f>
        <v>0</v>
      </c>
      <c r="BH305" s="20">
        <f>F305*G305</f>
        <v>0</v>
      </c>
    </row>
    <row r="306" spans="1:11" ht="12.75">
      <c r="A306" s="65"/>
      <c r="B306" s="65"/>
      <c r="C306" s="65"/>
      <c r="D306" s="66" t="s">
        <v>567</v>
      </c>
      <c r="E306" s="65"/>
      <c r="F306" s="69">
        <v>5.97</v>
      </c>
      <c r="G306" s="65"/>
      <c r="H306" s="65"/>
      <c r="I306" s="83"/>
      <c r="J306" s="83"/>
      <c r="K306" s="63"/>
    </row>
    <row r="307" spans="1:45" ht="12.75">
      <c r="A307" s="4"/>
      <c r="B307" s="14" t="s">
        <v>158</v>
      </c>
      <c r="C307" s="14" t="s">
        <v>292</v>
      </c>
      <c r="D307" s="14" t="s">
        <v>568</v>
      </c>
      <c r="E307" s="4" t="s">
        <v>6</v>
      </c>
      <c r="F307" s="4" t="s">
        <v>6</v>
      </c>
      <c r="G307" s="4"/>
      <c r="H307" s="39">
        <f>SUM(H308:H312)</f>
        <v>0</v>
      </c>
      <c r="I307" s="80"/>
      <c r="J307" s="80">
        <f>SUM(J308:J312)</f>
        <v>0.0493218</v>
      </c>
      <c r="K307" s="28"/>
      <c r="AG307" s="28" t="s">
        <v>158</v>
      </c>
      <c r="AQ307" s="39">
        <f>SUM(AH308:AH312)</f>
        <v>0</v>
      </c>
      <c r="AR307" s="39">
        <f>SUM(AI308:AI312)</f>
        <v>0</v>
      </c>
      <c r="AS307" s="39">
        <f>SUM(AJ308:AJ312)</f>
        <v>0</v>
      </c>
    </row>
    <row r="308" spans="1:60" ht="12.75">
      <c r="A308" s="64" t="s">
        <v>130</v>
      </c>
      <c r="B308" s="64" t="s">
        <v>158</v>
      </c>
      <c r="C308" s="64" t="s">
        <v>293</v>
      </c>
      <c r="D308" s="64" t="s">
        <v>569</v>
      </c>
      <c r="E308" s="64" t="s">
        <v>631</v>
      </c>
      <c r="F308" s="67">
        <v>224.19</v>
      </c>
      <c r="G308" s="68"/>
      <c r="H308" s="100">
        <f>F308*G308</f>
        <v>0</v>
      </c>
      <c r="I308" s="81">
        <v>7E-05</v>
      </c>
      <c r="J308" s="81">
        <f>F308*I308</f>
        <v>0.015693299999999997</v>
      </c>
      <c r="K308" s="61" t="s">
        <v>653</v>
      </c>
      <c r="X308" s="36">
        <f>IF(AO308="5",BH308,0)</f>
        <v>0</v>
      </c>
      <c r="Z308" s="36">
        <f>IF(AO308="1",BF308,0)</f>
        <v>0</v>
      </c>
      <c r="AA308" s="36">
        <f>IF(AO308="1",BG308,0)</f>
        <v>0</v>
      </c>
      <c r="AB308" s="36">
        <f>IF(AO308="7",BF308,0)</f>
        <v>0</v>
      </c>
      <c r="AC308" s="36">
        <f>IF(AO308="7",BG308,0)</f>
        <v>0</v>
      </c>
      <c r="AD308" s="36">
        <f>IF(AO308="2",BF308,0)</f>
        <v>0</v>
      </c>
      <c r="AE308" s="36">
        <f>IF(AO308="2",BG308,0)</f>
        <v>0</v>
      </c>
      <c r="AF308" s="36">
        <f>IF(AO308="0",BH308,0)</f>
        <v>0</v>
      </c>
      <c r="AG308" s="28" t="s">
        <v>158</v>
      </c>
      <c r="AH308" s="20">
        <f>IF(AL308=0,H308,0)</f>
        <v>0</v>
      </c>
      <c r="AI308" s="20">
        <f>IF(AL308=15,H308,0)</f>
        <v>0</v>
      </c>
      <c r="AJ308" s="20">
        <f>IF(AL308=21,H308,0)</f>
        <v>0</v>
      </c>
      <c r="AL308" s="36">
        <v>21</v>
      </c>
      <c r="AM308" s="36">
        <f>G308*0.26796774255185</f>
        <v>0</v>
      </c>
      <c r="AN308" s="36">
        <f>G308*(1-0.26796774255185)</f>
        <v>0</v>
      </c>
      <c r="AO308" s="32" t="s">
        <v>13</v>
      </c>
      <c r="AT308" s="36">
        <f>AU308+AV308</f>
        <v>0</v>
      </c>
      <c r="AU308" s="36">
        <f>F308*AM308</f>
        <v>0</v>
      </c>
      <c r="AV308" s="36">
        <f>F308*AN308</f>
        <v>0</v>
      </c>
      <c r="AW308" s="37" t="s">
        <v>689</v>
      </c>
      <c r="AX308" s="37" t="s">
        <v>700</v>
      </c>
      <c r="AY308" s="28" t="s">
        <v>705</v>
      </c>
      <c r="BA308" s="36">
        <f>AU308+AV308</f>
        <v>0</v>
      </c>
      <c r="BB308" s="36">
        <f>G308/(100-BC308)*100</f>
        <v>0</v>
      </c>
      <c r="BC308" s="36">
        <v>0</v>
      </c>
      <c r="BD308" s="36">
        <f>J308</f>
        <v>0.015693299999999997</v>
      </c>
      <c r="BF308" s="20">
        <f>F308*AM308</f>
        <v>0</v>
      </c>
      <c r="BG308" s="20">
        <f>F308*AN308</f>
        <v>0</v>
      </c>
      <c r="BH308" s="20">
        <f>F308*G308</f>
        <v>0</v>
      </c>
    </row>
    <row r="309" spans="1:11" ht="12.75">
      <c r="A309" s="70"/>
      <c r="B309" s="70"/>
      <c r="C309" s="70"/>
      <c r="D309" s="71" t="s">
        <v>436</v>
      </c>
      <c r="E309" s="70"/>
      <c r="F309" s="72">
        <v>123.84</v>
      </c>
      <c r="G309" s="70"/>
      <c r="H309" s="101"/>
      <c r="I309" s="82"/>
      <c r="J309" s="82"/>
      <c r="K309" s="62"/>
    </row>
    <row r="310" spans="1:11" ht="12.75">
      <c r="A310" s="70"/>
      <c r="B310" s="70"/>
      <c r="C310" s="70"/>
      <c r="D310" s="71" t="s">
        <v>438</v>
      </c>
      <c r="E310" s="70"/>
      <c r="F310" s="72">
        <v>96.39</v>
      </c>
      <c r="G310" s="70"/>
      <c r="H310" s="101"/>
      <c r="I310" s="82"/>
      <c r="J310" s="82"/>
      <c r="K310" s="62"/>
    </row>
    <row r="311" spans="1:11" ht="12.75">
      <c r="A311" s="70"/>
      <c r="B311" s="70"/>
      <c r="C311" s="70"/>
      <c r="D311" s="71" t="s">
        <v>440</v>
      </c>
      <c r="E311" s="70"/>
      <c r="F311" s="72">
        <v>3.96</v>
      </c>
      <c r="G311" s="70"/>
      <c r="H311" s="101"/>
      <c r="I311" s="82"/>
      <c r="J311" s="82"/>
      <c r="K311" s="62"/>
    </row>
    <row r="312" spans="1:60" ht="12.75">
      <c r="A312" s="64" t="s">
        <v>131</v>
      </c>
      <c r="B312" s="64" t="s">
        <v>158</v>
      </c>
      <c r="C312" s="64" t="s">
        <v>294</v>
      </c>
      <c r="D312" s="64" t="s">
        <v>570</v>
      </c>
      <c r="E312" s="64" t="s">
        <v>631</v>
      </c>
      <c r="F312" s="67">
        <v>224.19</v>
      </c>
      <c r="G312" s="68"/>
      <c r="H312" s="100">
        <f>F312*G312</f>
        <v>0</v>
      </c>
      <c r="I312" s="81">
        <v>0.00015</v>
      </c>
      <c r="J312" s="81">
        <f>F312*I312</f>
        <v>0.0336285</v>
      </c>
      <c r="K312" s="61" t="s">
        <v>653</v>
      </c>
      <c r="X312" s="36">
        <f>IF(AO312="5",BH312,0)</f>
        <v>0</v>
      </c>
      <c r="Z312" s="36">
        <f>IF(AO312="1",BF312,0)</f>
        <v>0</v>
      </c>
      <c r="AA312" s="36">
        <f>IF(AO312="1",BG312,0)</f>
        <v>0</v>
      </c>
      <c r="AB312" s="36">
        <f>IF(AO312="7",BF312,0)</f>
        <v>0</v>
      </c>
      <c r="AC312" s="36">
        <f>IF(AO312="7",BG312,0)</f>
        <v>0</v>
      </c>
      <c r="AD312" s="36">
        <f>IF(AO312="2",BF312,0)</f>
        <v>0</v>
      </c>
      <c r="AE312" s="36">
        <f>IF(AO312="2",BG312,0)</f>
        <v>0</v>
      </c>
      <c r="AF312" s="36">
        <f>IF(AO312="0",BH312,0)</f>
        <v>0</v>
      </c>
      <c r="AG312" s="28" t="s">
        <v>158</v>
      </c>
      <c r="AH312" s="20">
        <f>IF(AL312=0,H312,0)</f>
        <v>0</v>
      </c>
      <c r="AI312" s="20">
        <f>IF(AL312=15,H312,0)</f>
        <v>0</v>
      </c>
      <c r="AJ312" s="20">
        <f>IF(AL312=21,H312,0)</f>
        <v>0</v>
      </c>
      <c r="AL312" s="36">
        <v>21</v>
      </c>
      <c r="AM312" s="36">
        <f>G312*0.0943997326538285</f>
        <v>0</v>
      </c>
      <c r="AN312" s="36">
        <f>G312*(1-0.0943997326538285)</f>
        <v>0</v>
      </c>
      <c r="AO312" s="32" t="s">
        <v>13</v>
      </c>
      <c r="AT312" s="36">
        <f>AU312+AV312</f>
        <v>0</v>
      </c>
      <c r="AU312" s="36">
        <f>F312*AM312</f>
        <v>0</v>
      </c>
      <c r="AV312" s="36">
        <f>F312*AN312</f>
        <v>0</v>
      </c>
      <c r="AW312" s="37" t="s">
        <v>689</v>
      </c>
      <c r="AX312" s="37" t="s">
        <v>700</v>
      </c>
      <c r="AY312" s="28" t="s">
        <v>705</v>
      </c>
      <c r="BA312" s="36">
        <f>AU312+AV312</f>
        <v>0</v>
      </c>
      <c r="BB312" s="36">
        <f>G312/(100-BC312)*100</f>
        <v>0</v>
      </c>
      <c r="BC312" s="36">
        <v>0</v>
      </c>
      <c r="BD312" s="36">
        <f>J312</f>
        <v>0.0336285</v>
      </c>
      <c r="BF312" s="20">
        <f>F312*AM312</f>
        <v>0</v>
      </c>
      <c r="BG312" s="20">
        <f>F312*AN312</f>
        <v>0</v>
      </c>
      <c r="BH312" s="20">
        <f>F312*G312</f>
        <v>0</v>
      </c>
    </row>
    <row r="313" spans="1:11" ht="12.75">
      <c r="A313" s="70"/>
      <c r="B313" s="70"/>
      <c r="C313" s="70"/>
      <c r="D313" s="71" t="s">
        <v>436</v>
      </c>
      <c r="E313" s="70"/>
      <c r="F313" s="72">
        <v>123.84</v>
      </c>
      <c r="G313" s="70"/>
      <c r="H313" s="70"/>
      <c r="I313" s="82"/>
      <c r="J313" s="82"/>
      <c r="K313" s="62"/>
    </row>
    <row r="314" spans="1:11" ht="12.75">
      <c r="A314" s="70"/>
      <c r="B314" s="70"/>
      <c r="C314" s="70"/>
      <c r="D314" s="71" t="s">
        <v>438</v>
      </c>
      <c r="E314" s="70"/>
      <c r="F314" s="72">
        <v>96.39</v>
      </c>
      <c r="G314" s="70"/>
      <c r="H314" s="70"/>
      <c r="I314" s="82"/>
      <c r="J314" s="82"/>
      <c r="K314" s="62"/>
    </row>
    <row r="315" spans="1:11" ht="12.75">
      <c r="A315" s="65"/>
      <c r="B315" s="65"/>
      <c r="C315" s="65"/>
      <c r="D315" s="66" t="s">
        <v>440</v>
      </c>
      <c r="E315" s="65"/>
      <c r="F315" s="69">
        <v>3.96</v>
      </c>
      <c r="G315" s="65"/>
      <c r="H315" s="65"/>
      <c r="I315" s="83"/>
      <c r="J315" s="83"/>
      <c r="K315" s="63"/>
    </row>
    <row r="316" spans="1:11" ht="12.75">
      <c r="A316" s="7"/>
      <c r="B316" s="15" t="s">
        <v>159</v>
      </c>
      <c r="C316" s="15"/>
      <c r="D316" s="15" t="s">
        <v>571</v>
      </c>
      <c r="E316" s="7" t="s">
        <v>6</v>
      </c>
      <c r="F316" s="7" t="s">
        <v>6</v>
      </c>
      <c r="G316" s="7"/>
      <c r="H316" s="40">
        <f>H317+H327+H340+H349+H365+H368+H385+H389+H399+H402+H405</f>
        <v>0</v>
      </c>
      <c r="I316" s="85"/>
      <c r="J316" s="85">
        <f>J317+J327+J340+J349+J365+J368+J385+J389+J399+J402+J405</f>
        <v>631.1305049700001</v>
      </c>
      <c r="K316" s="29"/>
    </row>
    <row r="317" spans="1:45" ht="12.75">
      <c r="A317" s="4"/>
      <c r="B317" s="14" t="s">
        <v>159</v>
      </c>
      <c r="C317" s="14" t="s">
        <v>18</v>
      </c>
      <c r="D317" s="14" t="s">
        <v>307</v>
      </c>
      <c r="E317" s="4" t="s">
        <v>6</v>
      </c>
      <c r="F317" s="4" t="s">
        <v>6</v>
      </c>
      <c r="G317" s="4"/>
      <c r="H317" s="39">
        <f>SUM(H318:H324)</f>
        <v>0</v>
      </c>
      <c r="I317" s="80"/>
      <c r="J317" s="80">
        <f>SUM(J318:J324)</f>
        <v>0</v>
      </c>
      <c r="K317" s="28"/>
      <c r="AG317" s="28" t="s">
        <v>159</v>
      </c>
      <c r="AQ317" s="39">
        <f>SUM(AH318:AH324)</f>
        <v>0</v>
      </c>
      <c r="AR317" s="39">
        <f>SUM(AI318:AI324)</f>
        <v>0</v>
      </c>
      <c r="AS317" s="39">
        <f>SUM(AJ318:AJ324)</f>
        <v>0</v>
      </c>
    </row>
    <row r="318" spans="1:60" ht="12.75">
      <c r="A318" s="5" t="s">
        <v>132</v>
      </c>
      <c r="B318" s="5" t="s">
        <v>159</v>
      </c>
      <c r="C318" s="5" t="s">
        <v>162</v>
      </c>
      <c r="D318" s="5" t="s">
        <v>308</v>
      </c>
      <c r="E318" s="5" t="s">
        <v>630</v>
      </c>
      <c r="F318" s="57">
        <v>33.862</v>
      </c>
      <c r="G318" s="20"/>
      <c r="H318" s="20">
        <f>F318*G318</f>
        <v>0</v>
      </c>
      <c r="I318" s="86">
        <v>0</v>
      </c>
      <c r="J318" s="86">
        <f>F318*I318</f>
        <v>0</v>
      </c>
      <c r="K318" s="32" t="s">
        <v>653</v>
      </c>
      <c r="X318" s="36">
        <f>IF(AO318="5",BH318,0)</f>
        <v>0</v>
      </c>
      <c r="Z318" s="36">
        <f>IF(AO318="1",BF318,0)</f>
        <v>0</v>
      </c>
      <c r="AA318" s="36">
        <f>IF(AO318="1",BG318,0)</f>
        <v>0</v>
      </c>
      <c r="AB318" s="36">
        <f>IF(AO318="7",BF318,0)</f>
        <v>0</v>
      </c>
      <c r="AC318" s="36">
        <f>IF(AO318="7",BG318,0)</f>
        <v>0</v>
      </c>
      <c r="AD318" s="36">
        <f>IF(AO318="2",BF318,0)</f>
        <v>0</v>
      </c>
      <c r="AE318" s="36">
        <f>IF(AO318="2",BG318,0)</f>
        <v>0</v>
      </c>
      <c r="AF318" s="36">
        <f>IF(AO318="0",BH318,0)</f>
        <v>0</v>
      </c>
      <c r="AG318" s="28" t="s">
        <v>159</v>
      </c>
      <c r="AH318" s="20">
        <f>IF(AL318=0,H318,0)</f>
        <v>0</v>
      </c>
      <c r="AI318" s="20">
        <f>IF(AL318=15,H318,0)</f>
        <v>0</v>
      </c>
      <c r="AJ318" s="20">
        <f>IF(AL318=21,H318,0)</f>
        <v>0</v>
      </c>
      <c r="AL318" s="36">
        <v>21</v>
      </c>
      <c r="AM318" s="36">
        <f>G318*0</f>
        <v>0</v>
      </c>
      <c r="AN318" s="36">
        <f>G318*(1-0)</f>
        <v>0</v>
      </c>
      <c r="AO318" s="32" t="s">
        <v>7</v>
      </c>
      <c r="AT318" s="36">
        <f>AU318+AV318</f>
        <v>0</v>
      </c>
      <c r="AU318" s="36">
        <f>F318*AM318</f>
        <v>0</v>
      </c>
      <c r="AV318" s="36">
        <f>F318*AN318</f>
        <v>0</v>
      </c>
      <c r="AW318" s="37" t="s">
        <v>665</v>
      </c>
      <c r="AX318" s="37" t="s">
        <v>701</v>
      </c>
      <c r="AY318" s="28" t="s">
        <v>706</v>
      </c>
      <c r="BA318" s="36">
        <f>AU318+AV318</f>
        <v>0</v>
      </c>
      <c r="BB318" s="36">
        <f>G318/(100-BC318)*100</f>
        <v>0</v>
      </c>
      <c r="BC318" s="36">
        <v>0</v>
      </c>
      <c r="BD318" s="36">
        <f>J318</f>
        <v>0</v>
      </c>
      <c r="BF318" s="20">
        <f>F318*AM318</f>
        <v>0</v>
      </c>
      <c r="BG318" s="20">
        <f>F318*AN318</f>
        <v>0</v>
      </c>
      <c r="BH318" s="20">
        <f>F318*G318</f>
        <v>0</v>
      </c>
    </row>
    <row r="319" spans="4:10" ht="12.75">
      <c r="D319" s="17" t="s">
        <v>572</v>
      </c>
      <c r="F319" s="58">
        <v>28.78</v>
      </c>
      <c r="H319" s="104"/>
      <c r="I319" s="87"/>
      <c r="J319" s="87"/>
    </row>
    <row r="320" spans="4:10" ht="12.75">
      <c r="D320" s="17" t="s">
        <v>573</v>
      </c>
      <c r="F320" s="58">
        <v>5.082</v>
      </c>
      <c r="H320" s="104"/>
      <c r="I320" s="87"/>
      <c r="J320" s="87"/>
    </row>
    <row r="321" spans="1:60" ht="12.75">
      <c r="A321" s="5" t="s">
        <v>133</v>
      </c>
      <c r="B321" s="5" t="s">
        <v>159</v>
      </c>
      <c r="C321" s="5" t="s">
        <v>163</v>
      </c>
      <c r="D321" s="5" t="s">
        <v>310</v>
      </c>
      <c r="E321" s="5" t="s">
        <v>630</v>
      </c>
      <c r="F321" s="57">
        <v>352.295</v>
      </c>
      <c r="G321" s="20"/>
      <c r="H321" s="20">
        <f>F321*G321</f>
        <v>0</v>
      </c>
      <c r="I321" s="86">
        <v>0</v>
      </c>
      <c r="J321" s="86">
        <f>F321*I321</f>
        <v>0</v>
      </c>
      <c r="K321" s="32" t="s">
        <v>653</v>
      </c>
      <c r="X321" s="36">
        <f>IF(AO321="5",BH321,0)</f>
        <v>0</v>
      </c>
      <c r="Z321" s="36">
        <f>IF(AO321="1",BF321,0)</f>
        <v>0</v>
      </c>
      <c r="AA321" s="36">
        <f>IF(AO321="1",BG321,0)</f>
        <v>0</v>
      </c>
      <c r="AB321" s="36">
        <f>IF(AO321="7",BF321,0)</f>
        <v>0</v>
      </c>
      <c r="AC321" s="36">
        <f>IF(AO321="7",BG321,0)</f>
        <v>0</v>
      </c>
      <c r="AD321" s="36">
        <f>IF(AO321="2",BF321,0)</f>
        <v>0</v>
      </c>
      <c r="AE321" s="36">
        <f>IF(AO321="2",BG321,0)</f>
        <v>0</v>
      </c>
      <c r="AF321" s="36">
        <f>IF(AO321="0",BH321,0)</f>
        <v>0</v>
      </c>
      <c r="AG321" s="28" t="s">
        <v>159</v>
      </c>
      <c r="AH321" s="20">
        <f>IF(AL321=0,H321,0)</f>
        <v>0</v>
      </c>
      <c r="AI321" s="20">
        <f>IF(AL321=15,H321,0)</f>
        <v>0</v>
      </c>
      <c r="AJ321" s="20">
        <f>IF(AL321=21,H321,0)</f>
        <v>0</v>
      </c>
      <c r="AL321" s="36">
        <v>21</v>
      </c>
      <c r="AM321" s="36">
        <f>G321*0</f>
        <v>0</v>
      </c>
      <c r="AN321" s="36">
        <f>G321*(1-0)</f>
        <v>0</v>
      </c>
      <c r="AO321" s="32" t="s">
        <v>7</v>
      </c>
      <c r="AT321" s="36">
        <f>AU321+AV321</f>
        <v>0</v>
      </c>
      <c r="AU321" s="36">
        <f>F321*AM321</f>
        <v>0</v>
      </c>
      <c r="AV321" s="36">
        <f>F321*AN321</f>
        <v>0</v>
      </c>
      <c r="AW321" s="37" t="s">
        <v>665</v>
      </c>
      <c r="AX321" s="37" t="s">
        <v>701</v>
      </c>
      <c r="AY321" s="28" t="s">
        <v>706</v>
      </c>
      <c r="BA321" s="36">
        <f>AU321+AV321</f>
        <v>0</v>
      </c>
      <c r="BB321" s="36">
        <f>G321/(100-BC321)*100</f>
        <v>0</v>
      </c>
      <c r="BC321" s="36">
        <v>0</v>
      </c>
      <c r="BD321" s="36">
        <f>J321</f>
        <v>0</v>
      </c>
      <c r="BF321" s="20">
        <f>F321*AM321</f>
        <v>0</v>
      </c>
      <c r="BG321" s="20">
        <f>F321*AN321</f>
        <v>0</v>
      </c>
      <c r="BH321" s="20">
        <f>F321*G321</f>
        <v>0</v>
      </c>
    </row>
    <row r="322" spans="4:10" ht="12.75">
      <c r="D322" s="17" t="s">
        <v>574</v>
      </c>
      <c r="F322" s="58">
        <v>247.661</v>
      </c>
      <c r="H322" s="104"/>
      <c r="I322" s="87"/>
      <c r="J322" s="87"/>
    </row>
    <row r="323" spans="4:10" ht="12.75">
      <c r="D323" s="17" t="s">
        <v>575</v>
      </c>
      <c r="F323" s="58">
        <v>104.634</v>
      </c>
      <c r="H323" s="104"/>
      <c r="I323" s="87"/>
      <c r="J323" s="87"/>
    </row>
    <row r="324" spans="1:60" ht="12.75">
      <c r="A324" s="5" t="s">
        <v>134</v>
      </c>
      <c r="B324" s="5" t="s">
        <v>159</v>
      </c>
      <c r="C324" s="5" t="s">
        <v>164</v>
      </c>
      <c r="D324" s="5" t="s">
        <v>312</v>
      </c>
      <c r="E324" s="5" t="s">
        <v>630</v>
      </c>
      <c r="F324" s="57">
        <v>352.295</v>
      </c>
      <c r="G324" s="20"/>
      <c r="H324" s="20">
        <f>F324*G324</f>
        <v>0</v>
      </c>
      <c r="I324" s="86">
        <v>0</v>
      </c>
      <c r="J324" s="86">
        <f>F324*I324</f>
        <v>0</v>
      </c>
      <c r="K324" s="32" t="s">
        <v>653</v>
      </c>
      <c r="X324" s="36">
        <f>IF(AO324="5",BH324,0)</f>
        <v>0</v>
      </c>
      <c r="Z324" s="36">
        <f>IF(AO324="1",BF324,0)</f>
        <v>0</v>
      </c>
      <c r="AA324" s="36">
        <f>IF(AO324="1",BG324,0)</f>
        <v>0</v>
      </c>
      <c r="AB324" s="36">
        <f>IF(AO324="7",BF324,0)</f>
        <v>0</v>
      </c>
      <c r="AC324" s="36">
        <f>IF(AO324="7",BG324,0)</f>
        <v>0</v>
      </c>
      <c r="AD324" s="36">
        <f>IF(AO324="2",BF324,0)</f>
        <v>0</v>
      </c>
      <c r="AE324" s="36">
        <f>IF(AO324="2",BG324,0)</f>
        <v>0</v>
      </c>
      <c r="AF324" s="36">
        <f>IF(AO324="0",BH324,0)</f>
        <v>0</v>
      </c>
      <c r="AG324" s="28" t="s">
        <v>159</v>
      </c>
      <c r="AH324" s="20">
        <f>IF(AL324=0,H324,0)</f>
        <v>0</v>
      </c>
      <c r="AI324" s="20">
        <f>IF(AL324=15,H324,0)</f>
        <v>0</v>
      </c>
      <c r="AJ324" s="20">
        <f>IF(AL324=21,H324,0)</f>
        <v>0</v>
      </c>
      <c r="AL324" s="36">
        <v>21</v>
      </c>
      <c r="AM324" s="36">
        <f>G324*0</f>
        <v>0</v>
      </c>
      <c r="AN324" s="36">
        <f>G324*(1-0)</f>
        <v>0</v>
      </c>
      <c r="AO324" s="32" t="s">
        <v>7</v>
      </c>
      <c r="AT324" s="36">
        <f>AU324+AV324</f>
        <v>0</v>
      </c>
      <c r="AU324" s="36">
        <f>F324*AM324</f>
        <v>0</v>
      </c>
      <c r="AV324" s="36">
        <f>F324*AN324</f>
        <v>0</v>
      </c>
      <c r="AW324" s="37" t="s">
        <v>665</v>
      </c>
      <c r="AX324" s="37" t="s">
        <v>701</v>
      </c>
      <c r="AY324" s="28" t="s">
        <v>706</v>
      </c>
      <c r="BA324" s="36">
        <f>AU324+AV324</f>
        <v>0</v>
      </c>
      <c r="BB324" s="36">
        <f>G324/(100-BC324)*100</f>
        <v>0</v>
      </c>
      <c r="BC324" s="36">
        <v>0</v>
      </c>
      <c r="BD324" s="36">
        <f>J324</f>
        <v>0</v>
      </c>
      <c r="BF324" s="20">
        <f>F324*AM324</f>
        <v>0</v>
      </c>
      <c r="BG324" s="20">
        <f>F324*AN324</f>
        <v>0</v>
      </c>
      <c r="BH324" s="20">
        <f>F324*G324</f>
        <v>0</v>
      </c>
    </row>
    <row r="325" spans="4:10" ht="12.75">
      <c r="D325" s="17" t="s">
        <v>574</v>
      </c>
      <c r="F325" s="58">
        <v>247.661</v>
      </c>
      <c r="I325" s="87"/>
      <c r="J325" s="87"/>
    </row>
    <row r="326" spans="4:10" ht="12.75">
      <c r="D326" s="17" t="s">
        <v>575</v>
      </c>
      <c r="F326" s="58">
        <v>104.634</v>
      </c>
      <c r="I326" s="87"/>
      <c r="J326" s="87"/>
    </row>
    <row r="327" spans="1:45" ht="12.75">
      <c r="A327" s="4"/>
      <c r="B327" s="14" t="s">
        <v>159</v>
      </c>
      <c r="C327" s="14" t="s">
        <v>19</v>
      </c>
      <c r="D327" s="14" t="s">
        <v>313</v>
      </c>
      <c r="E327" s="4" t="s">
        <v>6</v>
      </c>
      <c r="F327" s="4" t="s">
        <v>6</v>
      </c>
      <c r="G327" s="4"/>
      <c r="H327" s="39">
        <f>SUM(H328:H336)</f>
        <v>0</v>
      </c>
      <c r="I327" s="80"/>
      <c r="J327" s="80">
        <f>SUM(J328:J336)</f>
        <v>0</v>
      </c>
      <c r="K327" s="28"/>
      <c r="AG327" s="28" t="s">
        <v>159</v>
      </c>
      <c r="AQ327" s="39">
        <f>SUM(AH328:AH336)</f>
        <v>0</v>
      </c>
      <c r="AR327" s="39">
        <f>SUM(AI328:AI336)</f>
        <v>0</v>
      </c>
      <c r="AS327" s="39">
        <f>SUM(AJ328:AJ336)</f>
        <v>0</v>
      </c>
    </row>
    <row r="328" spans="1:60" ht="12.75">
      <c r="A328" s="5" t="s">
        <v>135</v>
      </c>
      <c r="B328" s="5" t="s">
        <v>159</v>
      </c>
      <c r="C328" s="5" t="s">
        <v>169</v>
      </c>
      <c r="D328" s="5" t="s">
        <v>324</v>
      </c>
      <c r="E328" s="5" t="s">
        <v>630</v>
      </c>
      <c r="F328" s="57">
        <v>147.021</v>
      </c>
      <c r="G328" s="20"/>
      <c r="H328" s="20">
        <f>F328*G328</f>
        <v>0</v>
      </c>
      <c r="I328" s="86">
        <v>0</v>
      </c>
      <c r="J328" s="86">
        <f>F328*I328</f>
        <v>0</v>
      </c>
      <c r="K328" s="32" t="s">
        <v>653</v>
      </c>
      <c r="X328" s="36">
        <f>IF(AO328="5",BH328,0)</f>
        <v>0</v>
      </c>
      <c r="Z328" s="36">
        <f>IF(AO328="1",BF328,0)</f>
        <v>0</v>
      </c>
      <c r="AA328" s="36">
        <f>IF(AO328="1",BG328,0)</f>
        <v>0</v>
      </c>
      <c r="AB328" s="36">
        <f>IF(AO328="7",BF328,0)</f>
        <v>0</v>
      </c>
      <c r="AC328" s="36">
        <f>IF(AO328="7",BG328,0)</f>
        <v>0</v>
      </c>
      <c r="AD328" s="36">
        <f>IF(AO328="2",BF328,0)</f>
        <v>0</v>
      </c>
      <c r="AE328" s="36">
        <f>IF(AO328="2",BG328,0)</f>
        <v>0</v>
      </c>
      <c r="AF328" s="36">
        <f>IF(AO328="0",BH328,0)</f>
        <v>0</v>
      </c>
      <c r="AG328" s="28" t="s">
        <v>159</v>
      </c>
      <c r="AH328" s="20">
        <f>IF(AL328=0,H328,0)</f>
        <v>0</v>
      </c>
      <c r="AI328" s="20">
        <f>IF(AL328=15,H328,0)</f>
        <v>0</v>
      </c>
      <c r="AJ328" s="20">
        <f>IF(AL328=21,H328,0)</f>
        <v>0</v>
      </c>
      <c r="AL328" s="36">
        <v>21</v>
      </c>
      <c r="AM328" s="36">
        <f>G328*0</f>
        <v>0</v>
      </c>
      <c r="AN328" s="36">
        <f>G328*(1-0)</f>
        <v>0</v>
      </c>
      <c r="AO328" s="32" t="s">
        <v>7</v>
      </c>
      <c r="AT328" s="36">
        <f>AU328+AV328</f>
        <v>0</v>
      </c>
      <c r="AU328" s="36">
        <f>F328*AM328</f>
        <v>0</v>
      </c>
      <c r="AV328" s="36">
        <f>F328*AN328</f>
        <v>0</v>
      </c>
      <c r="AW328" s="37" t="s">
        <v>666</v>
      </c>
      <c r="AX328" s="37" t="s">
        <v>701</v>
      </c>
      <c r="AY328" s="28" t="s">
        <v>706</v>
      </c>
      <c r="BA328" s="36">
        <f>AU328+AV328</f>
        <v>0</v>
      </c>
      <c r="BB328" s="36">
        <f>G328/(100-BC328)*100</f>
        <v>0</v>
      </c>
      <c r="BC328" s="36">
        <v>0</v>
      </c>
      <c r="BD328" s="36">
        <f>J328</f>
        <v>0</v>
      </c>
      <c r="BF328" s="20">
        <f>F328*AM328</f>
        <v>0</v>
      </c>
      <c r="BG328" s="20">
        <f>F328*AN328</f>
        <v>0</v>
      </c>
      <c r="BH328" s="20">
        <f>F328*G328</f>
        <v>0</v>
      </c>
    </row>
    <row r="329" spans="4:10" ht="12.75">
      <c r="D329" s="17" t="s">
        <v>576</v>
      </c>
      <c r="F329" s="58">
        <v>60.458</v>
      </c>
      <c r="H329" s="104"/>
      <c r="I329" s="87"/>
      <c r="J329" s="87"/>
    </row>
    <row r="330" spans="4:10" ht="12.75">
      <c r="D330" s="17" t="s">
        <v>577</v>
      </c>
      <c r="F330" s="58">
        <v>70.792</v>
      </c>
      <c r="H330" s="104"/>
      <c r="I330" s="87"/>
      <c r="J330" s="87"/>
    </row>
    <row r="331" spans="4:10" ht="12.75">
      <c r="D331" s="17" t="s">
        <v>578</v>
      </c>
      <c r="F331" s="58">
        <v>15.771</v>
      </c>
      <c r="H331" s="104"/>
      <c r="I331" s="87"/>
      <c r="J331" s="87"/>
    </row>
    <row r="332" spans="1:60" ht="12.75">
      <c r="A332" s="5" t="s">
        <v>136</v>
      </c>
      <c r="B332" s="5" t="s">
        <v>159</v>
      </c>
      <c r="C332" s="5" t="s">
        <v>170</v>
      </c>
      <c r="D332" s="5" t="s">
        <v>327</v>
      </c>
      <c r="E332" s="5" t="s">
        <v>630</v>
      </c>
      <c r="F332" s="57">
        <v>154.759</v>
      </c>
      <c r="G332" s="20"/>
      <c r="H332" s="20">
        <f>F332*G332</f>
        <v>0</v>
      </c>
      <c r="I332" s="86">
        <v>0</v>
      </c>
      <c r="J332" s="86">
        <f>F332*I332</f>
        <v>0</v>
      </c>
      <c r="K332" s="32" t="s">
        <v>653</v>
      </c>
      <c r="X332" s="36">
        <f>IF(AO332="5",BH332,0)</f>
        <v>0</v>
      </c>
      <c r="Z332" s="36">
        <f>IF(AO332="1",BF332,0)</f>
        <v>0</v>
      </c>
      <c r="AA332" s="36">
        <f>IF(AO332="1",BG332,0)</f>
        <v>0</v>
      </c>
      <c r="AB332" s="36">
        <f>IF(AO332="7",BF332,0)</f>
        <v>0</v>
      </c>
      <c r="AC332" s="36">
        <f>IF(AO332="7",BG332,0)</f>
        <v>0</v>
      </c>
      <c r="AD332" s="36">
        <f>IF(AO332="2",BF332,0)</f>
        <v>0</v>
      </c>
      <c r="AE332" s="36">
        <f>IF(AO332="2",BG332,0)</f>
        <v>0</v>
      </c>
      <c r="AF332" s="36">
        <f>IF(AO332="0",BH332,0)</f>
        <v>0</v>
      </c>
      <c r="AG332" s="28" t="s">
        <v>159</v>
      </c>
      <c r="AH332" s="20">
        <f>IF(AL332=0,H332,0)</f>
        <v>0</v>
      </c>
      <c r="AI332" s="20">
        <f>IF(AL332=15,H332,0)</f>
        <v>0</v>
      </c>
      <c r="AJ332" s="20">
        <f>IF(AL332=21,H332,0)</f>
        <v>0</v>
      </c>
      <c r="AL332" s="36">
        <v>21</v>
      </c>
      <c r="AM332" s="36">
        <f>G332*0</f>
        <v>0</v>
      </c>
      <c r="AN332" s="36">
        <f>G332*(1-0)</f>
        <v>0</v>
      </c>
      <c r="AO332" s="32" t="s">
        <v>7</v>
      </c>
      <c r="AT332" s="36">
        <f>AU332+AV332</f>
        <v>0</v>
      </c>
      <c r="AU332" s="36">
        <f>F332*AM332</f>
        <v>0</v>
      </c>
      <c r="AV332" s="36">
        <f>F332*AN332</f>
        <v>0</v>
      </c>
      <c r="AW332" s="37" t="s">
        <v>666</v>
      </c>
      <c r="AX332" s="37" t="s">
        <v>701</v>
      </c>
      <c r="AY332" s="28" t="s">
        <v>706</v>
      </c>
      <c r="BA332" s="36">
        <f>AU332+AV332</f>
        <v>0</v>
      </c>
      <c r="BB332" s="36">
        <f>G332/(100-BC332)*100</f>
        <v>0</v>
      </c>
      <c r="BC332" s="36">
        <v>0</v>
      </c>
      <c r="BD332" s="36">
        <f>J332</f>
        <v>0</v>
      </c>
      <c r="BF332" s="20">
        <f>F332*AM332</f>
        <v>0</v>
      </c>
      <c r="BG332" s="20">
        <f>F332*AN332</f>
        <v>0</v>
      </c>
      <c r="BH332" s="20">
        <f>F332*G332</f>
        <v>0</v>
      </c>
    </row>
    <row r="333" spans="4:10" ht="12.75">
      <c r="D333" s="17" t="s">
        <v>579</v>
      </c>
      <c r="F333" s="58">
        <v>63.64</v>
      </c>
      <c r="H333" s="104"/>
      <c r="I333" s="87"/>
      <c r="J333" s="87"/>
    </row>
    <row r="334" spans="4:10" ht="12.75">
      <c r="D334" s="17" t="s">
        <v>580</v>
      </c>
      <c r="F334" s="58">
        <v>74.518</v>
      </c>
      <c r="H334" s="104"/>
      <c r="I334" s="87"/>
      <c r="J334" s="87"/>
    </row>
    <row r="335" spans="4:10" ht="12.75">
      <c r="D335" s="17" t="s">
        <v>581</v>
      </c>
      <c r="F335" s="58">
        <v>16.601</v>
      </c>
      <c r="H335" s="104"/>
      <c r="I335" s="87"/>
      <c r="J335" s="87"/>
    </row>
    <row r="336" spans="1:60" ht="12.75">
      <c r="A336" s="5" t="s">
        <v>137</v>
      </c>
      <c r="B336" s="5" t="s">
        <v>159</v>
      </c>
      <c r="C336" s="5" t="s">
        <v>171</v>
      </c>
      <c r="D336" s="5" t="s">
        <v>330</v>
      </c>
      <c r="E336" s="5" t="s">
        <v>630</v>
      </c>
      <c r="F336" s="57">
        <v>7.738</v>
      </c>
      <c r="G336" s="20"/>
      <c r="H336" s="20">
        <f>F336*G336</f>
        <v>0</v>
      </c>
      <c r="I336" s="86">
        <v>0</v>
      </c>
      <c r="J336" s="86">
        <f>F336*I336</f>
        <v>0</v>
      </c>
      <c r="K336" s="32" t="s">
        <v>653</v>
      </c>
      <c r="X336" s="36">
        <f>IF(AO336="5",BH336,0)</f>
        <v>0</v>
      </c>
      <c r="Z336" s="36">
        <f>IF(AO336="1",BF336,0)</f>
        <v>0</v>
      </c>
      <c r="AA336" s="36">
        <f>IF(AO336="1",BG336,0)</f>
        <v>0</v>
      </c>
      <c r="AB336" s="36">
        <f>IF(AO336="7",BF336,0)</f>
        <v>0</v>
      </c>
      <c r="AC336" s="36">
        <f>IF(AO336="7",BG336,0)</f>
        <v>0</v>
      </c>
      <c r="AD336" s="36">
        <f>IF(AO336="2",BF336,0)</f>
        <v>0</v>
      </c>
      <c r="AE336" s="36">
        <f>IF(AO336="2",BG336,0)</f>
        <v>0</v>
      </c>
      <c r="AF336" s="36">
        <f>IF(AO336="0",BH336,0)</f>
        <v>0</v>
      </c>
      <c r="AG336" s="28" t="s">
        <v>159</v>
      </c>
      <c r="AH336" s="20">
        <f>IF(AL336=0,H336,0)</f>
        <v>0</v>
      </c>
      <c r="AI336" s="20">
        <f>IF(AL336=15,H336,0)</f>
        <v>0</v>
      </c>
      <c r="AJ336" s="20">
        <f>IF(AL336=21,H336,0)</f>
        <v>0</v>
      </c>
      <c r="AL336" s="36">
        <v>21</v>
      </c>
      <c r="AM336" s="36">
        <f>G336*0</f>
        <v>0</v>
      </c>
      <c r="AN336" s="36">
        <f>G336*(1-0)</f>
        <v>0</v>
      </c>
      <c r="AO336" s="32" t="s">
        <v>7</v>
      </c>
      <c r="AT336" s="36">
        <f>AU336+AV336</f>
        <v>0</v>
      </c>
      <c r="AU336" s="36">
        <f>F336*AM336</f>
        <v>0</v>
      </c>
      <c r="AV336" s="36">
        <f>F336*AN336</f>
        <v>0</v>
      </c>
      <c r="AW336" s="37" t="s">
        <v>666</v>
      </c>
      <c r="AX336" s="37" t="s">
        <v>701</v>
      </c>
      <c r="AY336" s="28" t="s">
        <v>706</v>
      </c>
      <c r="BA336" s="36">
        <f>AU336+AV336</f>
        <v>0</v>
      </c>
      <c r="BB336" s="36">
        <f>G336/(100-BC336)*100</f>
        <v>0</v>
      </c>
      <c r="BC336" s="36">
        <v>0</v>
      </c>
      <c r="BD336" s="36">
        <f>J336</f>
        <v>0</v>
      </c>
      <c r="BF336" s="20">
        <f>F336*AM336</f>
        <v>0</v>
      </c>
      <c r="BG336" s="20">
        <f>F336*AN336</f>
        <v>0</v>
      </c>
      <c r="BH336" s="20">
        <f>F336*G336</f>
        <v>0</v>
      </c>
    </row>
    <row r="337" spans="4:10" ht="12.75">
      <c r="D337" s="17" t="s">
        <v>582</v>
      </c>
      <c r="F337" s="58">
        <v>3.182</v>
      </c>
      <c r="I337" s="87"/>
      <c r="J337" s="87"/>
    </row>
    <row r="338" spans="4:10" ht="12.75">
      <c r="D338" s="17" t="s">
        <v>583</v>
      </c>
      <c r="F338" s="58">
        <v>3.726</v>
      </c>
      <c r="I338" s="87"/>
      <c r="J338" s="87"/>
    </row>
    <row r="339" spans="4:10" ht="12.75">
      <c r="D339" s="17" t="s">
        <v>584</v>
      </c>
      <c r="F339" s="58">
        <v>0.83</v>
      </c>
      <c r="I339" s="87"/>
      <c r="J339" s="87"/>
    </row>
    <row r="340" spans="1:45" ht="12.75">
      <c r="A340" s="4"/>
      <c r="B340" s="14" t="s">
        <v>159</v>
      </c>
      <c r="C340" s="14" t="s">
        <v>22</v>
      </c>
      <c r="D340" s="14" t="s">
        <v>332</v>
      </c>
      <c r="E340" s="4" t="s">
        <v>6</v>
      </c>
      <c r="F340" s="4" t="s">
        <v>6</v>
      </c>
      <c r="G340" s="4"/>
      <c r="H340" s="39">
        <f>SUM(H341:H347)</f>
        <v>0</v>
      </c>
      <c r="I340" s="80"/>
      <c r="J340" s="80">
        <f>SUM(J341:J347)</f>
        <v>0</v>
      </c>
      <c r="K340" s="28"/>
      <c r="AG340" s="28" t="s">
        <v>159</v>
      </c>
      <c r="AQ340" s="39">
        <f>SUM(AH341:AH347)</f>
        <v>0</v>
      </c>
      <c r="AR340" s="39">
        <f>SUM(AI341:AI347)</f>
        <v>0</v>
      </c>
      <c r="AS340" s="39">
        <f>SUM(AJ341:AJ347)</f>
        <v>0</v>
      </c>
    </row>
    <row r="341" spans="1:60" ht="12.75">
      <c r="A341" s="5" t="s">
        <v>138</v>
      </c>
      <c r="B341" s="5" t="s">
        <v>159</v>
      </c>
      <c r="C341" s="5" t="s">
        <v>172</v>
      </c>
      <c r="D341" s="5" t="s">
        <v>333</v>
      </c>
      <c r="E341" s="5" t="s">
        <v>630</v>
      </c>
      <c r="F341" s="57">
        <v>739.267</v>
      </c>
      <c r="G341" s="20"/>
      <c r="H341" s="20">
        <f>F341*G341</f>
        <v>0</v>
      </c>
      <c r="I341" s="86">
        <v>0</v>
      </c>
      <c r="J341" s="86">
        <f>F341*I341</f>
        <v>0</v>
      </c>
      <c r="K341" s="32" t="s">
        <v>653</v>
      </c>
      <c r="X341" s="36">
        <f>IF(AO341="5",BH341,0)</f>
        <v>0</v>
      </c>
      <c r="Z341" s="36">
        <f>IF(AO341="1",BF341,0)</f>
        <v>0</v>
      </c>
      <c r="AA341" s="36">
        <f>IF(AO341="1",BG341,0)</f>
        <v>0</v>
      </c>
      <c r="AB341" s="36">
        <f>IF(AO341="7",BF341,0)</f>
        <v>0</v>
      </c>
      <c r="AC341" s="36">
        <f>IF(AO341="7",BG341,0)</f>
        <v>0</v>
      </c>
      <c r="AD341" s="36">
        <f>IF(AO341="2",BF341,0)</f>
        <v>0</v>
      </c>
      <c r="AE341" s="36">
        <f>IF(AO341="2",BG341,0)</f>
        <v>0</v>
      </c>
      <c r="AF341" s="36">
        <f>IF(AO341="0",BH341,0)</f>
        <v>0</v>
      </c>
      <c r="AG341" s="28" t="s">
        <v>159</v>
      </c>
      <c r="AH341" s="20">
        <f>IF(AL341=0,H341,0)</f>
        <v>0</v>
      </c>
      <c r="AI341" s="20">
        <f>IF(AL341=15,H341,0)</f>
        <v>0</v>
      </c>
      <c r="AJ341" s="20">
        <f>IF(AL341=21,H341,0)</f>
        <v>0</v>
      </c>
      <c r="AL341" s="36">
        <v>21</v>
      </c>
      <c r="AM341" s="36">
        <f>G341*0</f>
        <v>0</v>
      </c>
      <c r="AN341" s="36">
        <f>G341*(1-0)</f>
        <v>0</v>
      </c>
      <c r="AO341" s="32" t="s">
        <v>7</v>
      </c>
      <c r="AT341" s="36">
        <f>AU341+AV341</f>
        <v>0</v>
      </c>
      <c r="AU341" s="36">
        <f>F341*AM341</f>
        <v>0</v>
      </c>
      <c r="AV341" s="36">
        <f>F341*AN341</f>
        <v>0</v>
      </c>
      <c r="AW341" s="37" t="s">
        <v>667</v>
      </c>
      <c r="AX341" s="37" t="s">
        <v>701</v>
      </c>
      <c r="AY341" s="28" t="s">
        <v>706</v>
      </c>
      <c r="BA341" s="36">
        <f>AU341+AV341</f>
        <v>0</v>
      </c>
      <c r="BB341" s="36">
        <f>G341/(100-BC341)*100</f>
        <v>0</v>
      </c>
      <c r="BC341" s="36">
        <v>0</v>
      </c>
      <c r="BD341" s="36">
        <f>J341</f>
        <v>0</v>
      </c>
      <c r="BF341" s="20">
        <f>F341*AM341</f>
        <v>0</v>
      </c>
      <c r="BG341" s="20">
        <f>F341*AN341</f>
        <v>0</v>
      </c>
      <c r="BH341" s="20">
        <f>F341*G341</f>
        <v>0</v>
      </c>
    </row>
    <row r="342" spans="4:10" ht="12.75">
      <c r="D342" s="17" t="s">
        <v>585</v>
      </c>
      <c r="F342" s="58">
        <v>739.267</v>
      </c>
      <c r="H342" s="104"/>
      <c r="I342" s="87"/>
      <c r="J342" s="87"/>
    </row>
    <row r="343" spans="1:60" ht="12.75">
      <c r="A343" s="5" t="s">
        <v>139</v>
      </c>
      <c r="B343" s="5" t="s">
        <v>159</v>
      </c>
      <c r="C343" s="5" t="s">
        <v>173</v>
      </c>
      <c r="D343" s="5" t="s">
        <v>335</v>
      </c>
      <c r="E343" s="5" t="s">
        <v>630</v>
      </c>
      <c r="F343" s="57">
        <v>1014.108</v>
      </c>
      <c r="G343" s="20"/>
      <c r="H343" s="20">
        <f>F343*G343</f>
        <v>0</v>
      </c>
      <c r="I343" s="86">
        <v>0</v>
      </c>
      <c r="J343" s="86">
        <f>F343*I343</f>
        <v>0</v>
      </c>
      <c r="K343" s="32" t="s">
        <v>653</v>
      </c>
      <c r="X343" s="36">
        <f>IF(AO343="5",BH343,0)</f>
        <v>0</v>
      </c>
      <c r="Z343" s="36">
        <f>IF(AO343="1",BF343,0)</f>
        <v>0</v>
      </c>
      <c r="AA343" s="36">
        <f>IF(AO343="1",BG343,0)</f>
        <v>0</v>
      </c>
      <c r="AB343" s="36">
        <f>IF(AO343="7",BF343,0)</f>
        <v>0</v>
      </c>
      <c r="AC343" s="36">
        <f>IF(AO343="7",BG343,0)</f>
        <v>0</v>
      </c>
      <c r="AD343" s="36">
        <f>IF(AO343="2",BF343,0)</f>
        <v>0</v>
      </c>
      <c r="AE343" s="36">
        <f>IF(AO343="2",BG343,0)</f>
        <v>0</v>
      </c>
      <c r="AF343" s="36">
        <f>IF(AO343="0",BH343,0)</f>
        <v>0</v>
      </c>
      <c r="AG343" s="28" t="s">
        <v>159</v>
      </c>
      <c r="AH343" s="20">
        <f>IF(AL343=0,H343,0)</f>
        <v>0</v>
      </c>
      <c r="AI343" s="20">
        <f>IF(AL343=15,H343,0)</f>
        <v>0</v>
      </c>
      <c r="AJ343" s="20">
        <f>IF(AL343=21,H343,0)</f>
        <v>0</v>
      </c>
      <c r="AL343" s="36">
        <v>21</v>
      </c>
      <c r="AM343" s="36">
        <f>G343*0</f>
        <v>0</v>
      </c>
      <c r="AN343" s="36">
        <f>G343*(1-0)</f>
        <v>0</v>
      </c>
      <c r="AO343" s="32" t="s">
        <v>7</v>
      </c>
      <c r="AT343" s="36">
        <f>AU343+AV343</f>
        <v>0</v>
      </c>
      <c r="AU343" s="36">
        <f>F343*AM343</f>
        <v>0</v>
      </c>
      <c r="AV343" s="36">
        <f>F343*AN343</f>
        <v>0</v>
      </c>
      <c r="AW343" s="37" t="s">
        <v>667</v>
      </c>
      <c r="AX343" s="37" t="s">
        <v>701</v>
      </c>
      <c r="AY343" s="28" t="s">
        <v>706</v>
      </c>
      <c r="BA343" s="36">
        <f>AU343+AV343</f>
        <v>0</v>
      </c>
      <c r="BB343" s="36">
        <f>G343/(100-BC343)*100</f>
        <v>0</v>
      </c>
      <c r="BC343" s="36">
        <v>0</v>
      </c>
      <c r="BD343" s="36">
        <f>J343</f>
        <v>0</v>
      </c>
      <c r="BF343" s="20">
        <f>F343*AM343</f>
        <v>0</v>
      </c>
      <c r="BG343" s="20">
        <f>F343*AN343</f>
        <v>0</v>
      </c>
      <c r="BH343" s="20">
        <f>F343*G343</f>
        <v>0</v>
      </c>
    </row>
    <row r="344" spans="4:10" ht="12.75">
      <c r="D344" s="17" t="s">
        <v>586</v>
      </c>
      <c r="F344" s="58">
        <v>1014.108</v>
      </c>
      <c r="H344" s="104"/>
      <c r="I344" s="87"/>
      <c r="J344" s="87"/>
    </row>
    <row r="345" spans="1:60" ht="12.75">
      <c r="A345" s="5" t="s">
        <v>140</v>
      </c>
      <c r="B345" s="5" t="s">
        <v>159</v>
      </c>
      <c r="C345" s="5" t="s">
        <v>174</v>
      </c>
      <c r="D345" s="5" t="s">
        <v>337</v>
      </c>
      <c r="E345" s="5" t="s">
        <v>630</v>
      </c>
      <c r="F345" s="57">
        <v>274.841</v>
      </c>
      <c r="G345" s="20"/>
      <c r="H345" s="20">
        <f>F345*G345</f>
        <v>0</v>
      </c>
      <c r="I345" s="86">
        <v>0</v>
      </c>
      <c r="J345" s="86">
        <f>F345*I345</f>
        <v>0</v>
      </c>
      <c r="K345" s="32" t="s">
        <v>653</v>
      </c>
      <c r="X345" s="36">
        <f>IF(AO345="5",BH345,0)</f>
        <v>0</v>
      </c>
      <c r="Z345" s="36">
        <f>IF(AO345="1",BF345,0)</f>
        <v>0</v>
      </c>
      <c r="AA345" s="36">
        <f>IF(AO345="1",BG345,0)</f>
        <v>0</v>
      </c>
      <c r="AB345" s="36">
        <f>IF(AO345="7",BF345,0)</f>
        <v>0</v>
      </c>
      <c r="AC345" s="36">
        <f>IF(AO345="7",BG345,0)</f>
        <v>0</v>
      </c>
      <c r="AD345" s="36">
        <f>IF(AO345="2",BF345,0)</f>
        <v>0</v>
      </c>
      <c r="AE345" s="36">
        <f>IF(AO345="2",BG345,0)</f>
        <v>0</v>
      </c>
      <c r="AF345" s="36">
        <f>IF(AO345="0",BH345,0)</f>
        <v>0</v>
      </c>
      <c r="AG345" s="28" t="s">
        <v>159</v>
      </c>
      <c r="AH345" s="20">
        <f>IF(AL345=0,H345,0)</f>
        <v>0</v>
      </c>
      <c r="AI345" s="20">
        <f>IF(AL345=15,H345,0)</f>
        <v>0</v>
      </c>
      <c r="AJ345" s="20">
        <f>IF(AL345=21,H345,0)</f>
        <v>0</v>
      </c>
      <c r="AL345" s="36">
        <v>21</v>
      </c>
      <c r="AM345" s="36">
        <f>G345*0</f>
        <v>0</v>
      </c>
      <c r="AN345" s="36">
        <f>G345*(1-0)</f>
        <v>0</v>
      </c>
      <c r="AO345" s="32" t="s">
        <v>7</v>
      </c>
      <c r="AT345" s="36">
        <f>AU345+AV345</f>
        <v>0</v>
      </c>
      <c r="AU345" s="36">
        <f>F345*AM345</f>
        <v>0</v>
      </c>
      <c r="AV345" s="36">
        <f>F345*AN345</f>
        <v>0</v>
      </c>
      <c r="AW345" s="37" t="s">
        <v>667</v>
      </c>
      <c r="AX345" s="37" t="s">
        <v>701</v>
      </c>
      <c r="AY345" s="28" t="s">
        <v>706</v>
      </c>
      <c r="BA345" s="36">
        <f>AU345+AV345</f>
        <v>0</v>
      </c>
      <c r="BB345" s="36">
        <f>G345/(100-BC345)*100</f>
        <v>0</v>
      </c>
      <c r="BC345" s="36">
        <v>0</v>
      </c>
      <c r="BD345" s="36">
        <f>J345</f>
        <v>0</v>
      </c>
      <c r="BF345" s="20">
        <f>F345*AM345</f>
        <v>0</v>
      </c>
      <c r="BG345" s="20">
        <f>F345*AN345</f>
        <v>0</v>
      </c>
      <c r="BH345" s="20">
        <f>F345*G345</f>
        <v>0</v>
      </c>
    </row>
    <row r="346" spans="4:10" ht="12.75">
      <c r="D346" s="17" t="s">
        <v>587</v>
      </c>
      <c r="F346" s="58">
        <v>274.841</v>
      </c>
      <c r="H346" s="104"/>
      <c r="I346" s="87"/>
      <c r="J346" s="87"/>
    </row>
    <row r="347" spans="1:60" ht="12.75">
      <c r="A347" s="5" t="s">
        <v>141</v>
      </c>
      <c r="B347" s="5" t="s">
        <v>159</v>
      </c>
      <c r="C347" s="5" t="s">
        <v>175</v>
      </c>
      <c r="D347" s="5" t="s">
        <v>339</v>
      </c>
      <c r="E347" s="5" t="s">
        <v>630</v>
      </c>
      <c r="F347" s="57">
        <v>2748.41</v>
      </c>
      <c r="G347" s="20"/>
      <c r="H347" s="20">
        <f>F347*G347</f>
        <v>0</v>
      </c>
      <c r="I347" s="86">
        <v>0</v>
      </c>
      <c r="J347" s="86">
        <f>F347*I347</f>
        <v>0</v>
      </c>
      <c r="K347" s="32" t="s">
        <v>653</v>
      </c>
      <c r="X347" s="36">
        <f>IF(AO347="5",BH347,0)</f>
        <v>0</v>
      </c>
      <c r="Z347" s="36">
        <f>IF(AO347="1",BF347,0)</f>
        <v>0</v>
      </c>
      <c r="AA347" s="36">
        <f>IF(AO347="1",BG347,0)</f>
        <v>0</v>
      </c>
      <c r="AB347" s="36">
        <f>IF(AO347="7",BF347,0)</f>
        <v>0</v>
      </c>
      <c r="AC347" s="36">
        <f>IF(AO347="7",BG347,0)</f>
        <v>0</v>
      </c>
      <c r="AD347" s="36">
        <f>IF(AO347="2",BF347,0)</f>
        <v>0</v>
      </c>
      <c r="AE347" s="36">
        <f>IF(AO347="2",BG347,0)</f>
        <v>0</v>
      </c>
      <c r="AF347" s="36">
        <f>IF(AO347="0",BH347,0)</f>
        <v>0</v>
      </c>
      <c r="AG347" s="28" t="s">
        <v>159</v>
      </c>
      <c r="AH347" s="20">
        <f>IF(AL347=0,H347,0)</f>
        <v>0</v>
      </c>
      <c r="AI347" s="20">
        <f>IF(AL347=15,H347,0)</f>
        <v>0</v>
      </c>
      <c r="AJ347" s="20">
        <f>IF(AL347=21,H347,0)</f>
        <v>0</v>
      </c>
      <c r="AL347" s="36">
        <v>21</v>
      </c>
      <c r="AM347" s="36">
        <f>G347*0</f>
        <v>0</v>
      </c>
      <c r="AN347" s="36">
        <f>G347*(1-0)</f>
        <v>0</v>
      </c>
      <c r="AO347" s="32" t="s">
        <v>7</v>
      </c>
      <c r="AT347" s="36">
        <f>AU347+AV347</f>
        <v>0</v>
      </c>
      <c r="AU347" s="36">
        <f>F347*AM347</f>
        <v>0</v>
      </c>
      <c r="AV347" s="36">
        <f>F347*AN347</f>
        <v>0</v>
      </c>
      <c r="AW347" s="37" t="s">
        <v>667</v>
      </c>
      <c r="AX347" s="37" t="s">
        <v>701</v>
      </c>
      <c r="AY347" s="28" t="s">
        <v>706</v>
      </c>
      <c r="BA347" s="36">
        <f>AU347+AV347</f>
        <v>0</v>
      </c>
      <c r="BB347" s="36">
        <f>G347/(100-BC347)*100</f>
        <v>0</v>
      </c>
      <c r="BC347" s="36">
        <v>0</v>
      </c>
      <c r="BD347" s="36">
        <f>J347</f>
        <v>0</v>
      </c>
      <c r="BF347" s="20">
        <f>F347*AM347</f>
        <v>0</v>
      </c>
      <c r="BG347" s="20">
        <f>F347*AN347</f>
        <v>0</v>
      </c>
      <c r="BH347" s="20">
        <f>F347*G347</f>
        <v>0</v>
      </c>
    </row>
    <row r="348" spans="4:10" ht="12.75">
      <c r="D348" s="17" t="s">
        <v>588</v>
      </c>
      <c r="F348" s="58">
        <v>2748.41</v>
      </c>
      <c r="I348" s="87"/>
      <c r="J348" s="87"/>
    </row>
    <row r="349" spans="1:45" ht="12.75">
      <c r="A349" s="4"/>
      <c r="B349" s="14" t="s">
        <v>159</v>
      </c>
      <c r="C349" s="14" t="s">
        <v>23</v>
      </c>
      <c r="D349" s="14" t="s">
        <v>341</v>
      </c>
      <c r="E349" s="4" t="s">
        <v>6</v>
      </c>
      <c r="F349" s="4" t="s">
        <v>6</v>
      </c>
      <c r="G349" s="4"/>
      <c r="H349" s="39">
        <f>SUM(H350:H362)</f>
        <v>0</v>
      </c>
      <c r="I349" s="80"/>
      <c r="J349" s="80">
        <f>SUM(J350:J362)</f>
        <v>0</v>
      </c>
      <c r="K349" s="28"/>
      <c r="AG349" s="28" t="s">
        <v>159</v>
      </c>
      <c r="AQ349" s="39">
        <f>SUM(AH350:AH362)</f>
        <v>0</v>
      </c>
      <c r="AR349" s="39">
        <f>SUM(AI350:AI362)</f>
        <v>0</v>
      </c>
      <c r="AS349" s="39">
        <f>SUM(AJ350:AJ362)</f>
        <v>0</v>
      </c>
    </row>
    <row r="350" spans="1:60" ht="12.75">
      <c r="A350" s="5" t="s">
        <v>142</v>
      </c>
      <c r="B350" s="5" t="s">
        <v>159</v>
      </c>
      <c r="C350" s="5" t="s">
        <v>177</v>
      </c>
      <c r="D350" s="5" t="s">
        <v>345</v>
      </c>
      <c r="E350" s="5" t="s">
        <v>630</v>
      </c>
      <c r="F350" s="57">
        <v>232.213</v>
      </c>
      <c r="G350" s="20"/>
      <c r="H350" s="20">
        <f>F350*G350</f>
        <v>0</v>
      </c>
      <c r="I350" s="86">
        <v>0</v>
      </c>
      <c r="J350" s="86">
        <f>F350*I350</f>
        <v>0</v>
      </c>
      <c r="K350" s="32" t="s">
        <v>653</v>
      </c>
      <c r="X350" s="36">
        <f>IF(AO350="5",BH350,0)</f>
        <v>0</v>
      </c>
      <c r="Z350" s="36">
        <f>IF(AO350="1",BF350,0)</f>
        <v>0</v>
      </c>
      <c r="AA350" s="36">
        <f>IF(AO350="1",BG350,0)</f>
        <v>0</v>
      </c>
      <c r="AB350" s="36">
        <f>IF(AO350="7",BF350,0)</f>
        <v>0</v>
      </c>
      <c r="AC350" s="36">
        <f>IF(AO350="7",BG350,0)</f>
        <v>0</v>
      </c>
      <c r="AD350" s="36">
        <f>IF(AO350="2",BF350,0)</f>
        <v>0</v>
      </c>
      <c r="AE350" s="36">
        <f>IF(AO350="2",BG350,0)</f>
        <v>0</v>
      </c>
      <c r="AF350" s="36">
        <f>IF(AO350="0",BH350,0)</f>
        <v>0</v>
      </c>
      <c r="AG350" s="28" t="s">
        <v>159</v>
      </c>
      <c r="AH350" s="20">
        <f>IF(AL350=0,H350,0)</f>
        <v>0</v>
      </c>
      <c r="AI350" s="20">
        <f>IF(AL350=15,H350,0)</f>
        <v>0</v>
      </c>
      <c r="AJ350" s="20">
        <f>IF(AL350=21,H350,0)</f>
        <v>0</v>
      </c>
      <c r="AL350" s="36">
        <v>21</v>
      </c>
      <c r="AM350" s="36">
        <f>G350*0</f>
        <v>0</v>
      </c>
      <c r="AN350" s="36">
        <f>G350*(1-0)</f>
        <v>0</v>
      </c>
      <c r="AO350" s="32" t="s">
        <v>7</v>
      </c>
      <c r="AT350" s="36">
        <f>AU350+AV350</f>
        <v>0</v>
      </c>
      <c r="AU350" s="36">
        <f>F350*AM350</f>
        <v>0</v>
      </c>
      <c r="AV350" s="36">
        <f>F350*AN350</f>
        <v>0</v>
      </c>
      <c r="AW350" s="37" t="s">
        <v>668</v>
      </c>
      <c r="AX350" s="37" t="s">
        <v>701</v>
      </c>
      <c r="AY350" s="28" t="s">
        <v>706</v>
      </c>
      <c r="BA350" s="36">
        <f>AU350+AV350</f>
        <v>0</v>
      </c>
      <c r="BB350" s="36">
        <f>G350/(100-BC350)*100</f>
        <v>0</v>
      </c>
      <c r="BC350" s="36">
        <v>0</v>
      </c>
      <c r="BD350" s="36">
        <f>J350</f>
        <v>0</v>
      </c>
      <c r="BF350" s="20">
        <f>F350*AM350</f>
        <v>0</v>
      </c>
      <c r="BG350" s="20">
        <f>F350*AN350</f>
        <v>0</v>
      </c>
      <c r="BH350" s="20">
        <f>F350*G350</f>
        <v>0</v>
      </c>
    </row>
    <row r="351" spans="4:10" ht="12.75">
      <c r="D351" s="17" t="s">
        <v>589</v>
      </c>
      <c r="F351" s="58">
        <v>105.25</v>
      </c>
      <c r="H351" s="104"/>
      <c r="I351" s="87"/>
      <c r="J351" s="87"/>
    </row>
    <row r="352" spans="4:10" ht="12.75">
      <c r="D352" s="17" t="s">
        <v>590</v>
      </c>
      <c r="F352" s="58">
        <v>61.023</v>
      </c>
      <c r="H352" s="104"/>
      <c r="I352" s="87"/>
      <c r="J352" s="87"/>
    </row>
    <row r="353" spans="4:10" ht="12.75">
      <c r="D353" s="17" t="s">
        <v>591</v>
      </c>
      <c r="F353" s="58">
        <v>43.959</v>
      </c>
      <c r="H353" s="104"/>
      <c r="I353" s="87"/>
      <c r="J353" s="87"/>
    </row>
    <row r="354" spans="4:10" ht="12.75">
      <c r="D354" s="17" t="s">
        <v>592</v>
      </c>
      <c r="F354" s="58">
        <v>17.571</v>
      </c>
      <c r="H354" s="104"/>
      <c r="I354" s="87"/>
      <c r="J354" s="87"/>
    </row>
    <row r="355" spans="4:10" ht="12.75">
      <c r="D355" s="17" t="s">
        <v>593</v>
      </c>
      <c r="F355" s="58">
        <v>4.41</v>
      </c>
      <c r="H355" s="104"/>
      <c r="I355" s="87"/>
      <c r="J355" s="87"/>
    </row>
    <row r="356" spans="1:60" ht="12.75">
      <c r="A356" s="5" t="s">
        <v>143</v>
      </c>
      <c r="B356" s="5" t="s">
        <v>159</v>
      </c>
      <c r="C356" s="5" t="s">
        <v>178</v>
      </c>
      <c r="D356" s="5" t="s">
        <v>349</v>
      </c>
      <c r="E356" s="5" t="s">
        <v>630</v>
      </c>
      <c r="F356" s="57">
        <v>232.213</v>
      </c>
      <c r="G356" s="20"/>
      <c r="H356" s="20">
        <f>F356*G356</f>
        <v>0</v>
      </c>
      <c r="I356" s="86">
        <v>0</v>
      </c>
      <c r="J356" s="86">
        <f>F356*I356</f>
        <v>0</v>
      </c>
      <c r="K356" s="32" t="s">
        <v>653</v>
      </c>
      <c r="X356" s="36">
        <f>IF(AO356="5",BH356,0)</f>
        <v>0</v>
      </c>
      <c r="Z356" s="36">
        <f>IF(AO356="1",BF356,0)</f>
        <v>0</v>
      </c>
      <c r="AA356" s="36">
        <f>IF(AO356="1",BG356,0)</f>
        <v>0</v>
      </c>
      <c r="AB356" s="36">
        <f>IF(AO356="7",BF356,0)</f>
        <v>0</v>
      </c>
      <c r="AC356" s="36">
        <f>IF(AO356="7",BG356,0)</f>
        <v>0</v>
      </c>
      <c r="AD356" s="36">
        <f>IF(AO356="2",BF356,0)</f>
        <v>0</v>
      </c>
      <c r="AE356" s="36">
        <f>IF(AO356="2",BG356,0)</f>
        <v>0</v>
      </c>
      <c r="AF356" s="36">
        <f>IF(AO356="0",BH356,0)</f>
        <v>0</v>
      </c>
      <c r="AG356" s="28" t="s">
        <v>159</v>
      </c>
      <c r="AH356" s="20">
        <f>IF(AL356=0,H356,0)</f>
        <v>0</v>
      </c>
      <c r="AI356" s="20">
        <f>IF(AL356=15,H356,0)</f>
        <v>0</v>
      </c>
      <c r="AJ356" s="20">
        <f>IF(AL356=21,H356,0)</f>
        <v>0</v>
      </c>
      <c r="AL356" s="36">
        <v>21</v>
      </c>
      <c r="AM356" s="36">
        <f>G356*0</f>
        <v>0</v>
      </c>
      <c r="AN356" s="36">
        <f>G356*(1-0)</f>
        <v>0</v>
      </c>
      <c r="AO356" s="32" t="s">
        <v>7</v>
      </c>
      <c r="AT356" s="36">
        <f>AU356+AV356</f>
        <v>0</v>
      </c>
      <c r="AU356" s="36">
        <f>F356*AM356</f>
        <v>0</v>
      </c>
      <c r="AV356" s="36">
        <f>F356*AN356</f>
        <v>0</v>
      </c>
      <c r="AW356" s="37" t="s">
        <v>668</v>
      </c>
      <c r="AX356" s="37" t="s">
        <v>701</v>
      </c>
      <c r="AY356" s="28" t="s">
        <v>706</v>
      </c>
      <c r="BA356" s="36">
        <f>AU356+AV356</f>
        <v>0</v>
      </c>
      <c r="BB356" s="36">
        <f>G356/(100-BC356)*100</f>
        <v>0</v>
      </c>
      <c r="BC356" s="36">
        <v>0</v>
      </c>
      <c r="BD356" s="36">
        <f>J356</f>
        <v>0</v>
      </c>
      <c r="BF356" s="20">
        <f>F356*AM356</f>
        <v>0</v>
      </c>
      <c r="BG356" s="20">
        <f>F356*AN356</f>
        <v>0</v>
      </c>
      <c r="BH356" s="20">
        <f>F356*G356</f>
        <v>0</v>
      </c>
    </row>
    <row r="357" spans="4:10" ht="12.75">
      <c r="D357" s="17" t="s">
        <v>589</v>
      </c>
      <c r="F357" s="58">
        <v>105.25</v>
      </c>
      <c r="H357" s="104"/>
      <c r="I357" s="87"/>
      <c r="J357" s="87"/>
    </row>
    <row r="358" spans="4:10" ht="12.75">
      <c r="D358" s="17" t="s">
        <v>590</v>
      </c>
      <c r="F358" s="58">
        <v>61.023</v>
      </c>
      <c r="H358" s="104"/>
      <c r="I358" s="87"/>
      <c r="J358" s="87"/>
    </row>
    <row r="359" spans="4:10" ht="12.75">
      <c r="D359" s="17" t="s">
        <v>591</v>
      </c>
      <c r="F359" s="58">
        <v>43.959</v>
      </c>
      <c r="H359" s="104"/>
      <c r="I359" s="87"/>
      <c r="J359" s="87"/>
    </row>
    <row r="360" spans="4:10" ht="12.75">
      <c r="D360" s="17" t="s">
        <v>592</v>
      </c>
      <c r="F360" s="58">
        <v>17.571</v>
      </c>
      <c r="H360" s="104"/>
      <c r="I360" s="87"/>
      <c r="J360" s="87"/>
    </row>
    <row r="361" spans="4:10" ht="12.75">
      <c r="D361" s="17" t="s">
        <v>593</v>
      </c>
      <c r="F361" s="58">
        <v>4.41</v>
      </c>
      <c r="H361" s="104"/>
      <c r="I361" s="87"/>
      <c r="J361" s="87"/>
    </row>
    <row r="362" spans="1:60" ht="12.75">
      <c r="A362" s="5" t="s">
        <v>144</v>
      </c>
      <c r="B362" s="5" t="s">
        <v>159</v>
      </c>
      <c r="C362" s="5" t="s">
        <v>176</v>
      </c>
      <c r="D362" s="5" t="s">
        <v>342</v>
      </c>
      <c r="E362" s="5" t="s">
        <v>630</v>
      </c>
      <c r="F362" s="57">
        <v>781.895</v>
      </c>
      <c r="G362" s="20"/>
      <c r="H362" s="20">
        <f>F362*G362</f>
        <v>0</v>
      </c>
      <c r="I362" s="86">
        <v>0</v>
      </c>
      <c r="J362" s="86">
        <f>F362*I362</f>
        <v>0</v>
      </c>
      <c r="K362" s="32" t="s">
        <v>653</v>
      </c>
      <c r="X362" s="36">
        <f>IF(AO362="5",BH362,0)</f>
        <v>0</v>
      </c>
      <c r="Z362" s="36">
        <f>IF(AO362="1",BF362,0)</f>
        <v>0</v>
      </c>
      <c r="AA362" s="36">
        <f>IF(AO362="1",BG362,0)</f>
        <v>0</v>
      </c>
      <c r="AB362" s="36">
        <f>IF(AO362="7",BF362,0)</f>
        <v>0</v>
      </c>
      <c r="AC362" s="36">
        <f>IF(AO362="7",BG362,0)</f>
        <v>0</v>
      </c>
      <c r="AD362" s="36">
        <f>IF(AO362="2",BF362,0)</f>
        <v>0</v>
      </c>
      <c r="AE362" s="36">
        <f>IF(AO362="2",BG362,0)</f>
        <v>0</v>
      </c>
      <c r="AF362" s="36">
        <f>IF(AO362="0",BH362,0)</f>
        <v>0</v>
      </c>
      <c r="AG362" s="28" t="s">
        <v>159</v>
      </c>
      <c r="AH362" s="20">
        <f>IF(AL362=0,H362,0)</f>
        <v>0</v>
      </c>
      <c r="AI362" s="20">
        <f>IF(AL362=15,H362,0)</f>
        <v>0</v>
      </c>
      <c r="AJ362" s="20">
        <f>IF(AL362=21,H362,0)</f>
        <v>0</v>
      </c>
      <c r="AL362" s="36">
        <v>21</v>
      </c>
      <c r="AM362" s="36">
        <f>G362*0</f>
        <v>0</v>
      </c>
      <c r="AN362" s="36">
        <f>G362*(1-0)</f>
        <v>0</v>
      </c>
      <c r="AO362" s="32" t="s">
        <v>7</v>
      </c>
      <c r="AT362" s="36">
        <f>AU362+AV362</f>
        <v>0</v>
      </c>
      <c r="AU362" s="36">
        <f>F362*AM362</f>
        <v>0</v>
      </c>
      <c r="AV362" s="36">
        <f>F362*AN362</f>
        <v>0</v>
      </c>
      <c r="AW362" s="37" t="s">
        <v>668</v>
      </c>
      <c r="AX362" s="37" t="s">
        <v>701</v>
      </c>
      <c r="AY362" s="28" t="s">
        <v>706</v>
      </c>
      <c r="BA362" s="36">
        <f>AU362+AV362</f>
        <v>0</v>
      </c>
      <c r="BB362" s="36">
        <f>G362/(100-BC362)*100</f>
        <v>0</v>
      </c>
      <c r="BC362" s="36">
        <v>0</v>
      </c>
      <c r="BD362" s="36">
        <f>J362</f>
        <v>0</v>
      </c>
      <c r="BF362" s="20">
        <f>F362*AM362</f>
        <v>0</v>
      </c>
      <c r="BG362" s="20">
        <f>F362*AN362</f>
        <v>0</v>
      </c>
      <c r="BH362" s="20">
        <f>F362*G362</f>
        <v>0</v>
      </c>
    </row>
    <row r="363" spans="4:10" ht="12.75">
      <c r="D363" s="17" t="s">
        <v>594</v>
      </c>
      <c r="F363" s="58">
        <v>507.054</v>
      </c>
      <c r="H363" s="104"/>
      <c r="I363" s="87"/>
      <c r="J363" s="87"/>
    </row>
    <row r="364" spans="4:10" ht="12.75">
      <c r="D364" s="17" t="s">
        <v>595</v>
      </c>
      <c r="F364" s="58">
        <v>274.841</v>
      </c>
      <c r="I364" s="87"/>
      <c r="J364" s="87"/>
    </row>
    <row r="365" spans="1:45" ht="12.75">
      <c r="A365" s="4"/>
      <c r="B365" s="14" t="s">
        <v>159</v>
      </c>
      <c r="C365" s="14" t="s">
        <v>25</v>
      </c>
      <c r="D365" s="14" t="s">
        <v>350</v>
      </c>
      <c r="E365" s="4" t="s">
        <v>6</v>
      </c>
      <c r="F365" s="4" t="s">
        <v>6</v>
      </c>
      <c r="G365" s="4"/>
      <c r="H365" s="39">
        <f>SUM(H366:H366)</f>
        <v>0</v>
      </c>
      <c r="I365" s="80"/>
      <c r="J365" s="80">
        <f>SUM(J366:J366)</f>
        <v>0</v>
      </c>
      <c r="K365" s="28"/>
      <c r="AG365" s="28" t="s">
        <v>159</v>
      </c>
      <c r="AQ365" s="39">
        <f>SUM(AH366:AH366)</f>
        <v>0</v>
      </c>
      <c r="AR365" s="39">
        <f>SUM(AI366:AI366)</f>
        <v>0</v>
      </c>
      <c r="AS365" s="39">
        <f>SUM(AJ366:AJ366)</f>
        <v>0</v>
      </c>
    </row>
    <row r="366" spans="1:60" ht="12.75">
      <c r="A366" s="5" t="s">
        <v>145</v>
      </c>
      <c r="B366" s="5" t="s">
        <v>159</v>
      </c>
      <c r="C366" s="5" t="s">
        <v>179</v>
      </c>
      <c r="D366" s="5" t="s">
        <v>351</v>
      </c>
      <c r="E366" s="5" t="s">
        <v>630</v>
      </c>
      <c r="F366" s="57">
        <v>274.841</v>
      </c>
      <c r="G366" s="20"/>
      <c r="H366" s="20">
        <f>F366*G366</f>
        <v>0</v>
      </c>
      <c r="I366" s="86">
        <v>0</v>
      </c>
      <c r="J366" s="86">
        <f>F366*I366</f>
        <v>0</v>
      </c>
      <c r="K366" s="32" t="s">
        <v>653</v>
      </c>
      <c r="X366" s="36">
        <f>IF(AO366="5",BH366,0)</f>
        <v>0</v>
      </c>
      <c r="Z366" s="36">
        <f>IF(AO366="1",BF366,0)</f>
        <v>0</v>
      </c>
      <c r="AA366" s="36">
        <f>IF(AO366="1",BG366,0)</f>
        <v>0</v>
      </c>
      <c r="AB366" s="36">
        <f>IF(AO366="7",BF366,0)</f>
        <v>0</v>
      </c>
      <c r="AC366" s="36">
        <f>IF(AO366="7",BG366,0)</f>
        <v>0</v>
      </c>
      <c r="AD366" s="36">
        <f>IF(AO366="2",BF366,0)</f>
        <v>0</v>
      </c>
      <c r="AE366" s="36">
        <f>IF(AO366="2",BG366,0)</f>
        <v>0</v>
      </c>
      <c r="AF366" s="36">
        <f>IF(AO366="0",BH366,0)</f>
        <v>0</v>
      </c>
      <c r="AG366" s="28" t="s">
        <v>159</v>
      </c>
      <c r="AH366" s="20">
        <f>IF(AL366=0,H366,0)</f>
        <v>0</v>
      </c>
      <c r="AI366" s="20">
        <f>IF(AL366=15,H366,0)</f>
        <v>0</v>
      </c>
      <c r="AJ366" s="20">
        <f>IF(AL366=21,H366,0)</f>
        <v>0</v>
      </c>
      <c r="AL366" s="36">
        <v>21</v>
      </c>
      <c r="AM366" s="36">
        <f>G366*0</f>
        <v>0</v>
      </c>
      <c r="AN366" s="36">
        <f>G366*(1-0)</f>
        <v>0</v>
      </c>
      <c r="AO366" s="32" t="s">
        <v>7</v>
      </c>
      <c r="AT366" s="36">
        <f>AU366+AV366</f>
        <v>0</v>
      </c>
      <c r="AU366" s="36">
        <f>F366*AM366</f>
        <v>0</v>
      </c>
      <c r="AV366" s="36">
        <f>F366*AN366</f>
        <v>0</v>
      </c>
      <c r="AW366" s="37" t="s">
        <v>669</v>
      </c>
      <c r="AX366" s="37" t="s">
        <v>701</v>
      </c>
      <c r="AY366" s="28" t="s">
        <v>706</v>
      </c>
      <c r="BA366" s="36">
        <f>AU366+AV366</f>
        <v>0</v>
      </c>
      <c r="BB366" s="36">
        <f>G366/(100-BC366)*100</f>
        <v>0</v>
      </c>
      <c r="BC366" s="36">
        <v>0</v>
      </c>
      <c r="BD366" s="36">
        <f>J366</f>
        <v>0</v>
      </c>
      <c r="BF366" s="20">
        <f>F366*AM366</f>
        <v>0</v>
      </c>
      <c r="BG366" s="20">
        <f>F366*AN366</f>
        <v>0</v>
      </c>
      <c r="BH366" s="20">
        <f>F366*G366</f>
        <v>0</v>
      </c>
    </row>
    <row r="367" spans="4:10" ht="12.75">
      <c r="D367" s="17" t="s">
        <v>587</v>
      </c>
      <c r="F367" s="58">
        <v>274.841</v>
      </c>
      <c r="I367" s="87"/>
      <c r="J367" s="87"/>
    </row>
    <row r="368" spans="1:45" ht="12.75">
      <c r="A368" s="4"/>
      <c r="B368" s="14" t="s">
        <v>159</v>
      </c>
      <c r="C368" s="14" t="s">
        <v>27</v>
      </c>
      <c r="D368" s="14" t="s">
        <v>352</v>
      </c>
      <c r="E368" s="4" t="s">
        <v>6</v>
      </c>
      <c r="F368" s="4" t="s">
        <v>6</v>
      </c>
      <c r="G368" s="4"/>
      <c r="H368" s="39">
        <f>SUM(H369:H383)</f>
        <v>0</v>
      </c>
      <c r="I368" s="80"/>
      <c r="J368" s="80">
        <f>SUM(J369:J383)</f>
        <v>0.05212926000000001</v>
      </c>
      <c r="K368" s="28"/>
      <c r="AG368" s="28" t="s">
        <v>159</v>
      </c>
      <c r="AQ368" s="39">
        <f>SUM(AH369:AH383)</f>
        <v>0</v>
      </c>
      <c r="AR368" s="39">
        <f>SUM(AI369:AI383)</f>
        <v>0</v>
      </c>
      <c r="AS368" s="39">
        <f>SUM(AJ369:AJ383)</f>
        <v>0</v>
      </c>
    </row>
    <row r="369" spans="1:60" ht="12.75">
      <c r="A369" s="5" t="s">
        <v>146</v>
      </c>
      <c r="B369" s="5" t="s">
        <v>159</v>
      </c>
      <c r="C369" s="5" t="s">
        <v>180</v>
      </c>
      <c r="D369" s="5" t="s">
        <v>353</v>
      </c>
      <c r="E369" s="5" t="s">
        <v>631</v>
      </c>
      <c r="F369" s="57">
        <v>721.411</v>
      </c>
      <c r="G369" s="20"/>
      <c r="H369" s="20">
        <f>F369*G369</f>
        <v>0</v>
      </c>
      <c r="I369" s="86">
        <v>0</v>
      </c>
      <c r="J369" s="86">
        <f>F369*I369</f>
        <v>0</v>
      </c>
      <c r="K369" s="32" t="s">
        <v>653</v>
      </c>
      <c r="X369" s="36">
        <f>IF(AO369="5",BH369,0)</f>
        <v>0</v>
      </c>
      <c r="Z369" s="36">
        <f>IF(AO369="1",BF369,0)</f>
        <v>0</v>
      </c>
      <c r="AA369" s="36">
        <f>IF(AO369="1",BG369,0)</f>
        <v>0</v>
      </c>
      <c r="AB369" s="36">
        <f>IF(AO369="7",BF369,0)</f>
        <v>0</v>
      </c>
      <c r="AC369" s="36">
        <f>IF(AO369="7",BG369,0)</f>
        <v>0</v>
      </c>
      <c r="AD369" s="36">
        <f>IF(AO369="2",BF369,0)</f>
        <v>0</v>
      </c>
      <c r="AE369" s="36">
        <f>IF(AO369="2",BG369,0)</f>
        <v>0</v>
      </c>
      <c r="AF369" s="36">
        <f>IF(AO369="0",BH369,0)</f>
        <v>0</v>
      </c>
      <c r="AG369" s="28" t="s">
        <v>159</v>
      </c>
      <c r="AH369" s="20">
        <f>IF(AL369=0,H369,0)</f>
        <v>0</v>
      </c>
      <c r="AI369" s="20">
        <f>IF(AL369=15,H369,0)</f>
        <v>0</v>
      </c>
      <c r="AJ369" s="20">
        <f>IF(AL369=21,H369,0)</f>
        <v>0</v>
      </c>
      <c r="AL369" s="36">
        <v>21</v>
      </c>
      <c r="AM369" s="36">
        <f>G369*0</f>
        <v>0</v>
      </c>
      <c r="AN369" s="36">
        <f>G369*(1-0)</f>
        <v>0</v>
      </c>
      <c r="AO369" s="32" t="s">
        <v>7</v>
      </c>
      <c r="AT369" s="36">
        <f>AU369+AV369</f>
        <v>0</v>
      </c>
      <c r="AU369" s="36">
        <f>F369*AM369</f>
        <v>0</v>
      </c>
      <c r="AV369" s="36">
        <f>F369*AN369</f>
        <v>0</v>
      </c>
      <c r="AW369" s="37" t="s">
        <v>670</v>
      </c>
      <c r="AX369" s="37" t="s">
        <v>702</v>
      </c>
      <c r="AY369" s="28" t="s">
        <v>706</v>
      </c>
      <c r="BA369" s="36">
        <f>AU369+AV369</f>
        <v>0</v>
      </c>
      <c r="BB369" s="36">
        <f>G369/(100-BC369)*100</f>
        <v>0</v>
      </c>
      <c r="BC369" s="36">
        <v>0</v>
      </c>
      <c r="BD369" s="36">
        <f>J369</f>
        <v>0</v>
      </c>
      <c r="BF369" s="20">
        <f>F369*AM369</f>
        <v>0</v>
      </c>
      <c r="BG369" s="20">
        <f>F369*AN369</f>
        <v>0</v>
      </c>
      <c r="BH369" s="20">
        <f>F369*G369</f>
        <v>0</v>
      </c>
    </row>
    <row r="370" spans="4:10" ht="12.75">
      <c r="D370" s="17" t="s">
        <v>596</v>
      </c>
      <c r="F370" s="58">
        <v>122.935</v>
      </c>
      <c r="H370" s="104"/>
      <c r="I370" s="87"/>
      <c r="J370" s="87"/>
    </row>
    <row r="371" spans="4:10" ht="12.75">
      <c r="D371" s="17" t="s">
        <v>597</v>
      </c>
      <c r="F371" s="58">
        <v>17.943</v>
      </c>
      <c r="H371" s="104"/>
      <c r="I371" s="87"/>
      <c r="J371" s="87"/>
    </row>
    <row r="372" spans="4:10" ht="12.75">
      <c r="D372" s="17" t="s">
        <v>598</v>
      </c>
      <c r="F372" s="58">
        <v>580.533</v>
      </c>
      <c r="H372" s="104"/>
      <c r="I372" s="87"/>
      <c r="J372" s="87"/>
    </row>
    <row r="373" spans="1:60" ht="12.75">
      <c r="A373" s="5" t="s">
        <v>147</v>
      </c>
      <c r="B373" s="5" t="s">
        <v>159</v>
      </c>
      <c r="C373" s="5" t="s">
        <v>182</v>
      </c>
      <c r="D373" s="5" t="s">
        <v>357</v>
      </c>
      <c r="E373" s="5" t="s">
        <v>631</v>
      </c>
      <c r="F373" s="57">
        <v>289.607</v>
      </c>
      <c r="G373" s="20"/>
      <c r="H373" s="20">
        <f>F373*G373</f>
        <v>0</v>
      </c>
      <c r="I373" s="86">
        <v>0.00018</v>
      </c>
      <c r="J373" s="86">
        <f>F373*I373</f>
        <v>0.05212926000000001</v>
      </c>
      <c r="K373" s="32" t="s">
        <v>653</v>
      </c>
      <c r="X373" s="36">
        <f>IF(AO373="5",BH373,0)</f>
        <v>0</v>
      </c>
      <c r="Z373" s="36">
        <f>IF(AO373="1",BF373,0)</f>
        <v>0</v>
      </c>
      <c r="AA373" s="36">
        <f>IF(AO373="1",BG373,0)</f>
        <v>0</v>
      </c>
      <c r="AB373" s="36">
        <f>IF(AO373="7",BF373,0)</f>
        <v>0</v>
      </c>
      <c r="AC373" s="36">
        <f>IF(AO373="7",BG373,0)</f>
        <v>0</v>
      </c>
      <c r="AD373" s="36">
        <f>IF(AO373="2",BF373,0)</f>
        <v>0</v>
      </c>
      <c r="AE373" s="36">
        <f>IF(AO373="2",BG373,0)</f>
        <v>0</v>
      </c>
      <c r="AF373" s="36">
        <f>IF(AO373="0",BH373,0)</f>
        <v>0</v>
      </c>
      <c r="AG373" s="28" t="s">
        <v>159</v>
      </c>
      <c r="AH373" s="20">
        <f>IF(AL373=0,H373,0)</f>
        <v>0</v>
      </c>
      <c r="AI373" s="20">
        <f>IF(AL373=15,H373,0)</f>
        <v>0</v>
      </c>
      <c r="AJ373" s="20">
        <f>IF(AL373=21,H373,0)</f>
        <v>0</v>
      </c>
      <c r="AL373" s="36">
        <v>21</v>
      </c>
      <c r="AM373" s="36">
        <f>G373*0.0914955891287618</f>
        <v>0</v>
      </c>
      <c r="AN373" s="36">
        <f>G373*(1-0.0914955891287618)</f>
        <v>0</v>
      </c>
      <c r="AO373" s="32" t="s">
        <v>7</v>
      </c>
      <c r="AT373" s="36">
        <f>AU373+AV373</f>
        <v>0</v>
      </c>
      <c r="AU373" s="36">
        <f>F373*AM373</f>
        <v>0</v>
      </c>
      <c r="AV373" s="36">
        <f>F373*AN373</f>
        <v>0</v>
      </c>
      <c r="AW373" s="37" t="s">
        <v>670</v>
      </c>
      <c r="AX373" s="37" t="s">
        <v>702</v>
      </c>
      <c r="AY373" s="28" t="s">
        <v>706</v>
      </c>
      <c r="BA373" s="36">
        <f>AU373+AV373</f>
        <v>0</v>
      </c>
      <c r="BB373" s="36">
        <f>G373/(100-BC373)*100</f>
        <v>0</v>
      </c>
      <c r="BC373" s="36">
        <v>0</v>
      </c>
      <c r="BD373" s="36">
        <f>J373</f>
        <v>0.05212926000000001</v>
      </c>
      <c r="BF373" s="20">
        <f>F373*AM373</f>
        <v>0</v>
      </c>
      <c r="BG373" s="20">
        <f>F373*AN373</f>
        <v>0</v>
      </c>
      <c r="BH373" s="20">
        <f>F373*G373</f>
        <v>0</v>
      </c>
    </row>
    <row r="374" spans="4:10" ht="12.75">
      <c r="D374" s="17" t="s">
        <v>599</v>
      </c>
      <c r="F374" s="58">
        <v>45.256</v>
      </c>
      <c r="H374" s="104"/>
      <c r="I374" s="87"/>
      <c r="J374" s="87"/>
    </row>
    <row r="375" spans="4:10" ht="12.75">
      <c r="D375" s="17" t="s">
        <v>600</v>
      </c>
      <c r="F375" s="58">
        <v>223.23</v>
      </c>
      <c r="H375" s="104"/>
      <c r="I375" s="87"/>
      <c r="J375" s="87"/>
    </row>
    <row r="376" spans="4:10" ht="12.75">
      <c r="D376" s="17" t="s">
        <v>601</v>
      </c>
      <c r="F376" s="58">
        <v>21.121</v>
      </c>
      <c r="H376" s="104"/>
      <c r="I376" s="87"/>
      <c r="J376" s="87"/>
    </row>
    <row r="377" spans="1:60" ht="12.75">
      <c r="A377" s="6" t="s">
        <v>148</v>
      </c>
      <c r="B377" s="6" t="s">
        <v>159</v>
      </c>
      <c r="C377" s="6" t="s">
        <v>183</v>
      </c>
      <c r="D377" s="6" t="s">
        <v>360</v>
      </c>
      <c r="E377" s="6" t="s">
        <v>631</v>
      </c>
      <c r="F377" s="59">
        <v>318.567</v>
      </c>
      <c r="G377" s="21"/>
      <c r="H377" s="21">
        <f>F377*G377</f>
        <v>0</v>
      </c>
      <c r="I377" s="88">
        <v>0</v>
      </c>
      <c r="J377" s="88">
        <f>F377*I377</f>
        <v>0</v>
      </c>
      <c r="K377" s="33" t="s">
        <v>653</v>
      </c>
      <c r="X377" s="36">
        <f>IF(AO377="5",BH377,0)</f>
        <v>0</v>
      </c>
      <c r="Z377" s="36">
        <f>IF(AO377="1",BF377,0)</f>
        <v>0</v>
      </c>
      <c r="AA377" s="36">
        <f>IF(AO377="1",BG377,0)</f>
        <v>0</v>
      </c>
      <c r="AB377" s="36">
        <f>IF(AO377="7",BF377,0)</f>
        <v>0</v>
      </c>
      <c r="AC377" s="36">
        <f>IF(AO377="7",BG377,0)</f>
        <v>0</v>
      </c>
      <c r="AD377" s="36">
        <f>IF(AO377="2",BF377,0)</f>
        <v>0</v>
      </c>
      <c r="AE377" s="36">
        <f>IF(AO377="2",BG377,0)</f>
        <v>0</v>
      </c>
      <c r="AF377" s="36">
        <f>IF(AO377="0",BH377,0)</f>
        <v>0</v>
      </c>
      <c r="AG377" s="28" t="s">
        <v>159</v>
      </c>
      <c r="AH377" s="21">
        <f>IF(AL377=0,H377,0)</f>
        <v>0</v>
      </c>
      <c r="AI377" s="21">
        <f>IF(AL377=15,H377,0)</f>
        <v>0</v>
      </c>
      <c r="AJ377" s="21">
        <f>IF(AL377=21,H377,0)</f>
        <v>0</v>
      </c>
      <c r="AL377" s="36">
        <v>21</v>
      </c>
      <c r="AM377" s="36">
        <f>G377*1</f>
        <v>0</v>
      </c>
      <c r="AN377" s="36">
        <f>G377*(1-1)</f>
        <v>0</v>
      </c>
      <c r="AO377" s="33" t="s">
        <v>7</v>
      </c>
      <c r="AT377" s="36">
        <f>AU377+AV377</f>
        <v>0</v>
      </c>
      <c r="AU377" s="36">
        <f>F377*AM377</f>
        <v>0</v>
      </c>
      <c r="AV377" s="36">
        <f>F377*AN377</f>
        <v>0</v>
      </c>
      <c r="AW377" s="37" t="s">
        <v>670</v>
      </c>
      <c r="AX377" s="37" t="s">
        <v>702</v>
      </c>
      <c r="AY377" s="28" t="s">
        <v>706</v>
      </c>
      <c r="BA377" s="36">
        <f>AU377+AV377</f>
        <v>0</v>
      </c>
      <c r="BB377" s="36">
        <f>G377/(100-BC377)*100</f>
        <v>0</v>
      </c>
      <c r="BC377" s="36">
        <v>0</v>
      </c>
      <c r="BD377" s="36">
        <f>J377</f>
        <v>0</v>
      </c>
      <c r="BF377" s="21">
        <f>F377*AM377</f>
        <v>0</v>
      </c>
      <c r="BG377" s="21">
        <f>F377*AN377</f>
        <v>0</v>
      </c>
      <c r="BH377" s="21">
        <f>F377*G377</f>
        <v>0</v>
      </c>
    </row>
    <row r="378" spans="4:10" ht="12.75">
      <c r="D378" s="17" t="s">
        <v>602</v>
      </c>
      <c r="F378" s="58">
        <v>49.781</v>
      </c>
      <c r="H378" s="104"/>
      <c r="I378" s="87"/>
      <c r="J378" s="87"/>
    </row>
    <row r="379" spans="4:10" ht="12.75">
      <c r="D379" s="17" t="s">
        <v>603</v>
      </c>
      <c r="F379" s="58">
        <v>245.553</v>
      </c>
      <c r="H379" s="104"/>
      <c r="I379" s="87"/>
      <c r="J379" s="87"/>
    </row>
    <row r="380" spans="4:10" ht="12.75">
      <c r="D380" s="17" t="s">
        <v>604</v>
      </c>
      <c r="F380" s="58">
        <v>23.233</v>
      </c>
      <c r="H380" s="104"/>
      <c r="I380" s="87"/>
      <c r="J380" s="87"/>
    </row>
    <row r="381" spans="1:60" ht="12.75">
      <c r="A381" s="5" t="s">
        <v>149</v>
      </c>
      <c r="B381" s="5" t="s">
        <v>159</v>
      </c>
      <c r="C381" s="5" t="s">
        <v>184</v>
      </c>
      <c r="D381" s="5" t="s">
        <v>363</v>
      </c>
      <c r="E381" s="5" t="s">
        <v>632</v>
      </c>
      <c r="F381" s="57">
        <v>80.07</v>
      </c>
      <c r="G381" s="20"/>
      <c r="H381" s="20">
        <f>F381*G381</f>
        <v>0</v>
      </c>
      <c r="I381" s="86">
        <v>0</v>
      </c>
      <c r="J381" s="86">
        <f>F381*I381</f>
        <v>0</v>
      </c>
      <c r="K381" s="32" t="s">
        <v>653</v>
      </c>
      <c r="X381" s="36">
        <f>IF(AO381="5",BH381,0)</f>
        <v>0</v>
      </c>
      <c r="Z381" s="36">
        <f>IF(AO381="1",BF381,0)</f>
        <v>0</v>
      </c>
      <c r="AA381" s="36">
        <f>IF(AO381="1",BG381,0)</f>
        <v>0</v>
      </c>
      <c r="AB381" s="36">
        <f>IF(AO381="7",BF381,0)</f>
        <v>0</v>
      </c>
      <c r="AC381" s="36">
        <f>IF(AO381="7",BG381,0)</f>
        <v>0</v>
      </c>
      <c r="AD381" s="36">
        <f>IF(AO381="2",BF381,0)</f>
        <v>0</v>
      </c>
      <c r="AE381" s="36">
        <f>IF(AO381="2",BG381,0)</f>
        <v>0</v>
      </c>
      <c r="AF381" s="36">
        <f>IF(AO381="0",BH381,0)</f>
        <v>0</v>
      </c>
      <c r="AG381" s="28" t="s">
        <v>159</v>
      </c>
      <c r="AH381" s="20">
        <f>IF(AL381=0,H381,0)</f>
        <v>0</v>
      </c>
      <c r="AI381" s="20">
        <f>IF(AL381=15,H381,0)</f>
        <v>0</v>
      </c>
      <c r="AJ381" s="20">
        <f>IF(AL381=21,H381,0)</f>
        <v>0</v>
      </c>
      <c r="AL381" s="36">
        <v>21</v>
      </c>
      <c r="AM381" s="36">
        <f>G381*0</f>
        <v>0</v>
      </c>
      <c r="AN381" s="36">
        <f>G381*(1-0)</f>
        <v>0</v>
      </c>
      <c r="AO381" s="32" t="s">
        <v>7</v>
      </c>
      <c r="AT381" s="36">
        <f>AU381+AV381</f>
        <v>0</v>
      </c>
      <c r="AU381" s="36">
        <f>F381*AM381</f>
        <v>0</v>
      </c>
      <c r="AV381" s="36">
        <f>F381*AN381</f>
        <v>0</v>
      </c>
      <c r="AW381" s="37" t="s">
        <v>670</v>
      </c>
      <c r="AX381" s="37" t="s">
        <v>702</v>
      </c>
      <c r="AY381" s="28" t="s">
        <v>706</v>
      </c>
      <c r="BA381" s="36">
        <f>AU381+AV381</f>
        <v>0</v>
      </c>
      <c r="BB381" s="36">
        <f>G381/(100-BC381)*100</f>
        <v>0</v>
      </c>
      <c r="BC381" s="36">
        <v>0</v>
      </c>
      <c r="BD381" s="36">
        <f>J381</f>
        <v>0</v>
      </c>
      <c r="BF381" s="20">
        <f>F381*AM381</f>
        <v>0</v>
      </c>
      <c r="BG381" s="20">
        <f>F381*AN381</f>
        <v>0</v>
      </c>
      <c r="BH381" s="20">
        <f>F381*G381</f>
        <v>0</v>
      </c>
    </row>
    <row r="382" spans="4:10" ht="12.75">
      <c r="D382" s="17" t="s">
        <v>605</v>
      </c>
      <c r="F382" s="58">
        <v>80.07</v>
      </c>
      <c r="H382" s="104"/>
      <c r="I382" s="87"/>
      <c r="J382" s="87"/>
    </row>
    <row r="383" spans="1:60" ht="12.75">
      <c r="A383" s="6" t="s">
        <v>150</v>
      </c>
      <c r="B383" s="6" t="s">
        <v>159</v>
      </c>
      <c r="C383" s="6" t="s">
        <v>185</v>
      </c>
      <c r="D383" s="6" t="s">
        <v>365</v>
      </c>
      <c r="E383" s="6" t="s">
        <v>632</v>
      </c>
      <c r="F383" s="59">
        <v>88.077</v>
      </c>
      <c r="G383" s="21"/>
      <c r="H383" s="21">
        <f>F383*G383</f>
        <v>0</v>
      </c>
      <c r="I383" s="88">
        <v>0</v>
      </c>
      <c r="J383" s="88">
        <f>F383*I383</f>
        <v>0</v>
      </c>
      <c r="K383" s="33" t="s">
        <v>653</v>
      </c>
      <c r="X383" s="36">
        <f>IF(AO383="5",BH383,0)</f>
        <v>0</v>
      </c>
      <c r="Z383" s="36">
        <f>IF(AO383="1",BF383,0)</f>
        <v>0</v>
      </c>
      <c r="AA383" s="36">
        <f>IF(AO383="1",BG383,0)</f>
        <v>0</v>
      </c>
      <c r="AB383" s="36">
        <f>IF(AO383="7",BF383,0)</f>
        <v>0</v>
      </c>
      <c r="AC383" s="36">
        <f>IF(AO383="7",BG383,0)</f>
        <v>0</v>
      </c>
      <c r="AD383" s="36">
        <f>IF(AO383="2",BF383,0)</f>
        <v>0</v>
      </c>
      <c r="AE383" s="36">
        <f>IF(AO383="2",BG383,0)</f>
        <v>0</v>
      </c>
      <c r="AF383" s="36">
        <f>IF(AO383="0",BH383,0)</f>
        <v>0</v>
      </c>
      <c r="AG383" s="28" t="s">
        <v>159</v>
      </c>
      <c r="AH383" s="21">
        <f>IF(AL383=0,H383,0)</f>
        <v>0</v>
      </c>
      <c r="AI383" s="21">
        <f>IF(AL383=15,H383,0)</f>
        <v>0</v>
      </c>
      <c r="AJ383" s="21">
        <f>IF(AL383=21,H383,0)</f>
        <v>0</v>
      </c>
      <c r="AL383" s="36">
        <v>21</v>
      </c>
      <c r="AM383" s="36">
        <f>G383*1</f>
        <v>0</v>
      </c>
      <c r="AN383" s="36">
        <f>G383*(1-1)</f>
        <v>0</v>
      </c>
      <c r="AO383" s="33" t="s">
        <v>7</v>
      </c>
      <c r="AT383" s="36">
        <f>AU383+AV383</f>
        <v>0</v>
      </c>
      <c r="AU383" s="36">
        <f>F383*AM383</f>
        <v>0</v>
      </c>
      <c r="AV383" s="36">
        <f>F383*AN383</f>
        <v>0</v>
      </c>
      <c r="AW383" s="37" t="s">
        <v>670</v>
      </c>
      <c r="AX383" s="37" t="s">
        <v>702</v>
      </c>
      <c r="AY383" s="28" t="s">
        <v>706</v>
      </c>
      <c r="BA383" s="36">
        <f>AU383+AV383</f>
        <v>0</v>
      </c>
      <c r="BB383" s="36">
        <f>G383/(100-BC383)*100</f>
        <v>0</v>
      </c>
      <c r="BC383" s="36">
        <v>0</v>
      </c>
      <c r="BD383" s="36">
        <f>J383</f>
        <v>0</v>
      </c>
      <c r="BF383" s="21">
        <f>F383*AM383</f>
        <v>0</v>
      </c>
      <c r="BG383" s="21">
        <f>F383*AN383</f>
        <v>0</v>
      </c>
      <c r="BH383" s="21">
        <f>F383*G383</f>
        <v>0</v>
      </c>
    </row>
    <row r="384" spans="4:10" ht="12.75">
      <c r="D384" s="17" t="s">
        <v>606</v>
      </c>
      <c r="F384" s="58">
        <v>88.077</v>
      </c>
      <c r="I384" s="87"/>
      <c r="J384" s="87"/>
    </row>
    <row r="385" spans="1:45" ht="12.75">
      <c r="A385" s="4"/>
      <c r="B385" s="14" t="s">
        <v>159</v>
      </c>
      <c r="C385" s="14" t="s">
        <v>33</v>
      </c>
      <c r="D385" s="14" t="s">
        <v>367</v>
      </c>
      <c r="E385" s="4" t="s">
        <v>6</v>
      </c>
      <c r="F385" s="4" t="s">
        <v>6</v>
      </c>
      <c r="G385" s="4"/>
      <c r="H385" s="39">
        <f>SUM(H386:H386)</f>
        <v>0</v>
      </c>
      <c r="I385" s="80"/>
      <c r="J385" s="80">
        <f>SUM(J386:J386)</f>
        <v>66.94488</v>
      </c>
      <c r="K385" s="28"/>
      <c r="AG385" s="28" t="s">
        <v>159</v>
      </c>
      <c r="AQ385" s="39">
        <f>SUM(AH386:AH386)</f>
        <v>0</v>
      </c>
      <c r="AR385" s="39">
        <f>SUM(AI386:AI386)</f>
        <v>0</v>
      </c>
      <c r="AS385" s="39">
        <f>SUM(AJ386:AJ386)</f>
        <v>0</v>
      </c>
    </row>
    <row r="386" spans="1:60" ht="12.75">
      <c r="A386" s="5" t="s">
        <v>151</v>
      </c>
      <c r="B386" s="5" t="s">
        <v>159</v>
      </c>
      <c r="C386" s="5" t="s">
        <v>295</v>
      </c>
      <c r="D386" s="5" t="s">
        <v>607</v>
      </c>
      <c r="E386" s="5" t="s">
        <v>630</v>
      </c>
      <c r="F386" s="57">
        <v>30.993</v>
      </c>
      <c r="G386" s="20"/>
      <c r="H386" s="20">
        <f>F386*G386</f>
        <v>0</v>
      </c>
      <c r="I386" s="86">
        <v>2.16</v>
      </c>
      <c r="J386" s="86">
        <f>F386*I386</f>
        <v>66.94488</v>
      </c>
      <c r="K386" s="32" t="s">
        <v>653</v>
      </c>
      <c r="X386" s="36">
        <f>IF(AO386="5",BH386,0)</f>
        <v>0</v>
      </c>
      <c r="Z386" s="36">
        <f>IF(AO386="1",BF386,0)</f>
        <v>0</v>
      </c>
      <c r="AA386" s="36">
        <f>IF(AO386="1",BG386,0)</f>
        <v>0</v>
      </c>
      <c r="AB386" s="36">
        <f>IF(AO386="7",BF386,0)</f>
        <v>0</v>
      </c>
      <c r="AC386" s="36">
        <f>IF(AO386="7",BG386,0)</f>
        <v>0</v>
      </c>
      <c r="AD386" s="36">
        <f>IF(AO386="2",BF386,0)</f>
        <v>0</v>
      </c>
      <c r="AE386" s="36">
        <f>IF(AO386="2",BG386,0)</f>
        <v>0</v>
      </c>
      <c r="AF386" s="36">
        <f>IF(AO386="0",BH386,0)</f>
        <v>0</v>
      </c>
      <c r="AG386" s="28" t="s">
        <v>159</v>
      </c>
      <c r="AH386" s="20">
        <f>IF(AL386=0,H386,0)</f>
        <v>0</v>
      </c>
      <c r="AI386" s="20">
        <f>IF(AL386=15,H386,0)</f>
        <v>0</v>
      </c>
      <c r="AJ386" s="20">
        <f>IF(AL386=21,H386,0)</f>
        <v>0</v>
      </c>
      <c r="AL386" s="36">
        <v>21</v>
      </c>
      <c r="AM386" s="36">
        <f>G386*0.650755944499725</f>
        <v>0</v>
      </c>
      <c r="AN386" s="36">
        <f>G386*(1-0.650755944499725)</f>
        <v>0</v>
      </c>
      <c r="AO386" s="32" t="s">
        <v>7</v>
      </c>
      <c r="AT386" s="36">
        <f>AU386+AV386</f>
        <v>0</v>
      </c>
      <c r="AU386" s="36">
        <f>F386*AM386</f>
        <v>0</v>
      </c>
      <c r="AV386" s="36">
        <f>F386*AN386</f>
        <v>0</v>
      </c>
      <c r="AW386" s="37" t="s">
        <v>671</v>
      </c>
      <c r="AX386" s="37" t="s">
        <v>702</v>
      </c>
      <c r="AY386" s="28" t="s">
        <v>706</v>
      </c>
      <c r="BA386" s="36">
        <f>AU386+AV386</f>
        <v>0</v>
      </c>
      <c r="BB386" s="36">
        <f>G386/(100-BC386)*100</f>
        <v>0</v>
      </c>
      <c r="BC386" s="36">
        <v>0</v>
      </c>
      <c r="BD386" s="36">
        <f>J386</f>
        <v>66.94488</v>
      </c>
      <c r="BF386" s="20">
        <f>F386*AM386</f>
        <v>0</v>
      </c>
      <c r="BG386" s="20">
        <f>F386*AN386</f>
        <v>0</v>
      </c>
      <c r="BH386" s="20">
        <f>F386*G386</f>
        <v>0</v>
      </c>
    </row>
    <row r="387" spans="4:10" ht="12.75">
      <c r="D387" s="17" t="s">
        <v>608</v>
      </c>
      <c r="F387" s="58">
        <v>27.046</v>
      </c>
      <c r="I387" s="87"/>
      <c r="J387" s="87"/>
    </row>
    <row r="388" spans="4:10" ht="12.75">
      <c r="D388" s="17" t="s">
        <v>609</v>
      </c>
      <c r="F388" s="58">
        <v>3.947</v>
      </c>
      <c r="I388" s="87"/>
      <c r="J388" s="87"/>
    </row>
    <row r="389" spans="1:45" ht="12.75">
      <c r="A389" s="4"/>
      <c r="B389" s="14" t="s">
        <v>159</v>
      </c>
      <c r="C389" s="14" t="s">
        <v>38</v>
      </c>
      <c r="D389" s="14" t="s">
        <v>610</v>
      </c>
      <c r="E389" s="4" t="s">
        <v>6</v>
      </c>
      <c r="F389" s="4" t="s">
        <v>6</v>
      </c>
      <c r="G389" s="4"/>
      <c r="H389" s="39">
        <f>SUM(H390:H390)</f>
        <v>0</v>
      </c>
      <c r="I389" s="80"/>
      <c r="J389" s="80">
        <f>SUM(J390:J390)</f>
        <v>563.3880440099999</v>
      </c>
      <c r="K389" s="28"/>
      <c r="AG389" s="28" t="s">
        <v>159</v>
      </c>
      <c r="AQ389" s="39">
        <f>SUM(AH390:AH390)</f>
        <v>0</v>
      </c>
      <c r="AR389" s="39">
        <f>SUM(AI390:AI390)</f>
        <v>0</v>
      </c>
      <c r="AS389" s="39">
        <f>SUM(AJ390:AJ390)</f>
        <v>0</v>
      </c>
    </row>
    <row r="390" spans="1:60" ht="12.75">
      <c r="A390" s="5" t="s">
        <v>152</v>
      </c>
      <c r="B390" s="5" t="s">
        <v>159</v>
      </c>
      <c r="C390" s="5" t="s">
        <v>296</v>
      </c>
      <c r="D390" s="5" t="s">
        <v>611</v>
      </c>
      <c r="E390" s="5" t="s">
        <v>630</v>
      </c>
      <c r="F390" s="57">
        <v>241.921</v>
      </c>
      <c r="G390" s="20"/>
      <c r="H390" s="20">
        <f>F390*G390</f>
        <v>0</v>
      </c>
      <c r="I390" s="86">
        <v>2.32881</v>
      </c>
      <c r="J390" s="86">
        <f>F390*I390</f>
        <v>563.3880440099999</v>
      </c>
      <c r="K390" s="32" t="s">
        <v>654</v>
      </c>
      <c r="X390" s="36">
        <f>IF(AO390="5",BH390,0)</f>
        <v>0</v>
      </c>
      <c r="Z390" s="36">
        <f>IF(AO390="1",BF390,0)</f>
        <v>0</v>
      </c>
      <c r="AA390" s="36">
        <f>IF(AO390="1",BG390,0)</f>
        <v>0</v>
      </c>
      <c r="AB390" s="36">
        <f>IF(AO390="7",BF390,0)</f>
        <v>0</v>
      </c>
      <c r="AC390" s="36">
        <f>IF(AO390="7",BG390,0)</f>
        <v>0</v>
      </c>
      <c r="AD390" s="36">
        <f>IF(AO390="2",BF390,0)</f>
        <v>0</v>
      </c>
      <c r="AE390" s="36">
        <f>IF(AO390="2",BG390,0)</f>
        <v>0</v>
      </c>
      <c r="AF390" s="36">
        <f>IF(AO390="0",BH390,0)</f>
        <v>0</v>
      </c>
      <c r="AG390" s="28" t="s">
        <v>159</v>
      </c>
      <c r="AH390" s="20">
        <f>IF(AL390=0,H390,0)</f>
        <v>0</v>
      </c>
      <c r="AI390" s="20">
        <f>IF(AL390=15,H390,0)</f>
        <v>0</v>
      </c>
      <c r="AJ390" s="20">
        <f>IF(AL390=21,H390,0)</f>
        <v>0</v>
      </c>
      <c r="AL390" s="36">
        <v>21</v>
      </c>
      <c r="AM390" s="36">
        <f>G390*0.82152347826087</f>
        <v>0</v>
      </c>
      <c r="AN390" s="36">
        <f>G390*(1-0.82152347826087)</f>
        <v>0</v>
      </c>
      <c r="AO390" s="32" t="s">
        <v>7</v>
      </c>
      <c r="AT390" s="36">
        <f>AU390+AV390</f>
        <v>0</v>
      </c>
      <c r="AU390" s="36">
        <f>F390*AM390</f>
        <v>0</v>
      </c>
      <c r="AV390" s="36">
        <f>F390*AN390</f>
        <v>0</v>
      </c>
      <c r="AW390" s="37" t="s">
        <v>690</v>
      </c>
      <c r="AX390" s="37" t="s">
        <v>703</v>
      </c>
      <c r="AY390" s="28" t="s">
        <v>706</v>
      </c>
      <c r="BA390" s="36">
        <f>AU390+AV390</f>
        <v>0</v>
      </c>
      <c r="BB390" s="36">
        <f>G390/(100-BC390)*100</f>
        <v>0</v>
      </c>
      <c r="BC390" s="36">
        <v>0</v>
      </c>
      <c r="BD390" s="36">
        <f>J390</f>
        <v>563.3880440099999</v>
      </c>
      <c r="BF390" s="20">
        <f>F390*AM390</f>
        <v>0</v>
      </c>
      <c r="BG390" s="20">
        <f>F390*AN390</f>
        <v>0</v>
      </c>
      <c r="BH390" s="20">
        <f>F390*G390</f>
        <v>0</v>
      </c>
    </row>
    <row r="391" spans="4:10" ht="12.75">
      <c r="D391" s="17" t="s">
        <v>612</v>
      </c>
      <c r="F391" s="58">
        <v>41.25</v>
      </c>
      <c r="I391" s="87"/>
      <c r="J391" s="87"/>
    </row>
    <row r="392" spans="4:10" ht="12.75">
      <c r="D392" s="17" t="s">
        <v>613</v>
      </c>
      <c r="F392" s="58">
        <v>53.438</v>
      </c>
      <c r="I392" s="87"/>
      <c r="J392" s="87"/>
    </row>
    <row r="393" spans="4:10" ht="12.75">
      <c r="D393" s="17" t="s">
        <v>614</v>
      </c>
      <c r="F393" s="58">
        <v>37.125</v>
      </c>
      <c r="I393" s="87"/>
      <c r="J393" s="87"/>
    </row>
    <row r="394" spans="4:10" ht="12.75">
      <c r="D394" s="17" t="s">
        <v>615</v>
      </c>
      <c r="F394" s="58">
        <v>30.938</v>
      </c>
      <c r="I394" s="87"/>
      <c r="J394" s="87"/>
    </row>
    <row r="395" spans="4:10" ht="12.75">
      <c r="D395" s="17" t="s">
        <v>616</v>
      </c>
      <c r="F395" s="58">
        <v>54.863</v>
      </c>
      <c r="I395" s="87"/>
      <c r="J395" s="87"/>
    </row>
    <row r="396" spans="4:10" ht="12.75">
      <c r="D396" s="17" t="s">
        <v>617</v>
      </c>
      <c r="F396" s="58">
        <v>14.661</v>
      </c>
      <c r="I396" s="87"/>
      <c r="J396" s="87"/>
    </row>
    <row r="397" spans="4:10" ht="12.75">
      <c r="D397" s="17" t="s">
        <v>618</v>
      </c>
      <c r="F397" s="58">
        <v>6.294</v>
      </c>
      <c r="I397" s="87"/>
      <c r="J397" s="87"/>
    </row>
    <row r="398" spans="4:10" ht="12.75">
      <c r="D398" s="17" t="s">
        <v>619</v>
      </c>
      <c r="F398" s="58">
        <v>3.352</v>
      </c>
      <c r="I398" s="87"/>
      <c r="J398" s="87"/>
    </row>
    <row r="399" spans="1:45" ht="12.75">
      <c r="A399" s="4"/>
      <c r="B399" s="14" t="s">
        <v>159</v>
      </c>
      <c r="C399" s="14" t="s">
        <v>100</v>
      </c>
      <c r="D399" s="14" t="s">
        <v>471</v>
      </c>
      <c r="E399" s="4" t="s">
        <v>6</v>
      </c>
      <c r="F399" s="4" t="s">
        <v>6</v>
      </c>
      <c r="G399" s="4"/>
      <c r="H399" s="39">
        <f>SUM(H400:H400)</f>
        <v>0</v>
      </c>
      <c r="I399" s="80"/>
      <c r="J399" s="80">
        <f>SUM(J400:J400)</f>
        <v>0.7358433</v>
      </c>
      <c r="K399" s="28"/>
      <c r="AG399" s="28" t="s">
        <v>159</v>
      </c>
      <c r="AQ399" s="39">
        <f>SUM(AH400:AH400)</f>
        <v>0</v>
      </c>
      <c r="AR399" s="39">
        <f>SUM(AI400:AI400)</f>
        <v>0</v>
      </c>
      <c r="AS399" s="39">
        <f>SUM(AJ400:AJ400)</f>
        <v>0</v>
      </c>
    </row>
    <row r="400" spans="1:60" ht="12.75">
      <c r="A400" s="5" t="s">
        <v>153</v>
      </c>
      <c r="B400" s="5" t="s">
        <v>159</v>
      </c>
      <c r="C400" s="5" t="s">
        <v>236</v>
      </c>
      <c r="D400" s="5" t="s">
        <v>472</v>
      </c>
      <c r="E400" s="5" t="s">
        <v>631</v>
      </c>
      <c r="F400" s="57">
        <v>40.035</v>
      </c>
      <c r="G400" s="20"/>
      <c r="H400" s="20">
        <f>F400*G400</f>
        <v>0</v>
      </c>
      <c r="I400" s="86">
        <v>0.01838</v>
      </c>
      <c r="J400" s="86">
        <f>F400*I400</f>
        <v>0.7358433</v>
      </c>
      <c r="K400" s="32" t="s">
        <v>653</v>
      </c>
      <c r="X400" s="36">
        <f>IF(AO400="5",BH400,0)</f>
        <v>0</v>
      </c>
      <c r="Z400" s="36">
        <f>IF(AO400="1",BF400,0)</f>
        <v>0</v>
      </c>
      <c r="AA400" s="36">
        <f>IF(AO400="1",BG400,0)</f>
        <v>0</v>
      </c>
      <c r="AB400" s="36">
        <f>IF(AO400="7",BF400,0)</f>
        <v>0</v>
      </c>
      <c r="AC400" s="36">
        <f>IF(AO400="7",BG400,0)</f>
        <v>0</v>
      </c>
      <c r="AD400" s="36">
        <f>IF(AO400="2",BF400,0)</f>
        <v>0</v>
      </c>
      <c r="AE400" s="36">
        <f>IF(AO400="2",BG400,0)</f>
        <v>0</v>
      </c>
      <c r="AF400" s="36">
        <f>IF(AO400="0",BH400,0)</f>
        <v>0</v>
      </c>
      <c r="AG400" s="28" t="s">
        <v>159</v>
      </c>
      <c r="AH400" s="20">
        <f>IF(AL400=0,H400,0)</f>
        <v>0</v>
      </c>
      <c r="AI400" s="20">
        <f>IF(AL400=15,H400,0)</f>
        <v>0</v>
      </c>
      <c r="AJ400" s="20">
        <f>IF(AL400=21,H400,0)</f>
        <v>0</v>
      </c>
      <c r="AL400" s="36">
        <v>21</v>
      </c>
      <c r="AM400" s="36">
        <f>G400*0.000447093640069239</f>
        <v>0</v>
      </c>
      <c r="AN400" s="36">
        <f>G400*(1-0.000447093640069239)</f>
        <v>0</v>
      </c>
      <c r="AO400" s="32" t="s">
        <v>7</v>
      </c>
      <c r="AT400" s="36">
        <f>AU400+AV400</f>
        <v>0</v>
      </c>
      <c r="AU400" s="36">
        <f>F400*AM400</f>
        <v>0</v>
      </c>
      <c r="AV400" s="36">
        <f>F400*AN400</f>
        <v>0</v>
      </c>
      <c r="AW400" s="37" t="s">
        <v>678</v>
      </c>
      <c r="AX400" s="37" t="s">
        <v>704</v>
      </c>
      <c r="AY400" s="28" t="s">
        <v>706</v>
      </c>
      <c r="BA400" s="36">
        <f>AU400+AV400</f>
        <v>0</v>
      </c>
      <c r="BB400" s="36">
        <f>G400/(100-BC400)*100</f>
        <v>0</v>
      </c>
      <c r="BC400" s="36">
        <v>0</v>
      </c>
      <c r="BD400" s="36">
        <f>J400</f>
        <v>0.7358433</v>
      </c>
      <c r="BF400" s="20">
        <f>F400*AM400</f>
        <v>0</v>
      </c>
      <c r="BG400" s="20">
        <f>F400*AN400</f>
        <v>0</v>
      </c>
      <c r="BH400" s="20">
        <f>F400*G400</f>
        <v>0</v>
      </c>
    </row>
    <row r="401" spans="4:10" ht="12.75">
      <c r="D401" s="17" t="s">
        <v>620</v>
      </c>
      <c r="F401" s="58">
        <v>40.035</v>
      </c>
      <c r="I401" s="87"/>
      <c r="J401" s="87"/>
    </row>
    <row r="402" spans="1:45" ht="12.75">
      <c r="A402" s="4"/>
      <c r="B402" s="14" t="s">
        <v>159</v>
      </c>
      <c r="C402" s="14" t="s">
        <v>101</v>
      </c>
      <c r="D402" s="14" t="s">
        <v>484</v>
      </c>
      <c r="E402" s="4" t="s">
        <v>6</v>
      </c>
      <c r="F402" s="4" t="s">
        <v>6</v>
      </c>
      <c r="G402" s="4"/>
      <c r="H402" s="39">
        <f>SUM(H403:H403)</f>
        <v>0</v>
      </c>
      <c r="I402" s="80"/>
      <c r="J402" s="80">
        <f>SUM(J403:J403)</f>
        <v>0.009608400000000001</v>
      </c>
      <c r="K402" s="28"/>
      <c r="AG402" s="28" t="s">
        <v>159</v>
      </c>
      <c r="AQ402" s="39">
        <f>SUM(AH403:AH403)</f>
        <v>0</v>
      </c>
      <c r="AR402" s="39">
        <f>SUM(AI403:AI403)</f>
        <v>0</v>
      </c>
      <c r="AS402" s="39">
        <f>SUM(AJ403:AJ403)</f>
        <v>0</v>
      </c>
    </row>
    <row r="403" spans="1:60" ht="12.75">
      <c r="A403" s="5" t="s">
        <v>154</v>
      </c>
      <c r="B403" s="5" t="s">
        <v>159</v>
      </c>
      <c r="C403" s="5" t="s">
        <v>244</v>
      </c>
      <c r="D403" s="5" t="s">
        <v>485</v>
      </c>
      <c r="E403" s="5" t="s">
        <v>631</v>
      </c>
      <c r="F403" s="57">
        <v>240.21</v>
      </c>
      <c r="G403" s="20"/>
      <c r="H403" s="20">
        <f>F403*G403</f>
        <v>0</v>
      </c>
      <c r="I403" s="86">
        <v>4E-05</v>
      </c>
      <c r="J403" s="86">
        <f>F403*I403</f>
        <v>0.009608400000000001</v>
      </c>
      <c r="K403" s="32" t="s">
        <v>653</v>
      </c>
      <c r="X403" s="36">
        <f>IF(AO403="5",BH403,0)</f>
        <v>0</v>
      </c>
      <c r="Z403" s="36">
        <f>IF(AO403="1",BF403,0)</f>
        <v>0</v>
      </c>
      <c r="AA403" s="36">
        <f>IF(AO403="1",BG403,0)</f>
        <v>0</v>
      </c>
      <c r="AB403" s="36">
        <f>IF(AO403="7",BF403,0)</f>
        <v>0</v>
      </c>
      <c r="AC403" s="36">
        <f>IF(AO403="7",BG403,0)</f>
        <v>0</v>
      </c>
      <c r="AD403" s="36">
        <f>IF(AO403="2",BF403,0)</f>
        <v>0</v>
      </c>
      <c r="AE403" s="36">
        <f>IF(AO403="2",BG403,0)</f>
        <v>0</v>
      </c>
      <c r="AF403" s="36">
        <f>IF(AO403="0",BH403,0)</f>
        <v>0</v>
      </c>
      <c r="AG403" s="28" t="s">
        <v>159</v>
      </c>
      <c r="AH403" s="20">
        <f>IF(AL403=0,H403,0)</f>
        <v>0</v>
      </c>
      <c r="AI403" s="20">
        <f>IF(AL403=15,H403,0)</f>
        <v>0</v>
      </c>
      <c r="AJ403" s="20">
        <f>IF(AL403=21,H403,0)</f>
        <v>0</v>
      </c>
      <c r="AL403" s="36">
        <v>21</v>
      </c>
      <c r="AM403" s="36">
        <f>G403*0.0123809501496886</f>
        <v>0</v>
      </c>
      <c r="AN403" s="36">
        <f>G403*(1-0.0123809501496886)</f>
        <v>0</v>
      </c>
      <c r="AO403" s="32" t="s">
        <v>7</v>
      </c>
      <c r="AT403" s="36">
        <f>AU403+AV403</f>
        <v>0</v>
      </c>
      <c r="AU403" s="36">
        <f>F403*AM403</f>
        <v>0</v>
      </c>
      <c r="AV403" s="36">
        <f>F403*AN403</f>
        <v>0</v>
      </c>
      <c r="AW403" s="37" t="s">
        <v>679</v>
      </c>
      <c r="AX403" s="37" t="s">
        <v>704</v>
      </c>
      <c r="AY403" s="28" t="s">
        <v>706</v>
      </c>
      <c r="BA403" s="36">
        <f>AU403+AV403</f>
        <v>0</v>
      </c>
      <c r="BB403" s="36">
        <f>G403/(100-BC403)*100</f>
        <v>0</v>
      </c>
      <c r="BC403" s="36">
        <v>0</v>
      </c>
      <c r="BD403" s="36">
        <f>J403</f>
        <v>0.009608400000000001</v>
      </c>
      <c r="BF403" s="20">
        <f>F403*AM403</f>
        <v>0</v>
      </c>
      <c r="BG403" s="20">
        <f>F403*AN403</f>
        <v>0</v>
      </c>
      <c r="BH403" s="20">
        <f>F403*G403</f>
        <v>0</v>
      </c>
    </row>
    <row r="404" spans="4:10" ht="12.75">
      <c r="D404" s="17" t="s">
        <v>621</v>
      </c>
      <c r="F404" s="58">
        <v>240.21</v>
      </c>
      <c r="I404" s="87"/>
      <c r="J404" s="87"/>
    </row>
    <row r="405" spans="1:45" ht="12.75">
      <c r="A405" s="4"/>
      <c r="B405" s="14" t="s">
        <v>159</v>
      </c>
      <c r="C405" s="14" t="s">
        <v>253</v>
      </c>
      <c r="D405" s="14" t="s">
        <v>498</v>
      </c>
      <c r="E405" s="4" t="s">
        <v>6</v>
      </c>
      <c r="F405" s="4" t="s">
        <v>6</v>
      </c>
      <c r="G405" s="4"/>
      <c r="H405" s="39">
        <f>SUM(H406:H406)</f>
        <v>0</v>
      </c>
      <c r="I405" s="80"/>
      <c r="J405" s="80">
        <f>SUM(J406:J406)</f>
        <v>0</v>
      </c>
      <c r="K405" s="28"/>
      <c r="AG405" s="28" t="s">
        <v>159</v>
      </c>
      <c r="AQ405" s="39">
        <f>SUM(AH406:AH406)</f>
        <v>0</v>
      </c>
      <c r="AR405" s="39">
        <f>SUM(AI406:AI406)</f>
        <v>0</v>
      </c>
      <c r="AS405" s="39">
        <f>SUM(AJ406:AJ406)</f>
        <v>0</v>
      </c>
    </row>
    <row r="406" spans="1:60" ht="12.75">
      <c r="A406" s="5" t="s">
        <v>155</v>
      </c>
      <c r="B406" s="5" t="s">
        <v>159</v>
      </c>
      <c r="C406" s="5" t="s">
        <v>297</v>
      </c>
      <c r="D406" s="5" t="s">
        <v>622</v>
      </c>
      <c r="E406" s="5" t="s">
        <v>633</v>
      </c>
      <c r="F406" s="57">
        <v>630.39</v>
      </c>
      <c r="G406" s="20"/>
      <c r="H406" s="20">
        <f>F406*G406</f>
        <v>0</v>
      </c>
      <c r="I406" s="86">
        <v>0</v>
      </c>
      <c r="J406" s="86">
        <f>F406*I406</f>
        <v>0</v>
      </c>
      <c r="K406" s="32" t="s">
        <v>653</v>
      </c>
      <c r="X406" s="36">
        <f>IF(AO406="5",BH406,0)</f>
        <v>0</v>
      </c>
      <c r="Z406" s="36">
        <f>IF(AO406="1",BF406,0)</f>
        <v>0</v>
      </c>
      <c r="AA406" s="36">
        <f>IF(AO406="1",BG406,0)</f>
        <v>0</v>
      </c>
      <c r="AB406" s="36">
        <f>IF(AO406="7",BF406,0)</f>
        <v>0</v>
      </c>
      <c r="AC406" s="36">
        <f>IF(AO406="7",BG406,0)</f>
        <v>0</v>
      </c>
      <c r="AD406" s="36">
        <f>IF(AO406="2",BF406,0)</f>
        <v>0</v>
      </c>
      <c r="AE406" s="36">
        <f>IF(AO406="2",BG406,0)</f>
        <v>0</v>
      </c>
      <c r="AF406" s="36">
        <f>IF(AO406="0",BH406,0)</f>
        <v>0</v>
      </c>
      <c r="AG406" s="28" t="s">
        <v>159</v>
      </c>
      <c r="AH406" s="20">
        <f>IF(AL406=0,H406,0)</f>
        <v>0</v>
      </c>
      <c r="AI406" s="20">
        <f>IF(AL406=15,H406,0)</f>
        <v>0</v>
      </c>
      <c r="AJ406" s="20">
        <f>IF(AL406=21,H406,0)</f>
        <v>0</v>
      </c>
      <c r="AL406" s="36">
        <v>21</v>
      </c>
      <c r="AM406" s="36">
        <f>G406*0</f>
        <v>0</v>
      </c>
      <c r="AN406" s="36">
        <f>G406*(1-0)</f>
        <v>0</v>
      </c>
      <c r="AO406" s="32" t="s">
        <v>11</v>
      </c>
      <c r="AT406" s="36">
        <f>AU406+AV406</f>
        <v>0</v>
      </c>
      <c r="AU406" s="36">
        <f>F406*AM406</f>
        <v>0</v>
      </c>
      <c r="AV406" s="36">
        <f>F406*AN406</f>
        <v>0</v>
      </c>
      <c r="AW406" s="37" t="s">
        <v>681</v>
      </c>
      <c r="AX406" s="37" t="s">
        <v>704</v>
      </c>
      <c r="AY406" s="28" t="s">
        <v>706</v>
      </c>
      <c r="BA406" s="36">
        <f>AU406+AV406</f>
        <v>0</v>
      </c>
      <c r="BB406" s="36">
        <f>G406/(100-BC406)*100</f>
        <v>0</v>
      </c>
      <c r="BC406" s="36">
        <v>0</v>
      </c>
      <c r="BD406" s="36">
        <f>J406</f>
        <v>0</v>
      </c>
      <c r="BF406" s="20">
        <f>F406*AM406</f>
        <v>0</v>
      </c>
      <c r="BG406" s="20">
        <f>F406*AN406</f>
        <v>0</v>
      </c>
      <c r="BH406" s="20">
        <f>F406*G406</f>
        <v>0</v>
      </c>
    </row>
    <row r="407" spans="1:11" ht="12.75">
      <c r="A407" s="8"/>
      <c r="B407" s="8"/>
      <c r="C407" s="8"/>
      <c r="D407" s="18" t="s">
        <v>623</v>
      </c>
      <c r="E407" s="8"/>
      <c r="F407" s="60">
        <v>630.39</v>
      </c>
      <c r="G407" s="8"/>
      <c r="H407" s="8"/>
      <c r="I407" s="8"/>
      <c r="J407" s="8"/>
      <c r="K407" s="8"/>
    </row>
    <row r="408" spans="1:11" ht="12.75">
      <c r="A408" s="9"/>
      <c r="B408" s="9"/>
      <c r="C408" s="9"/>
      <c r="D408" s="9"/>
      <c r="E408" s="9"/>
      <c r="F408" s="9"/>
      <c r="G408" s="9"/>
      <c r="H408" s="41">
        <f>H13+H16+H23+H42+H51+H63+H66+H81+H97+H113+H116+H144+H159+H172+H201+H218+H221+H236+H239+H252+H260+H269+H278+H289+H302+H307+H317+H327+H340+H349+H365+H368+H385+H389+H399+H402+H405</f>
        <v>0</v>
      </c>
      <c r="I408" s="9"/>
      <c r="J408" s="9"/>
      <c r="K408" s="9"/>
    </row>
    <row r="409" ht="11.25" customHeight="1">
      <c r="A409" s="10" t="s">
        <v>156</v>
      </c>
    </row>
    <row r="410" spans="1:11" ht="12.75">
      <c r="A410" s="78"/>
      <c r="B410" s="77"/>
      <c r="C410" s="77"/>
      <c r="D410" s="77"/>
      <c r="E410" s="77"/>
      <c r="F410" s="77"/>
      <c r="G410" s="77"/>
      <c r="H410" s="77"/>
      <c r="I410" s="77"/>
      <c r="J410" s="77"/>
      <c r="K410" s="77"/>
    </row>
  </sheetData>
  <sheetProtection/>
  <mergeCells count="26">
    <mergeCell ref="A1:K1"/>
    <mergeCell ref="A2:C3"/>
    <mergeCell ref="D2:D3"/>
    <mergeCell ref="E2:F3"/>
    <mergeCell ref="G2:G3"/>
    <mergeCell ref="H2:H3"/>
    <mergeCell ref="A6:C7"/>
    <mergeCell ref="D6:D7"/>
    <mergeCell ref="E6:F7"/>
    <mergeCell ref="G6:G7"/>
    <mergeCell ref="H6:H7"/>
    <mergeCell ref="A4:C5"/>
    <mergeCell ref="D4:D5"/>
    <mergeCell ref="E4:F5"/>
    <mergeCell ref="G4:G5"/>
    <mergeCell ref="H4:H5"/>
    <mergeCell ref="I10:J10"/>
    <mergeCell ref="I2:K3"/>
    <mergeCell ref="I4:K5"/>
    <mergeCell ref="I6:K7"/>
    <mergeCell ref="I8:K9"/>
    <mergeCell ref="A8:C9"/>
    <mergeCell ref="D8:D9"/>
    <mergeCell ref="E8:F9"/>
    <mergeCell ref="G8:G9"/>
    <mergeCell ref="H8:H9"/>
  </mergeCells>
  <printOptions/>
  <pageMargins left="0.5905511811023623" right="0.1968503937007874" top="0.5905511811023623" bottom="0.5905511811023623" header="0.5118110236220472" footer="0.5118110236220472"/>
  <pageSetup fitToHeight="0"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H16" sqref="H16"/>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 min="10" max="10" width="0.9921875" style="0" customWidth="1"/>
  </cols>
  <sheetData>
    <row r="1" spans="1:9" ht="30" customHeight="1">
      <c r="A1" s="109" t="s">
        <v>754</v>
      </c>
      <c r="B1" s="109"/>
      <c r="C1" s="109"/>
      <c r="D1" s="109"/>
      <c r="E1" s="109"/>
      <c r="F1" s="109"/>
      <c r="G1" s="109"/>
      <c r="H1" s="109"/>
      <c r="I1" s="109"/>
    </row>
    <row r="2" spans="1:10" ht="12.75">
      <c r="A2" s="152" t="s">
        <v>1</v>
      </c>
      <c r="B2" s="153"/>
      <c r="C2" s="154" t="str">
        <f>'Stavební rozpočet'!D2</f>
        <v>Zázemí atletického oválu SO.03A - Sklad a SO.03B Opěrná stěna</v>
      </c>
      <c r="D2" s="155"/>
      <c r="E2" s="157" t="s">
        <v>639</v>
      </c>
      <c r="F2" s="157" t="str">
        <f>'Stavební rozpočet'!I2</f>
        <v>Město Benešov</v>
      </c>
      <c r="G2" s="153"/>
      <c r="H2" s="157" t="s">
        <v>740</v>
      </c>
      <c r="I2" s="158" t="s">
        <v>744</v>
      </c>
      <c r="J2" s="34"/>
    </row>
    <row r="3" spans="1:10" ht="12.75">
      <c r="A3" s="145"/>
      <c r="B3" s="138"/>
      <c r="C3" s="156"/>
      <c r="D3" s="156"/>
      <c r="E3" s="138"/>
      <c r="F3" s="138"/>
      <c r="G3" s="138"/>
      <c r="H3" s="138"/>
      <c r="I3" s="147"/>
      <c r="J3" s="34"/>
    </row>
    <row r="4" spans="1:10" ht="12.75">
      <c r="A4" s="137" t="s">
        <v>2</v>
      </c>
      <c r="B4" s="138"/>
      <c r="C4" s="141" t="str">
        <f>'Stavební rozpočet'!D4</f>
        <v>Novostavba objektu</v>
      </c>
      <c r="D4" s="138"/>
      <c r="E4" s="141" t="s">
        <v>640</v>
      </c>
      <c r="F4" s="141" t="str">
        <f>'Stavební rozpočet'!I4</f>
        <v>Ing.arch Martin Kraus, atelier a-detail</v>
      </c>
      <c r="G4" s="138"/>
      <c r="H4" s="141" t="s">
        <v>740</v>
      </c>
      <c r="I4" s="146" t="s">
        <v>745</v>
      </c>
      <c r="J4" s="34"/>
    </row>
    <row r="5" spans="1:10" ht="12.75">
      <c r="A5" s="145"/>
      <c r="B5" s="138"/>
      <c r="C5" s="138"/>
      <c r="D5" s="138"/>
      <c r="E5" s="138"/>
      <c r="F5" s="138"/>
      <c r="G5" s="138"/>
      <c r="H5" s="138"/>
      <c r="I5" s="147"/>
      <c r="J5" s="34"/>
    </row>
    <row r="6" spans="1:10" ht="12.75">
      <c r="A6" s="137" t="s">
        <v>3</v>
      </c>
      <c r="B6" s="138"/>
      <c r="C6" s="141" t="str">
        <f>'Stavební rozpočet'!D6</f>
        <v>Hráského 1913, 256 01 Benešov</v>
      </c>
      <c r="D6" s="138"/>
      <c r="E6" s="141" t="s">
        <v>641</v>
      </c>
      <c r="F6" s="141" t="str">
        <f>'Stavební rozpočet'!I6</f>
        <v> </v>
      </c>
      <c r="G6" s="138"/>
      <c r="H6" s="141" t="s">
        <v>740</v>
      </c>
      <c r="I6" s="146"/>
      <c r="J6" s="34"/>
    </row>
    <row r="7" spans="1:10" ht="12.75">
      <c r="A7" s="145"/>
      <c r="B7" s="138"/>
      <c r="C7" s="138"/>
      <c r="D7" s="138"/>
      <c r="E7" s="138"/>
      <c r="F7" s="138"/>
      <c r="G7" s="138"/>
      <c r="H7" s="138"/>
      <c r="I7" s="147"/>
      <c r="J7" s="34"/>
    </row>
    <row r="8" spans="1:10" ht="12.75">
      <c r="A8" s="137" t="s">
        <v>625</v>
      </c>
      <c r="B8" s="138"/>
      <c r="C8" s="141" t="str">
        <f>'Stavební rozpočet'!G4</f>
        <v> </v>
      </c>
      <c r="D8" s="138"/>
      <c r="E8" s="141" t="s">
        <v>626</v>
      </c>
      <c r="F8" s="141" t="str">
        <f>'Stavební rozpočet'!G6</f>
        <v> </v>
      </c>
      <c r="G8" s="138"/>
      <c r="H8" s="142" t="s">
        <v>741</v>
      </c>
      <c r="I8" s="146" t="s">
        <v>155</v>
      </c>
      <c r="J8" s="34"/>
    </row>
    <row r="9" spans="1:10" ht="12.75">
      <c r="A9" s="145"/>
      <c r="B9" s="138"/>
      <c r="C9" s="138"/>
      <c r="D9" s="138"/>
      <c r="E9" s="138"/>
      <c r="F9" s="138"/>
      <c r="G9" s="138"/>
      <c r="H9" s="138"/>
      <c r="I9" s="147"/>
      <c r="J9" s="34"/>
    </row>
    <row r="10" spans="1:10" ht="12.75">
      <c r="A10" s="137" t="s">
        <v>4</v>
      </c>
      <c r="B10" s="138"/>
      <c r="C10" s="141" t="str">
        <f>'Stavební rozpočet'!D8</f>
        <v>8015, Budovy pro tělovýchovu</v>
      </c>
      <c r="D10" s="138"/>
      <c r="E10" s="141" t="s">
        <v>642</v>
      </c>
      <c r="F10" s="141" t="str">
        <f>'Stavební rozpočet'!I8</f>
        <v>Ing. Pavel Markvart</v>
      </c>
      <c r="G10" s="138"/>
      <c r="H10" s="142" t="s">
        <v>742</v>
      </c>
      <c r="I10" s="143" t="str">
        <f>'Stavební rozpočet'!G8</f>
        <v>05.12.2019</v>
      </c>
      <c r="J10" s="34"/>
    </row>
    <row r="11" spans="1:10" ht="12.75">
      <c r="A11" s="139"/>
      <c r="B11" s="140"/>
      <c r="C11" s="140"/>
      <c r="D11" s="140"/>
      <c r="E11" s="140"/>
      <c r="F11" s="140"/>
      <c r="G11" s="140"/>
      <c r="H11" s="140"/>
      <c r="I11" s="144"/>
      <c r="J11" s="34"/>
    </row>
    <row r="12" spans="1:9" ht="12.75">
      <c r="A12" s="9"/>
      <c r="B12" s="9"/>
      <c r="C12" s="9"/>
      <c r="D12" s="9"/>
      <c r="E12" s="9"/>
      <c r="F12" s="9"/>
      <c r="G12" s="9"/>
      <c r="H12" s="9"/>
      <c r="I12" s="9"/>
    </row>
    <row r="13" spans="1:9" ht="15" customHeight="1" thickBot="1">
      <c r="A13" s="182" t="s">
        <v>746</v>
      </c>
      <c r="B13" s="183"/>
      <c r="C13" s="183"/>
      <c r="D13" s="183"/>
      <c r="E13" s="183"/>
      <c r="F13" s="49"/>
      <c r="G13" s="49"/>
      <c r="H13" s="49"/>
      <c r="I13" s="49"/>
    </row>
    <row r="14" spans="1:9" ht="15" customHeight="1" thickBot="1">
      <c r="A14" s="178" t="s">
        <v>747</v>
      </c>
      <c r="B14" s="179"/>
      <c r="C14" s="179"/>
      <c r="D14" s="179"/>
      <c r="E14" s="179"/>
      <c r="F14" s="89"/>
      <c r="G14" s="89"/>
      <c r="H14" s="89"/>
      <c r="I14" s="90"/>
    </row>
    <row r="15" spans="1:10" ht="12.75">
      <c r="A15" s="180" t="s">
        <v>748</v>
      </c>
      <c r="B15" s="181"/>
      <c r="C15" s="181"/>
      <c r="D15" s="181"/>
      <c r="E15" s="181"/>
      <c r="F15" s="91" t="s">
        <v>755</v>
      </c>
      <c r="G15" s="91" t="s">
        <v>756</v>
      </c>
      <c r="H15" s="91" t="s">
        <v>757</v>
      </c>
      <c r="I15" s="91" t="s">
        <v>755</v>
      </c>
      <c r="J15" s="77"/>
    </row>
    <row r="16" spans="1:10" ht="12.75">
      <c r="A16" s="171" t="s">
        <v>734</v>
      </c>
      <c r="B16" s="172"/>
      <c r="C16" s="172"/>
      <c r="D16" s="172"/>
      <c r="E16" s="172"/>
      <c r="F16" s="53"/>
      <c r="G16" s="50">
        <v>1.5</v>
      </c>
      <c r="H16" s="50">
        <f>'Krycí list rozpočtu'!C22</f>
        <v>0</v>
      </c>
      <c r="I16" s="50">
        <f>(G16/100)*H16</f>
        <v>0</v>
      </c>
      <c r="J16" s="77"/>
    </row>
    <row r="17" spans="1:10" ht="12.75">
      <c r="A17" s="171" t="s">
        <v>749</v>
      </c>
      <c r="B17" s="172"/>
      <c r="C17" s="172"/>
      <c r="D17" s="172"/>
      <c r="E17" s="172"/>
      <c r="F17" s="53"/>
      <c r="G17" s="50">
        <v>0.3</v>
      </c>
      <c r="H17" s="50">
        <f>'Krycí list rozpočtu'!C22</f>
        <v>0</v>
      </c>
      <c r="I17" s="50">
        <f>(G17/100)*H17</f>
        <v>0</v>
      </c>
      <c r="J17" s="77"/>
    </row>
    <row r="18" spans="1:10" ht="12.75">
      <c r="A18" s="171" t="s">
        <v>750</v>
      </c>
      <c r="B18" s="172"/>
      <c r="C18" s="172"/>
      <c r="D18" s="172"/>
      <c r="E18" s="172"/>
      <c r="F18" s="53"/>
      <c r="G18" s="50">
        <v>0.3</v>
      </c>
      <c r="H18" s="50">
        <f>'Krycí list rozpočtu'!C22</f>
        <v>0</v>
      </c>
      <c r="I18" s="50">
        <f>(G18/100)*H18</f>
        <v>0</v>
      </c>
      <c r="J18" s="77"/>
    </row>
    <row r="19" spans="1:10" ht="12.75">
      <c r="A19" s="171" t="s">
        <v>751</v>
      </c>
      <c r="B19" s="172"/>
      <c r="C19" s="172"/>
      <c r="D19" s="172"/>
      <c r="E19" s="172"/>
      <c r="F19" s="53"/>
      <c r="G19" s="50">
        <v>0.2</v>
      </c>
      <c r="H19" s="50">
        <f>'Krycí list rozpočtu'!C22</f>
        <v>0</v>
      </c>
      <c r="I19" s="50">
        <f>(G19/100)*H19</f>
        <v>0</v>
      </c>
      <c r="J19" s="77"/>
    </row>
    <row r="20" spans="1:10" ht="13.5" thickBot="1">
      <c r="A20" s="173" t="s">
        <v>752</v>
      </c>
      <c r="B20" s="174"/>
      <c r="C20" s="174"/>
      <c r="D20" s="174"/>
      <c r="E20" s="174"/>
      <c r="F20" s="54"/>
      <c r="G20" s="51">
        <v>0.2</v>
      </c>
      <c r="H20" s="51">
        <f>'Krycí list rozpočtu'!C22</f>
        <v>0</v>
      </c>
      <c r="I20" s="51">
        <f>(G20/100)*H20</f>
        <v>0</v>
      </c>
      <c r="J20" s="77"/>
    </row>
    <row r="21" spans="1:10" ht="13.5" thickBot="1">
      <c r="A21" s="175" t="s">
        <v>753</v>
      </c>
      <c r="B21" s="176"/>
      <c r="C21" s="176"/>
      <c r="D21" s="176"/>
      <c r="E21" s="177"/>
      <c r="F21" s="52"/>
      <c r="G21" s="55"/>
      <c r="H21" s="55"/>
      <c r="I21" s="56">
        <f>SUM(I16:I20)</f>
        <v>0</v>
      </c>
      <c r="J21" s="77"/>
    </row>
    <row r="22" spans="1:9" ht="12.75">
      <c r="A22" s="42"/>
      <c r="B22" s="42"/>
      <c r="C22" s="42"/>
      <c r="D22" s="42"/>
      <c r="E22" s="42"/>
      <c r="F22" s="42"/>
      <c r="G22" s="42"/>
      <c r="H22" s="42"/>
      <c r="I22" s="42"/>
    </row>
  </sheetData>
  <sheetProtection/>
  <mergeCells count="40">
    <mergeCell ref="A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F10:G11"/>
    <mergeCell ref="H10:H11"/>
    <mergeCell ref="I10:I11"/>
    <mergeCell ref="A8:B9"/>
    <mergeCell ref="C8:D9"/>
    <mergeCell ref="E8:E9"/>
    <mergeCell ref="F8:G9"/>
    <mergeCell ref="H8:H9"/>
    <mergeCell ref="I8:I9"/>
    <mergeCell ref="A14:E14"/>
    <mergeCell ref="A15:E15"/>
    <mergeCell ref="A13:E13"/>
    <mergeCell ref="A10:B11"/>
    <mergeCell ref="C10:D11"/>
    <mergeCell ref="E10:E11"/>
    <mergeCell ref="A16:E16"/>
    <mergeCell ref="A17:E17"/>
    <mergeCell ref="A18:E18"/>
    <mergeCell ref="A19:E19"/>
    <mergeCell ref="A20:E20"/>
    <mergeCell ref="A21:E21"/>
  </mergeCells>
  <printOptions/>
  <pageMargins left="0.5905511811023623" right="0.1968503937007874" top="0.5905511811023623" bottom="0.5905511811023623"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Mayer</dc:creator>
  <cp:keywords/>
  <dc:description/>
  <cp:lastModifiedBy>Pavlína Tůmová</cp:lastModifiedBy>
  <cp:lastPrinted>2019-12-05T21:14:41Z</cp:lastPrinted>
  <dcterms:created xsi:type="dcterms:W3CDTF">2019-12-06T13:23:05Z</dcterms:created>
  <dcterms:modified xsi:type="dcterms:W3CDTF">2020-02-25T12:11:37Z</dcterms:modified>
  <cp:category/>
  <cp:version/>
  <cp:contentType/>
  <cp:contentStatus/>
</cp:coreProperties>
</file>