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50" windowHeight="12390" activeTab="1"/>
  </bookViews>
  <sheets>
    <sheet name="Rekapitulace" sheetId="8" r:id="rId1"/>
    <sheet name="Stavební část " sheetId="9" r:id="rId2"/>
    <sheet name="Přípojka V a K" sheetId="3" r:id="rId3"/>
    <sheet name="Elektroinstalace " sheetId="6" r:id="rId4"/>
  </sheets>
  <externalReferences>
    <externalReference r:id="rId7"/>
  </externalReferences>
  <definedNames/>
  <calcPr calcId="162913"/>
</workbook>
</file>

<file path=xl/sharedStrings.xml><?xml version="1.0" encoding="utf-8"?>
<sst xmlns="http://schemas.openxmlformats.org/spreadsheetml/2006/main" count="2379" uniqueCount="629">
  <si>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</si>
  <si>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</si>
  <si>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</si>
  <si>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</si>
  <si>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</si>
  <si>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</si>
  <si>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</si>
  <si>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</si>
  <si>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</si>
  <si>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</si>
  <si>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</si>
  <si>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</si>
  <si>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</si>
  <si>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</si>
  <si>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</si>
  <si>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</si>
  <si>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</si>
  <si>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</si>
  <si>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</si>
  <si>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JKSO:</t>
  </si>
  <si>
    <t/>
  </si>
  <si>
    <t>CC-CZ:</t>
  </si>
  <si>
    <t>Místo:</t>
  </si>
  <si>
    <t>Benešov</t>
  </si>
  <si>
    <t>Datum:</t>
  </si>
  <si>
    <t>Objednatel:</t>
  </si>
  <si>
    <t>IČ:</t>
  </si>
  <si>
    <t>Město Benešov,Masarykovo nám.100,256 01 Benešov</t>
  </si>
  <si>
    <t>DIČ:</t>
  </si>
  <si>
    <t>Zhotovitel:</t>
  </si>
  <si>
    <t>Projektant:</t>
  </si>
  <si>
    <t>IPROS s.r.o. Tyršova 2076,256 01 Benešov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</si>
  <si>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</si>
  <si>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</si>
  <si>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</si>
  <si>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</si>
  <si>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</si>
  <si>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</si>
  <si>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</si>
  <si>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</si>
  <si>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</si>
  <si>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</si>
  <si>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</si>
  <si>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</si>
  <si>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</si>
  <si>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</si>
  <si>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</si>
  <si>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</si>
  <si>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</si>
  <si>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</si>
  <si>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</si>
  <si>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</si>
  <si>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</si>
  <si>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</si>
  <si>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</si>
  <si>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</si>
  <si>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</si>
  <si>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</si>
  <si>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</si>
  <si>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</si>
  <si>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</si>
  <si>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</si>
  <si>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</si>
  <si>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</si>
  <si>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</si>
  <si>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</si>
  <si>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</si>
  <si>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</si>
  <si>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</si>
  <si>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</si>
  <si>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</si>
  <si>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</si>
  <si>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</si>
  <si>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</si>
  <si>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</si>
  <si>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</si>
  <si>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</si>
  <si>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{ed75627f-9cf6-4d51-9c9a-1856bed4ad66}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</si>
  <si>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</si>
  <si>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</si>
  <si>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</si>
  <si>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</si>
  <si>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</si>
  <si>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</si>
  <si>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</si>
  <si>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</si>
  <si>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</si>
  <si>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</si>
  <si>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</si>
  <si>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</si>
  <si>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</si>
  <si>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</si>
  <si>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</si>
  <si>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</si>
  <si>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</si>
  <si>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</si>
  <si>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</si>
  <si>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</si>
  <si>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</si>
  <si>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</si>
  <si>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</si>
  <si>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</si>
  <si>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</si>
  <si>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</si>
  <si>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</si>
  <si>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</si>
  <si>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</si>
  <si>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</si>
  <si>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</si>
  <si>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</si>
  <si>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</si>
  <si>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</si>
  <si>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</si>
  <si>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PSV</t>
  </si>
  <si>
    <t xml:space="preserve">    741 - Elektroinstalace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</si>
  <si>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</si>
  <si>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</si>
  <si>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</si>
  <si>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888 - Vybavení hriště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</si>
  <si>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</si>
  <si>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</si>
  <si>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</si>
  <si>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</si>
  <si>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</si>
  <si>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</si>
  <si>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</si>
  <si>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</si>
  <si>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</si>
  <si>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</si>
  <si>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</si>
  <si>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</si>
  <si>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</si>
  <si>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</si>
  <si>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</si>
  <si>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</si>
  <si>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</si>
  <si>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</si>
  <si>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</si>
  <si>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</si>
  <si>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</si>
  <si>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</si>
  <si>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</si>
  <si>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</si>
  <si>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113107123</t>
  </si>
  <si>
    <t>m2</t>
  </si>
  <si>
    <t>4</t>
  </si>
  <si>
    <t>-1792399727</t>
  </si>
  <si>
    <t>3</t>
  </si>
  <si>
    <t>132201101</t>
  </si>
  <si>
    <t>Hloubení rýh š do 600 mm v hornině tř. 3 objemu do 100 m3</t>
  </si>
  <si>
    <t>m3</t>
  </si>
  <si>
    <t>-1530489215</t>
  </si>
  <si>
    <t>132201109</t>
  </si>
  <si>
    <t>Příplatek za lepivost k hloubení rýh š do 600 mm v hornině tř. 3</t>
  </si>
  <si>
    <t>-432236388</t>
  </si>
  <si>
    <t>5</t>
  </si>
  <si>
    <t>133201101</t>
  </si>
  <si>
    <t>Hloubení šachet v hornině tř. 3 objemu do 100 m3</t>
  </si>
  <si>
    <t>548310951</t>
  </si>
  <si>
    <t>6</t>
  </si>
  <si>
    <t>133201109</t>
  </si>
  <si>
    <t>Příplatek za lepivost u hloubení šachet v hornině tř. 3</t>
  </si>
  <si>
    <t>-1611316651</t>
  </si>
  <si>
    <t>7</t>
  </si>
  <si>
    <t>162701104</t>
  </si>
  <si>
    <t>Vodorovné přemístění do 9000 m výkopku/sypaniny z horniny tř. 1 až 4</t>
  </si>
  <si>
    <t>1465709298</t>
  </si>
  <si>
    <t>8</t>
  </si>
  <si>
    <t>171201201</t>
  </si>
  <si>
    <t>Uložení sypaniny na skládky</t>
  </si>
  <si>
    <t>-1186699062</t>
  </si>
  <si>
    <t>9</t>
  </si>
  <si>
    <t>171201211</t>
  </si>
  <si>
    <t>Poplatek za uložení odpadu ze sypaniny na skládce (skládkovné)</t>
  </si>
  <si>
    <t>t</t>
  </si>
  <si>
    <t>-1565691602</t>
  </si>
  <si>
    <t>10</t>
  </si>
  <si>
    <t>274313511</t>
  </si>
  <si>
    <t>Základové pásy z betonu tř. C 12/15</t>
  </si>
  <si>
    <t>1865297659</t>
  </si>
  <si>
    <t>11</t>
  </si>
  <si>
    <t>274351215</t>
  </si>
  <si>
    <t>Zřízení bednění stěn základových pasů a patek</t>
  </si>
  <si>
    <t>-1178413271</t>
  </si>
  <si>
    <t>12</t>
  </si>
  <si>
    <t>275313511</t>
  </si>
  <si>
    <t>Základové patky z betonu tř. C 12/15</t>
  </si>
  <si>
    <t>1933639812</t>
  </si>
  <si>
    <t>13</t>
  </si>
  <si>
    <t>275351216</t>
  </si>
  <si>
    <t>Odstranění bednění stěn základových patek a pasů</t>
  </si>
  <si>
    <t>648366078</t>
  </si>
  <si>
    <t>14</t>
  </si>
  <si>
    <t>31111111</t>
  </si>
  <si>
    <t>kpl</t>
  </si>
  <si>
    <t>1312859218</t>
  </si>
  <si>
    <t>m</t>
  </si>
  <si>
    <t>16</t>
  </si>
  <si>
    <t>M</t>
  </si>
  <si>
    <t>ks</t>
  </si>
  <si>
    <t>17</t>
  </si>
  <si>
    <t>339921132</t>
  </si>
  <si>
    <t>Osazování betonových palisád do betonového základu v řadě výšky prvku přes 0,5 do 1 m</t>
  </si>
  <si>
    <t>-1673111354</t>
  </si>
  <si>
    <t>18</t>
  </si>
  <si>
    <t>592-2</t>
  </si>
  <si>
    <t>Dodávka palisády 160/160 - 600</t>
  </si>
  <si>
    <t>1347488405</t>
  </si>
  <si>
    <t>19</t>
  </si>
  <si>
    <t>564831111</t>
  </si>
  <si>
    <t>909185715</t>
  </si>
  <si>
    <t>20</t>
  </si>
  <si>
    <t>596211110</t>
  </si>
  <si>
    <t>Kladení zámkové dlažby komunikací pro pěší tl 60 mm skupiny A pl do 50 m2</t>
  </si>
  <si>
    <t>-1176000736</t>
  </si>
  <si>
    <t>592-55</t>
  </si>
  <si>
    <t>Dodávka zámkové dlažby 20 x 10 x 6 - přírodní</t>
  </si>
  <si>
    <t>-437682278</t>
  </si>
  <si>
    <t>596811120</t>
  </si>
  <si>
    <t>Kladení betonové dlažby komunikací pro pěší do lože z kameniva vel do 0,09 m2 plochy do 50 m2</t>
  </si>
  <si>
    <t>1365176444</t>
  </si>
  <si>
    <t>59681-11</t>
  </si>
  <si>
    <t>Betonové dlaždice přírodní 300 x 300 x 35</t>
  </si>
  <si>
    <t>-1658395270</t>
  </si>
  <si>
    <t>635111215</t>
  </si>
  <si>
    <t>Násyp pod podlahy ze štěrkopísku se zhutněním</t>
  </si>
  <si>
    <t>544272246</t>
  </si>
  <si>
    <t>635111241</t>
  </si>
  <si>
    <t>Násyp pod podlahy z hrubého kameniva 8-16 se zhutněním</t>
  </si>
  <si>
    <t>-1451483450</t>
  </si>
  <si>
    <t>824-1</t>
  </si>
  <si>
    <t>Vodovodní a kanalizační  přípojka - cena dle samostatného rozpočtu</t>
  </si>
  <si>
    <t>-558704177</t>
  </si>
  <si>
    <t>kus</t>
  </si>
  <si>
    <t>32</t>
  </si>
  <si>
    <t>916331112</t>
  </si>
  <si>
    <t>Osazení zahradního obrubníku betonového do lože z betonu s boční opěrou zakončení nájezdové rampy</t>
  </si>
  <si>
    <t>2129715859</t>
  </si>
  <si>
    <t>59217305</t>
  </si>
  <si>
    <t>Obrubník zahradní   vel. 50 x 5 x 25</t>
  </si>
  <si>
    <t>1933887110</t>
  </si>
  <si>
    <t>916991121</t>
  </si>
  <si>
    <t>Lože pod obrubníky, krajníky nebo obruby z dlažebních kostek z betonu prostého</t>
  </si>
  <si>
    <t>1328885398</t>
  </si>
  <si>
    <t>935111111</t>
  </si>
  <si>
    <t>Osazení příkopového žlabu do štěrkopísku tl 100 mm z betonových tvárnic š  do 500 mm</t>
  </si>
  <si>
    <t>-1625999187</t>
  </si>
  <si>
    <t>93511-55</t>
  </si>
  <si>
    <t>Dodání betonového žlábku š. 300 mm vel.  1000 x 300 x 100</t>
  </si>
  <si>
    <t>-2057218879</t>
  </si>
  <si>
    <t>997221551</t>
  </si>
  <si>
    <t>Vodorovná doprava suti ze sypkých materiálů do 1 km</t>
  </si>
  <si>
    <t>-352850183</t>
  </si>
  <si>
    <t>997221559</t>
  </si>
  <si>
    <t>Příplatek ZKD 1 km u vodorovné dopravy suti ze sypkých materiálů</t>
  </si>
  <si>
    <t>577814959</t>
  </si>
  <si>
    <t>997221845</t>
  </si>
  <si>
    <t>Poplatek za uložení odpadu z asfaltových povrchů na skládce (skládkovné)</t>
  </si>
  <si>
    <t>1706177717</t>
  </si>
  <si>
    <t>997221855</t>
  </si>
  <si>
    <t>Poplatek za uložení odpadu z kameniva na skládce (skládkovné)</t>
  </si>
  <si>
    <t>1482331245</t>
  </si>
  <si>
    <t>998225111</t>
  </si>
  <si>
    <t>Přesun hmot pro pozemní komunikace s krytem z kamene, monolitickým betonovým nebo živičným</t>
  </si>
  <si>
    <t>-975402728</t>
  </si>
  <si>
    <t>741-1</t>
  </si>
  <si>
    <t>Elektropřípojka, rozvaděč - dle samostatného rozpočtu</t>
  </si>
  <si>
    <t>-2017225901</t>
  </si>
  <si>
    <t>764214604</t>
  </si>
  <si>
    <t>Oplechování horních ploch a atik bez rohů z Pz s povrch úpravou mechanicky kotvené rš 330 mm</t>
  </si>
  <si>
    <t>930159439</t>
  </si>
  <si>
    <t>764511602</t>
  </si>
  <si>
    <t>Žlab podokapní půlkruhový z Pz s povrchovou úpravou rš 330 mm</t>
  </si>
  <si>
    <t>1434693554</t>
  </si>
  <si>
    <t>764511642</t>
  </si>
  <si>
    <t>Kotlík oválný (trychtýřový) pro podokapní žlaby z Pz s povrchovou úpravou 330/100 mm</t>
  </si>
  <si>
    <t>-2009582825</t>
  </si>
  <si>
    <t>764518622</t>
  </si>
  <si>
    <t>Svody kruhové včetně objímek, kolen, odskoků z Pz s povrchovou úpravou průměru 100 mm</t>
  </si>
  <si>
    <t>354566036</t>
  </si>
  <si>
    <t>767131111r</t>
  </si>
  <si>
    <t>Montáž stěn plechových šroubovaných - atika přístřešku</t>
  </si>
  <si>
    <t>1867845171</t>
  </si>
  <si>
    <t>76713-11</t>
  </si>
  <si>
    <t>Dodávka zinkovaného  ocelového profilového plechu T-8/113  tl. 0,6mm - atika přístřešku</t>
  </si>
  <si>
    <t>-1832064939</t>
  </si>
  <si>
    <t>767391112</t>
  </si>
  <si>
    <t>Montáž krytiny z tvarovaných plechů šroubováním</t>
  </si>
  <si>
    <t>973239178</t>
  </si>
  <si>
    <t>76739-11</t>
  </si>
  <si>
    <t>Dodávka zinkovaného ocelového profilového plechu LTP 45  tl. 0,6mm</t>
  </si>
  <si>
    <t>-2135814654</t>
  </si>
  <si>
    <t>76741-10</t>
  </si>
  <si>
    <t>Montáž ocelového přístřešku</t>
  </si>
  <si>
    <t>kg</t>
  </si>
  <si>
    <t>158666412</t>
  </si>
  <si>
    <t>76741-11</t>
  </si>
  <si>
    <t>Dodávka a výroba nosníků zastřešení ocel I 160 vč. povrchové úpravy - nátěry</t>
  </si>
  <si>
    <t>-1423796516</t>
  </si>
  <si>
    <t>76741-12</t>
  </si>
  <si>
    <t>Dodávka a výroba nosníků zastřešení ocel U 160 včetně povrchové úpravy - nátěry</t>
  </si>
  <si>
    <t>1384762181</t>
  </si>
  <si>
    <t>76741-13</t>
  </si>
  <si>
    <t>Dodávka a výroba sloupů pr. 140/140/8 vč. patních pelchů 400 x 400 tl. 16mm - 4 ks, včetně povrchové úpravy - nátěry</t>
  </si>
  <si>
    <t>-1934738218</t>
  </si>
  <si>
    <t>76741-14</t>
  </si>
  <si>
    <t>Dodávka a výroba ztuřujících plechů koutů  200 x 200    tl. 20 mm, včetně povrchové úpravy - nátěry</t>
  </si>
  <si>
    <t>-841111728</t>
  </si>
  <si>
    <t>76741-15</t>
  </si>
  <si>
    <t>Dodávka a výroba prvky pro kotvení plech atiky L 40/40/5, včetně povrchové úpravy - nátěry</t>
  </si>
  <si>
    <t>-1411354497</t>
  </si>
  <si>
    <t>783314 R</t>
  </si>
  <si>
    <t>Grafické zvýraznění fasády  bude provedeno dle architektonického návrhu objednaného investorem</t>
  </si>
  <si>
    <t>634505102</t>
  </si>
  <si>
    <t>88-1</t>
  </si>
  <si>
    <t>-1734186320</t>
  </si>
  <si>
    <t>88-2</t>
  </si>
  <si>
    <t>2068335743</t>
  </si>
  <si>
    <t>88-3</t>
  </si>
  <si>
    <t>-990650880</t>
  </si>
  <si>
    <t>88-4</t>
  </si>
  <si>
    <t>-253226157</t>
  </si>
  <si>
    <t>88-5</t>
  </si>
  <si>
    <t>361932285</t>
  </si>
  <si>
    <t>Dodávka a osazení laviček  Park  vel. 1,76 x 0,58 x 0,77 kůrově hnědá, pozink</t>
  </si>
  <si>
    <t>1) Krycí list soupisu</t>
  </si>
  <si>
    <t>2) Rekapitulace</t>
  </si>
  <si>
    <t>3) Soupis prací</t>
  </si>
  <si>
    <t>KRYCÍ LIST SOUPISU</t>
  </si>
  <si>
    <t>Objekt:</t>
  </si>
  <si>
    <t>01 - vodovodní a kanalizační přípojka</t>
  </si>
  <si>
    <t>KSO:</t>
  </si>
  <si>
    <t>Zadavatel:</t>
  </si>
  <si>
    <t>Město Benešov, Masarykovo náměstí 100, Benešov</t>
  </si>
  <si>
    <t>Uchazeč:</t>
  </si>
  <si>
    <t>Zpracováno dle metodiky ÚRS s maximálním zatříděním položek (popisu činností) dle Třídníku stavebních konstrukcí a prací. Položky, které databáze neobsahuje, oceněny dle brutto ceníků příslušných dodavatelů.
Jsou-li ve výkazu výměr uvedeny odkazy na firmy, názvy nebo specifická označení výrobků apod., jsou takové odkazy pouze informativní a slouží pouze pro určení technické úrovně a provozních parametrů. Z zhotoviteli umožňují v souladu s §182, zákona č. 134/2016 Sb. o veřejných zakázkách použít i jiných kvalitativně a technicky obdobných zařízení, která mají podobnou nebo minimálně stejnou kvalitu, účinnost a výkon, parametry použití, ev. hlučnost (která bezpodmínečně splňuje platné hygienické normy). 
Celková množství u jednotlivých položek (kusy, metry) byla odměřena a sečtena ručně a digitálně z výkresů.</t>
  </si>
  <si>
    <t>Základ daně</t>
  </si>
  <si>
    <t>Sazba daně</t>
  </si>
  <si>
    <t>Výše daně</t>
  </si>
  <si>
    <t>REKAPITULACE ČLENĚNÍ SOUPISU PRACÍ</t>
  </si>
  <si>
    <t>Kód dílu - Popis</t>
  </si>
  <si>
    <t>Náklady soupisu celkem</t>
  </si>
  <si>
    <t xml:space="preserve">    4 - Vodorovné konstrukce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</si>
  <si>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</si>
  <si>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</si>
  <si>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</si>
  <si>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</si>
  <si>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Cenová soustava</t>
  </si>
  <si>
    <t>HSV</t>
  </si>
  <si>
    <t>Práce a dodávky HSV</t>
  </si>
  <si>
    <t>Zemní práce</t>
  </si>
  <si>
    <t>113107146</t>
  </si>
  <si>
    <t>Odstranění podkladu pl do 50 m2 živičných tl. do 300 mm</t>
  </si>
  <si>
    <t>2104521388</t>
  </si>
  <si>
    <t>PP</t>
  </si>
  <si>
    <t>VV</t>
  </si>
  <si>
    <t>131201101</t>
  </si>
  <si>
    <t>Hloubení jam nezapažených v hornině tř. 3 objemu do 100 m3</t>
  </si>
  <si>
    <t>935380057</t>
  </si>
  <si>
    <t>131201109</t>
  </si>
  <si>
    <t>Příplatek za lepivost u hloubení jam nezapažených v hornině tř. 3</t>
  </si>
  <si>
    <t>-1896974816</t>
  </si>
  <si>
    <t>-550968463</t>
  </si>
  <si>
    <t>-1566359402</t>
  </si>
  <si>
    <t>161101101</t>
  </si>
  <si>
    <t>Svislé přemístění výkopku z horniny tř. 1 až 4 hl výkopu do 2,5 m</t>
  </si>
  <si>
    <t>956259593</t>
  </si>
  <si>
    <t>162201102</t>
  </si>
  <si>
    <t>Vodorovné přemístění do 50 m výkopku/sypaniny z horniny tř. 1 až 4</t>
  </si>
  <si>
    <t>1215044178</t>
  </si>
  <si>
    <t>162701105</t>
  </si>
  <si>
    <t>Vodorovné přemístění do 10000 m výkopku/sypaniny z horniny tř. 1 až 4</t>
  </si>
  <si>
    <t>1677755848</t>
  </si>
  <si>
    <t>167101101</t>
  </si>
  <si>
    <t>Nakládání výkopku z hornin tř. 1 až 4 do 100 m3</t>
  </si>
  <si>
    <t>-1215492285</t>
  </si>
  <si>
    <t>1162087639</t>
  </si>
  <si>
    <t>1157941913</t>
  </si>
  <si>
    <t>174101101</t>
  </si>
  <si>
    <t>Zásyp jam, šachet rýh nebo kolem objektů sypaninou se zhutněním</t>
  </si>
  <si>
    <t>-605601845</t>
  </si>
  <si>
    <t>175151101</t>
  </si>
  <si>
    <t>Obsypání potrubí strojně sypaninou bez prohození, uloženou do 3 m</t>
  </si>
  <si>
    <t>-1917615666</t>
  </si>
  <si>
    <t>583373310</t>
  </si>
  <si>
    <t>štěrkopísek frakce 0-22</t>
  </si>
  <si>
    <t>204260517</t>
  </si>
  <si>
    <t>Vodorovné konstrukce</t>
  </si>
  <si>
    <t>451573111</t>
  </si>
  <si>
    <t>Lože pod potrubí otevřený výkop ze štěrkopísku</t>
  </si>
  <si>
    <t>-761230205</t>
  </si>
  <si>
    <t>Komunikace pozemní</t>
  </si>
  <si>
    <t>565175111</t>
  </si>
  <si>
    <t>Asfaltový beton vrstva podkladní ACP 16 (obalované kamenivo OKS) tl 100 mm š do 3 m</t>
  </si>
  <si>
    <t>1075453778</t>
  </si>
  <si>
    <t>566901161</t>
  </si>
  <si>
    <t>Vyspravení podkladu po překopech ing sítí plochy do 15 m2 obalovaným kamenivem ACP (OK) tl. 100 mm</t>
  </si>
  <si>
    <t>1306344892</t>
  </si>
  <si>
    <t>578143133</t>
  </si>
  <si>
    <t>Litý asfalt MA 11 (LAS) tl 40 mm š do 3 m z modifikovaného asfaltu</t>
  </si>
  <si>
    <t>-2075476339</t>
  </si>
  <si>
    <t>Trubní vedení</t>
  </si>
  <si>
    <t>899R00001</t>
  </si>
  <si>
    <t>soubor</t>
  </si>
  <si>
    <t>-1390413670</t>
  </si>
  <si>
    <t>899R00002</t>
  </si>
  <si>
    <t>Propojení vodovodu DN 32 na stávající přípojku DN 32</t>
  </si>
  <si>
    <t>1782939401</t>
  </si>
  <si>
    <t>871161211</t>
  </si>
  <si>
    <t>Montáž potrubí z PE100 SDR 11 otevřený výkop svařovaných elektrotvarovkou D 32 x 3,0 mm</t>
  </si>
  <si>
    <t>-396791661</t>
  </si>
  <si>
    <t>Montáž vodovodního potrubí z plastů v otevřeném výkopu z polyetylenu PE 100 svařovaných elektrotvarovkou SDR 11/PN16 D 32 x 3,0 mm</t>
  </si>
  <si>
    <t>286131100</t>
  </si>
  <si>
    <t>potrubí vodovodní PE100 PN16 SDR11 6 m, 100 m, 32 x 3,0 mm</t>
  </si>
  <si>
    <t>-1109167128</t>
  </si>
  <si>
    <t>893811152</t>
  </si>
  <si>
    <t>Osazení vodoměrné šachty kruhové z PP samonosné pro běžné zatížení průměru do 1,0 m hloubky do 1,5 m</t>
  </si>
  <si>
    <t>534415132</t>
  </si>
  <si>
    <t>894812339</t>
  </si>
  <si>
    <t>Příplatek k rourám revizní a čistící šachty z PP DN 600 za uříznutí šachtové roury</t>
  </si>
  <si>
    <t>383125500</t>
  </si>
  <si>
    <t>894812376</t>
  </si>
  <si>
    <t>Revizní a čistící šachta z PP DN 600 poklop litinový do 40 t s betonovým prstencem</t>
  </si>
  <si>
    <t>-3778809</t>
  </si>
  <si>
    <t>899721111</t>
  </si>
  <si>
    <t>Signalizační vodič DN do 150 mm na potrubí PVC</t>
  </si>
  <si>
    <t>-1311068786</t>
  </si>
  <si>
    <t>Signalizační vodič na potrubí PVC DN do 150 mm</t>
  </si>
  <si>
    <t>899722113</t>
  </si>
  <si>
    <t>Krytí potrubí z plastů výstražnou fólií z PVC 34cm</t>
  </si>
  <si>
    <t>-4937487</t>
  </si>
  <si>
    <t>Krytí potrubí z plastů výstražnou fólií z PVC šířky 34cm</t>
  </si>
  <si>
    <t>997</t>
  </si>
  <si>
    <t>Přesun sutě</t>
  </si>
  <si>
    <t>997013501</t>
  </si>
  <si>
    <t>Odvoz suti a vybouraných hmot na skládku nebo meziskládku do 1 km se složením</t>
  </si>
  <si>
    <t>560346233</t>
  </si>
  <si>
    <t>997013509</t>
  </si>
  <si>
    <t>Příplatek k odvozu suti a vybouraných hmot na skládku ZKD 1 km přes 1 km</t>
  </si>
  <si>
    <t>98380841</t>
  </si>
  <si>
    <t>997221611</t>
  </si>
  <si>
    <t>Nakládání suti na dopravní prostředky pro vodorovnou dopravu</t>
  </si>
  <si>
    <t>-293276556</t>
  </si>
  <si>
    <t>1480734339</t>
  </si>
  <si>
    <t>998</t>
  </si>
  <si>
    <t>Přesun hmot</t>
  </si>
  <si>
    <t>-17373321</t>
  </si>
  <si>
    <t>998276101</t>
  </si>
  <si>
    <t>Přesun hmot pro trubní vedení z trub z plastických hmot otevřený výkop</t>
  </si>
  <si>
    <t>-1993195450</t>
  </si>
  <si>
    <t>998276124</t>
  </si>
  <si>
    <t>Příplatek k přesunu hmot pro trubní vedení z trub z plastických hmot za zvětšený přesun do 500 m</t>
  </si>
  <si>
    <t>-1511457265</t>
  </si>
  <si>
    <t>Vedlejší rozpočtové náklady</t>
  </si>
  <si>
    <t>VRN1</t>
  </si>
  <si>
    <t>Průzkumné, geodetické a projektové práce</t>
  </si>
  <si>
    <t>013254000</t>
  </si>
  <si>
    <t>Dokumentace skutečného provedení stavby, podlady pro kolaudaci</t>
  </si>
  <si>
    <t>1024</t>
  </si>
  <si>
    <t>-1690129765</t>
  </si>
  <si>
    <t>VRN4</t>
  </si>
  <si>
    <t>Inženýrská činnost</t>
  </si>
  <si>
    <t>043114000</t>
  </si>
  <si>
    <t>Zkoušky tlakové, proplach a desinfekce vodovodu</t>
  </si>
  <si>
    <t>965274826</t>
  </si>
  <si>
    <t>043114001</t>
  </si>
  <si>
    <t>Zkoušky těsnosti kanalizace</t>
  </si>
  <si>
    <t>-1337615051</t>
  </si>
  <si>
    <t>Inženýrská činnost zkoušky a ostatní měření zkoušky těsnostní kanalizace</t>
  </si>
  <si>
    <t>soubor: Elektroinstalace</t>
  </si>
  <si>
    <t>Soupis položek</t>
  </si>
  <si>
    <t>p.č.</t>
  </si>
  <si>
    <t>č.položky</t>
  </si>
  <si>
    <t>popis položky</t>
  </si>
  <si>
    <t>mj.</t>
  </si>
  <si>
    <t>množství</t>
  </si>
  <si>
    <t xml:space="preserve">cena/mj.     </t>
  </si>
  <si>
    <t>cena celkem</t>
  </si>
  <si>
    <t>VKP</t>
  </si>
  <si>
    <t>TC</t>
  </si>
  <si>
    <t>kap.</t>
  </si>
  <si>
    <t>Dodávky zařízení</t>
  </si>
  <si>
    <t>Z</t>
  </si>
  <si>
    <t>*</t>
  </si>
  <si>
    <t>DE</t>
  </si>
  <si>
    <t>Rozvodnice R                   ozn.R</t>
  </si>
  <si>
    <t>S</t>
  </si>
  <si>
    <t>součet</t>
  </si>
  <si>
    <t>Materiál elektromontážní</t>
  </si>
  <si>
    <t>kabel CYKY 3x1,5</t>
  </si>
  <si>
    <t>ME</t>
  </si>
  <si>
    <t>kabel CYKY 3x2,5</t>
  </si>
  <si>
    <t>kabel CYKY 5x6</t>
  </si>
  <si>
    <t>kabel CYKY 4x10</t>
  </si>
  <si>
    <t>vodič CY 6  /H07V-U/</t>
  </si>
  <si>
    <t>smršťovací trubice 3/6-25(3x6)</t>
  </si>
  <si>
    <t>kabelové oko Cu lisovací 6x6 KU</t>
  </si>
  <si>
    <t>smršťovací trubice 30/8</t>
  </si>
  <si>
    <t>koncovka 1kV plast 6-25(4x10)</t>
  </si>
  <si>
    <t>kabelové oko Cu lisovací 10x6 KU</t>
  </si>
  <si>
    <t>vedení FeZn 30/4 (0,96kg/m)</t>
  </si>
  <si>
    <t>vedení FeZn pr.10mm(0,63kg/m)</t>
  </si>
  <si>
    <t>ekvipotenciální svorkovnice EPS s krytem</t>
  </si>
  <si>
    <t>krabice lištová oblá svorkovací s víčk 81x81x24</t>
  </si>
  <si>
    <t>krabice lištová oblá přístroj 81x81x16</t>
  </si>
  <si>
    <t>lišta vkládací 18x13</t>
  </si>
  <si>
    <t>lišta vkládací 40x15</t>
  </si>
  <si>
    <t>válcovaný profil ocel tř.11</t>
  </si>
  <si>
    <t>odpojovač pojistkový PV14-3 Ie 63 A, Ue AC 690V</t>
  </si>
  <si>
    <t>pojistková patrona válcová PV14(40A)gG</t>
  </si>
  <si>
    <t>minirozvodnice, 4 moduly</t>
  </si>
  <si>
    <t>zásuvka 16A/250Vstř bezšroub clonky</t>
  </si>
  <si>
    <t>rámeček pro 1 přístroj</t>
  </si>
  <si>
    <t>svorka připojovací SP 1šroub FeZn</t>
  </si>
  <si>
    <t>souprava pro exotermické svařování zemničů</t>
  </si>
  <si>
    <t>Materiál zemní+stavební</t>
  </si>
  <si>
    <t>beton B10</t>
  </si>
  <si>
    <t>MZ</t>
  </si>
  <si>
    <t>výstražná fólie šířka 0,34m</t>
  </si>
  <si>
    <t>roura korugovaná 09090 pr.90/75mm</t>
  </si>
  <si>
    <t>/roura korugovaná 09090/ spojka 02090</t>
  </si>
  <si>
    <t>Elektromontáže</t>
  </si>
  <si>
    <t>kabel(-CYKY) volně uložený do 3x6/4x4/7x2,5</t>
  </si>
  <si>
    <t>CE</t>
  </si>
  <si>
    <t>kabel(-CYKY) volně uložený do 5x6/7x4/12x1,5</t>
  </si>
  <si>
    <t>kabel(-CYKY) volně ulož.do 5x10/12x4/19x2,5/24x1,5</t>
  </si>
  <si>
    <t>vodič Cu(-CY,CYA) volně uložený do 1x35</t>
  </si>
  <si>
    <t>ukončení v rozvaděči vč.zapojení vodiče do 2,5mm2</t>
  </si>
  <si>
    <t>ukončení v rozvaděči vč.zapojení vodiče do 6mm2</t>
  </si>
  <si>
    <t>ukončení v rozvaděči vč.zapojení vodiče do 16mm2</t>
  </si>
  <si>
    <t>ukončení kabelu smršťovací trubicí do 4x10</t>
  </si>
  <si>
    <t>ukončení kabelu smršťovací trubicí do 5x10</t>
  </si>
  <si>
    <t>koncovka 1kV staniční plast do 4x35</t>
  </si>
  <si>
    <t>uzemňov.vedení v zemi úplná mtž FeZn do 120mm2</t>
  </si>
  <si>
    <t>uzemňov.vedení v zemi úplná mtž FeZn pr.8-10mm</t>
  </si>
  <si>
    <t>uzemňov.vedení na povrchu úplná mtž FeZn pr.10mm</t>
  </si>
  <si>
    <t>ochranná svorkovnice(nulový můstek)vč.zapoj.do 63A</t>
  </si>
  <si>
    <t xml:space="preserve">krabice lištová vč.svorkovn. a zapojení </t>
  </si>
  <si>
    <t>krabice lištová bez zapojení</t>
  </si>
  <si>
    <t>minilišta vkládací pevně uložená do š.20mm</t>
  </si>
  <si>
    <t>lišta vkládací úplná pevně uložená do š.40mm</t>
  </si>
  <si>
    <t>nosná konstrukce přístroje do 5kg vč.zhotovení</t>
  </si>
  <si>
    <t>odpojovač pro pojistku válcovou 3pól vč.zapojení</t>
  </si>
  <si>
    <t>patrona válcové pojistky</t>
  </si>
  <si>
    <t>rozvodnice do hmotnosti 20kg</t>
  </si>
  <si>
    <t>koncovkový díl pilíře</t>
  </si>
  <si>
    <t>svorka hromosvodová do 2 šroubů</t>
  </si>
  <si>
    <t xml:space="preserve">svařování zemničů </t>
  </si>
  <si>
    <t>výkop kabel.rýhy šířka 50/hloubka 100cm tz.3/ko1.0</t>
  </si>
  <si>
    <t>CZ</t>
  </si>
  <si>
    <t>bourání živičných povrchů 6-10cm</t>
  </si>
  <si>
    <t>řezání spáry v asfaltu do 10cm</t>
  </si>
  <si>
    <t>bourání betonu tl.5cm</t>
  </si>
  <si>
    <t>výstražná fólie šířka nad 30cm</t>
  </si>
  <si>
    <t>kabelový prostup z ohebné roury plast pr.110mm</t>
  </si>
  <si>
    <t>zához kabelové rýhy šířka 50/hloubka 100cm tz.3</t>
  </si>
  <si>
    <t>odvoz zeminy do 10km vč.poplatku za skládku</t>
  </si>
  <si>
    <t>podklad chrániček</t>
  </si>
  <si>
    <t>betonová vozovka vrstva 5cm vč.materiálu</t>
  </si>
  <si>
    <t>obalovaná drť ABJII tl.10cm vč.materiálu</t>
  </si>
  <si>
    <t>výkop jámy ruční třída zeminy 3/ko1.0</t>
  </si>
  <si>
    <t>popis rozvaděče: Rozvodnice R</t>
  </si>
  <si>
    <t>cena/mj.</t>
  </si>
  <si>
    <t>Rozpis rozvaděče R</t>
  </si>
  <si>
    <t>skříň plast do 63A 2x13modulů, IP30 nástěn</t>
  </si>
  <si>
    <t>vypínač páčkový 3pól 400V/40A na lištu</t>
  </si>
  <si>
    <t>3f.elektroměr přímý do 63A, 1tarif</t>
  </si>
  <si>
    <t>svodič 3pól 75kA/Up1,5kV/typ1 TNC</t>
  </si>
  <si>
    <t>odp poj PV10-3 Ie 32 A, Ue 690V</t>
  </si>
  <si>
    <t>pojistková patrona válcová PV10 25A gG</t>
  </si>
  <si>
    <t>pojistková patrona válcová PV10 32A gG</t>
  </si>
  <si>
    <t>jistič 1pól/ch.B/10kA/ 6A</t>
  </si>
  <si>
    <t>jistič 1pól/ch.B/10kA/ 10A</t>
  </si>
  <si>
    <t>Krycí lišta šedá, 219mm dl.</t>
  </si>
  <si>
    <t xml:space="preserve"> součet</t>
  </si>
  <si>
    <t>Stavební část</t>
  </si>
  <si>
    <t>Přípojka V a K</t>
  </si>
  <si>
    <t>Celkem soubor</t>
  </si>
  <si>
    <t>Elektroinstalace</t>
  </si>
  <si>
    <t xml:space="preserve">Datum: </t>
  </si>
  <si>
    <t>{83417857-c0db-4ef1-ad1a-7d785124399e}</t>
  </si>
  <si>
    <t>CS ÚRS</t>
  </si>
  <si>
    <t>Propojení kanalizace DN 200 do stávající šachty</t>
  </si>
  <si>
    <t>721173402</t>
  </si>
  <si>
    <t>Potrubí kanalizační plastové svodné systém KG DN 125</t>
  </si>
  <si>
    <t>2068309660</t>
  </si>
  <si>
    <t>16+4</t>
  </si>
  <si>
    <t>721173404</t>
  </si>
  <si>
    <t>Potrubí kanalizační plastové svodné systém KG DN 200</t>
  </si>
  <si>
    <t>-340181540</t>
  </si>
  <si>
    <t>Potrubí z plastových trub KG Systém (SN4) svodné (ležaté) DN 200</t>
  </si>
  <si>
    <t>894812003</t>
  </si>
  <si>
    <t>Revizní a čistící šachta z PP šachtové dno DN 400/125 pravý a levý přítok</t>
  </si>
  <si>
    <t>966601400</t>
  </si>
  <si>
    <t>894812032</t>
  </si>
  <si>
    <t>Revizní a čistící šachta z PP DN 400 šachtová roura korugovaná bez hrdla světlé hloubky 1500 mm</t>
  </si>
  <si>
    <t>-2059274698</t>
  </si>
  <si>
    <t>894812041</t>
  </si>
  <si>
    <t>Příplatek k rourám revizní a čistící šachty z PP DN 400 za uříznutí šachtové roury</t>
  </si>
  <si>
    <t>-1234312245</t>
  </si>
  <si>
    <t>894812062</t>
  </si>
  <si>
    <t>Revizní a čistící šachta z PP DN 400 poklop litinový s betonovým rámem pro zatížení 12,5 t</t>
  </si>
  <si>
    <t>1718995085</t>
  </si>
  <si>
    <t>894812316</t>
  </si>
  <si>
    <t>Revizní a čistící šachta z PP typ DN 600/200 šachtové dno průtočné 30°, 60°, 90°</t>
  </si>
  <si>
    <t>-457316160</t>
  </si>
  <si>
    <t>894812332</t>
  </si>
  <si>
    <t>Revizní a čistící šachta z PP DN 600 šachtová roura korugovaná světlé hloubky 2000 mm</t>
  </si>
  <si>
    <t>-1901914391</t>
  </si>
  <si>
    <t>Volnočasový areál Sladovka-sociální zařízení a parkoviště</t>
  </si>
  <si>
    <t>.</t>
  </si>
  <si>
    <t>Ing. Martin Kraus</t>
  </si>
  <si>
    <t xml:space="preserve">    888 - Mobiliář</t>
  </si>
  <si>
    <t>Dodávks s osazení odpadkových košů</t>
  </si>
  <si>
    <t>Dodávka a osazení stojanů na kola 4ks</t>
  </si>
  <si>
    <t>Dodávka a osazení parkových stolů</t>
  </si>
  <si>
    <t>úprava piliře u UMT - rozšíření</t>
  </si>
  <si>
    <t>592-3</t>
  </si>
  <si>
    <t>Dodávka podlhy - terasa - Woodprof</t>
  </si>
  <si>
    <t>13b</t>
  </si>
  <si>
    <t>13a</t>
  </si>
  <si>
    <t>Provozní objekt - obsluuha parkoviště -  8,15 x 4,65 m sestavený ze 2 buněk dodávka a montáž včetně vnitřní elektroinstalace a zařizovacích předmětů (WC, umyvadla a pod.)</t>
  </si>
  <si>
    <t xml:space="preserve">Provozní objekt - sklad Workout -  3,45 x 4,65 m sestavený ze 1 buňky dodávka a montáž včetně vnitřní elektroinstalace </t>
  </si>
  <si>
    <t>Podklad ze štěrkodrtě ŠD tl 200 mm</t>
  </si>
  <si>
    <t>Odstranění podkladu pl do 500 m2 z kameniva drceného tl 300 mm</t>
  </si>
  <si>
    <t>Zastřešení laviček dřevěná kce - odpočívadlo</t>
  </si>
  <si>
    <t>Uznatelné náklady</t>
  </si>
  <si>
    <t>Neuznatelné náklady</t>
  </si>
  <si>
    <t xml:space="preserve"> SO 05-4 Volnočasový areál Sladovka-sociální zařízení a parkoviště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</si>
</sst>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%"/>
    <numFmt numFmtId="165" formatCode="dd\.mm\.yyyy"/>
    <numFmt numFmtId="166" formatCode="#,##0.00000"/>
    <numFmt numFmtId="167" formatCode="#,##0.000"/>
    <numFmt numFmtId="168" formatCode="000000000"/>
    <numFmt numFmtId="169" formatCode="#,##0\ &quot;Kč&quot;"/>
  </numFmts>
  <fonts count="4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7"/>
      <color rgb="FF969696"/>
      <name val="Trebuchet MS"/>
      <family val="2"/>
    </font>
    <font>
      <sz val="7"/>
      <name val="Trebuchet MS"/>
      <family val="2"/>
    </font>
    <font>
      <sz val="8"/>
      <color rgb="FF505050"/>
      <name val="Trebuchet MS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0"/>
      <color theme="1"/>
      <name val="Times New Roman CE"/>
      <family val="2"/>
    </font>
    <font>
      <sz val="11"/>
      <color theme="1"/>
      <name val="Times New Roman CE"/>
      <family val="2"/>
    </font>
    <font>
      <b/>
      <sz val="16"/>
      <color theme="1"/>
      <name val="Times New Roman CE"/>
      <family val="2"/>
    </font>
    <font>
      <b/>
      <sz val="12"/>
      <color theme="1"/>
      <name val="Times New Roman CE"/>
      <family val="2"/>
    </font>
    <font>
      <b/>
      <sz val="11"/>
      <color theme="1"/>
      <name val="Times New Roman CE"/>
      <family val="2"/>
    </font>
    <font>
      <b/>
      <sz val="14"/>
      <color theme="1"/>
      <name val="Times New Roman CE"/>
      <family val="2"/>
    </font>
    <font>
      <sz val="14"/>
      <color theme="1"/>
      <name val="Times New Roman CE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dotted">
        <color rgb="FF969696"/>
      </top>
      <bottom/>
    </border>
    <border>
      <left/>
      <right style="thin">
        <color rgb="FF000000"/>
      </right>
      <top style="dotted">
        <color rgb="FF969696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/>
      <right/>
      <top/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thin"/>
      <bottom style="thin"/>
    </border>
    <border>
      <left/>
      <right/>
      <top/>
      <bottom style="thin"/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>
      <alignment/>
      <protection/>
    </xf>
  </cellStyleXfs>
  <cellXfs count="4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164" fontId="21" fillId="5" borderId="10" xfId="0" applyNumberFormat="1" applyFont="1" applyFill="1" applyBorder="1" applyAlignment="1" applyProtection="1">
      <alignment horizontal="center" vertical="center"/>
      <protection locked="0"/>
    </xf>
    <xf numFmtId="0" fontId="21" fillId="5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5" borderId="13" xfId="0" applyNumberFormat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5" borderId="15" xfId="0" applyNumberFormat="1" applyFont="1" applyFill="1" applyBorder="1" applyAlignment="1" applyProtection="1">
      <alignment horizontal="center" vertical="center"/>
      <protection locked="0"/>
    </xf>
    <xf numFmtId="0" fontId="21" fillId="5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4" borderId="0" xfId="0" applyFont="1" applyFill="1" applyBorder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14" fillId="0" borderId="0" xfId="0" applyFont="1" applyBorder="1" applyAlignment="1">
      <alignment horizontal="left" vertical="center"/>
    </xf>
    <xf numFmtId="0" fontId="0" fillId="0" borderId="5" xfId="0" applyFont="1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27" xfId="0" applyFont="1" applyFill="1" applyBorder="1" applyAlignment="1">
      <alignment horizontal="left" vertical="center"/>
    </xf>
    <xf numFmtId="0" fontId="0" fillId="4" borderId="28" xfId="0" applyFont="1" applyFill="1" applyBorder="1" applyAlignment="1">
      <alignment vertical="center"/>
    </xf>
    <xf numFmtId="0" fontId="4" fillId="4" borderId="28" xfId="0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center" vertical="center"/>
    </xf>
    <xf numFmtId="4" fontId="4" fillId="4" borderId="28" xfId="0" applyNumberFormat="1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/>
    </xf>
    <xf numFmtId="4" fontId="33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167" fontId="0" fillId="0" borderId="34" xfId="0" applyNumberFormat="1" applyFont="1" applyBorder="1" applyAlignment="1" applyProtection="1">
      <alignment vertical="center"/>
      <protection locked="0"/>
    </xf>
    <xf numFmtId="4" fontId="0" fillId="0" borderId="34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4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167" fontId="38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4" fillId="0" borderId="34" xfId="0" applyFont="1" applyBorder="1" applyAlignment="1" applyProtection="1">
      <alignment horizontal="center" vertical="center"/>
      <protection locked="0"/>
    </xf>
    <xf numFmtId="49" fontId="34" fillId="0" borderId="34" xfId="0" applyNumberFormat="1" applyFont="1" applyBorder="1" applyAlignment="1" applyProtection="1">
      <alignment horizontal="left" vertical="center" wrapText="1"/>
      <protection locked="0"/>
    </xf>
    <xf numFmtId="0" fontId="34" fillId="0" borderId="34" xfId="0" applyFont="1" applyBorder="1" applyAlignment="1" applyProtection="1">
      <alignment horizontal="left" vertical="center" wrapText="1"/>
      <protection locked="0"/>
    </xf>
    <xf numFmtId="0" fontId="34" fillId="0" borderId="34" xfId="0" applyFont="1" applyBorder="1" applyAlignment="1" applyProtection="1">
      <alignment horizontal="center" vertical="center" wrapText="1"/>
      <protection locked="0"/>
    </xf>
    <xf numFmtId="167" fontId="34" fillId="0" borderId="34" xfId="0" applyNumberFormat="1" applyFont="1" applyBorder="1" applyAlignment="1" applyProtection="1">
      <alignment vertical="center"/>
      <protection locked="0"/>
    </xf>
    <xf numFmtId="4" fontId="34" fillId="0" borderId="34" xfId="0" applyNumberFormat="1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1" fillId="0" borderId="0" xfId="0" applyFont="1"/>
    <xf numFmtId="0" fontId="41" fillId="0" borderId="0" xfId="0" applyFont="1" quotePrefix="1"/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35" xfId="0" applyFont="1" applyBorder="1"/>
    <xf numFmtId="168" fontId="42" fillId="0" borderId="35" xfId="0" applyNumberFormat="1" applyFont="1" applyBorder="1"/>
    <xf numFmtId="2" fontId="42" fillId="0" borderId="35" xfId="0" applyNumberFormat="1" applyFont="1" applyBorder="1"/>
    <xf numFmtId="0" fontId="42" fillId="0" borderId="35" xfId="0" applyFont="1" applyBorder="1" applyAlignment="1">
      <alignment horizontal="center"/>
    </xf>
    <xf numFmtId="0" fontId="44" fillId="0" borderId="0" xfId="0" applyFont="1"/>
    <xf numFmtId="168" fontId="44" fillId="0" borderId="0" xfId="0" applyNumberFormat="1" applyFont="1"/>
    <xf numFmtId="2" fontId="44" fillId="0" borderId="0" xfId="0" applyNumberFormat="1" applyFont="1"/>
    <xf numFmtId="0" fontId="44" fillId="0" borderId="0" xfId="0" applyFont="1" applyAlignment="1">
      <alignment horizontal="center"/>
    </xf>
    <xf numFmtId="168" fontId="42" fillId="0" borderId="0" xfId="0" applyNumberFormat="1" applyFont="1"/>
    <xf numFmtId="49" fontId="42" fillId="0" borderId="0" xfId="0" applyNumberFormat="1" applyFont="1"/>
    <xf numFmtId="2" fontId="42" fillId="0" borderId="0" xfId="0" applyNumberFormat="1" applyFont="1"/>
    <xf numFmtId="49" fontId="42" fillId="0" borderId="0" xfId="0" applyNumberFormat="1" applyFont="1" applyAlignment="1">
      <alignment horizontal="center"/>
    </xf>
    <xf numFmtId="0" fontId="42" fillId="0" borderId="36" xfId="0" applyFont="1" applyBorder="1"/>
    <xf numFmtId="168" fontId="42" fillId="0" borderId="36" xfId="0" applyNumberFormat="1" applyFont="1" applyBorder="1"/>
    <xf numFmtId="49" fontId="42" fillId="0" borderId="36" xfId="0" applyNumberFormat="1" applyFont="1" applyBorder="1"/>
    <xf numFmtId="2" fontId="42" fillId="0" borderId="36" xfId="0" applyNumberFormat="1" applyFont="1" applyBorder="1"/>
    <xf numFmtId="49" fontId="42" fillId="0" borderId="36" xfId="0" applyNumberFormat="1" applyFont="1" applyBorder="1" applyAlignment="1">
      <alignment horizontal="center"/>
    </xf>
    <xf numFmtId="0" fontId="45" fillId="0" borderId="0" xfId="0" applyFont="1"/>
    <xf numFmtId="168" fontId="45" fillId="0" borderId="0" xfId="0" applyNumberFormat="1" applyFont="1"/>
    <xf numFmtId="49" fontId="45" fillId="0" borderId="0" xfId="0" applyNumberFormat="1" applyFont="1"/>
    <xf numFmtId="2" fontId="45" fillId="0" borderId="0" xfId="0" applyNumberFormat="1" applyFont="1"/>
    <xf numFmtId="49" fontId="45" fillId="0" borderId="0" xfId="0" applyNumberFormat="1" applyFont="1" applyAlignment="1">
      <alignment horizontal="center"/>
    </xf>
    <xf numFmtId="49" fontId="44" fillId="0" borderId="0" xfId="0" applyNumberFormat="1" applyFont="1"/>
    <xf numFmtId="49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vertical="top"/>
    </xf>
    <xf numFmtId="0" fontId="46" fillId="0" borderId="0" xfId="0" applyFont="1" quotePrefix="1"/>
    <xf numFmtId="0" fontId="46" fillId="0" borderId="0" xfId="0" applyFont="1"/>
    <xf numFmtId="0" fontId="46" fillId="0" borderId="0" xfId="0" applyFont="1" applyAlignment="1">
      <alignment horizontal="center"/>
    </xf>
    <xf numFmtId="0" fontId="47" fillId="0" borderId="0" xfId="0" applyFont="1"/>
    <xf numFmtId="169" fontId="41" fillId="0" borderId="0" xfId="0" applyNumberFormat="1" applyFont="1"/>
    <xf numFmtId="169" fontId="46" fillId="0" borderId="0" xfId="0" applyNumberFormat="1" applyFont="1"/>
    <xf numFmtId="169" fontId="43" fillId="0" borderId="0" xfId="0" applyNumberFormat="1" applyFont="1" applyAlignment="1">
      <alignment vertical="center"/>
    </xf>
    <xf numFmtId="169" fontId="42" fillId="0" borderId="35" xfId="0" applyNumberFormat="1" applyFont="1" applyBorder="1"/>
    <xf numFmtId="169" fontId="44" fillId="0" borderId="0" xfId="0" applyNumberFormat="1" applyFont="1"/>
    <xf numFmtId="169" fontId="42" fillId="0" borderId="0" xfId="0" applyNumberFormat="1" applyFont="1"/>
    <xf numFmtId="169" fontId="42" fillId="0" borderId="36" xfId="0" applyNumberFormat="1" applyFont="1" applyBorder="1"/>
    <xf numFmtId="169" fontId="45" fillId="0" borderId="0" xfId="0" applyNumberFormat="1" applyFont="1"/>
    <xf numFmtId="169" fontId="43" fillId="0" borderId="0" xfId="0" applyNumberFormat="1" applyFont="1" applyAlignment="1">
      <alignment vertical="top"/>
    </xf>
    <xf numFmtId="0" fontId="39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2" borderId="0" xfId="0" applyFont="1" applyFill="1" applyProtection="1"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48" fillId="2" borderId="0" xfId="20" applyFont="1" applyFill="1" applyProtection="1">
      <protection/>
    </xf>
    <xf numFmtId="0" fontId="13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31" fillId="4" borderId="32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/>
    </xf>
    <xf numFmtId="166" fontId="32" fillId="0" borderId="25" xfId="0" applyNumberFormat="1" applyFont="1" applyBorder="1" applyAlignment="1">
      <alignment/>
    </xf>
    <xf numFmtId="166" fontId="32" fillId="0" borderId="38" xfId="0" applyNumberFormat="1" applyFont="1" applyBorder="1" applyAlignment="1">
      <alignment/>
    </xf>
    <xf numFmtId="0" fontId="8" fillId="0" borderId="39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40" xfId="0" applyNumberFormat="1" applyFont="1" applyBorder="1" applyAlignment="1">
      <alignment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40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3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/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horizontal="center" vertical="center"/>
      <protection/>
    </xf>
    <xf numFmtId="0" fontId="0" fillId="6" borderId="24" xfId="0" applyFont="1" applyFill="1" applyBorder="1" applyAlignment="1" applyProtection="1">
      <alignment horizontal="center" vertical="center"/>
      <protection/>
    </xf>
    <xf numFmtId="49" fontId="0" fillId="6" borderId="24" xfId="0" applyNumberFormat="1" applyFont="1" applyFill="1" applyBorder="1" applyAlignment="1" applyProtection="1">
      <alignment horizontal="left" vertical="center" wrapText="1"/>
      <protection/>
    </xf>
    <xf numFmtId="0" fontId="0" fillId="6" borderId="24" xfId="0" applyFont="1" applyFill="1" applyBorder="1" applyAlignment="1" applyProtection="1">
      <alignment horizontal="center" vertical="center" wrapText="1"/>
      <protection/>
    </xf>
    <xf numFmtId="167" fontId="0" fillId="6" borderId="24" xfId="0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5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4" fontId="24" fillId="4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7" fillId="5" borderId="0" xfId="0" applyNumberFormat="1" applyFont="1" applyFill="1" applyBorder="1" applyAlignment="1" applyProtection="1">
      <alignment vertical="center"/>
      <protection locked="0"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44" xfId="0" applyFont="1" applyFill="1" applyBorder="1" applyAlignment="1" applyProtection="1">
      <alignment horizontal="lef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44" xfId="0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7" borderId="0" xfId="0" applyFont="1" applyFill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  <protection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6" borderId="24" xfId="0" applyFont="1" applyFill="1" applyBorder="1" applyAlignment="1" applyProtection="1">
      <alignment horizontal="left" vertical="center" wrapText="1"/>
      <protection/>
    </xf>
    <xf numFmtId="4" fontId="0" fillId="6" borderId="24" xfId="0" applyNumberFormat="1" applyFont="1" applyFill="1" applyBorder="1" applyAlignment="1" applyProtection="1">
      <alignment vertical="center"/>
      <protection locked="0"/>
    </xf>
    <xf numFmtId="4" fontId="0" fillId="6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7" fillId="5" borderId="0" xfId="0" applyFont="1" applyFill="1" applyBorder="1" applyAlignment="1" applyProtection="1">
      <alignment horizontal="left" vertical="center"/>
      <protection locked="0"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4" fontId="0" fillId="5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1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4" fontId="34" fillId="5" borderId="24" xfId="0" applyNumberFormat="1" applyFont="1" applyFill="1" applyBorder="1" applyAlignment="1" applyProtection="1">
      <alignment vertical="center"/>
      <protection locked="0"/>
    </xf>
    <xf numFmtId="4" fontId="34" fillId="5" borderId="24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0" fontId="13" fillId="7" borderId="0" xfId="0" applyFont="1" applyFill="1" applyAlignment="1">
      <alignment horizontal="center" vertical="center"/>
    </xf>
    <xf numFmtId="0" fontId="0" fillId="0" borderId="0" xfId="0" applyFont="1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2" fillId="2" borderId="0" xfId="20" applyFont="1" applyFill="1" applyAlignment="1" applyProtection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Relationship Id="rId5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40</xdr:row>
      <xdr:rowOff>19050</xdr:rowOff>
    </xdr:to>
    <xdr:pic>
      <xdr:nvPicPr>
        <xdr:cNvPr id="2" name="radD3743.tmp" descr="C:\KROSplusData\System\Temp\radD374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40</xdr:row>
      <xdr:rowOff>19050</xdr:rowOff>
    </xdr:to>
    <xdr:pic>
      <xdr:nvPicPr>
        <xdr:cNvPr id="3" name="radA7234.tmp" descr="C:\KROSplusData\System\Temp\radA7234.tmp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&#283;sto%20BN\PD%20sout%20%20D&#283;tsk&#233;%20h&#345;i&#353;t&#283;\Rozpo&#269;ty\D-dopr-hr-Bn_kan+voda_rozpocet_170816%20p&#345;&#237;pojka%20Ka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vodovodní a kanaliza..."/>
      <sheetName val="Pokyny pro vyplnění"/>
    </sheetNames>
    <sheetDataSet>
      <sheetData sheetId="0">
        <row r="6">
          <cell r="K6" t="str">
            <v>Volnočasový areál Sladovka, Dětské dopravní hřiště</v>
          </cell>
        </row>
        <row r="13">
          <cell r="AN13">
            <v>0</v>
          </cell>
        </row>
        <row r="14">
          <cell r="E14" t="str">
            <v> </v>
          </cell>
          <cell r="AN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98"/>
  <sheetViews>
    <sheetView workbookViewId="0" topLeftCell="B87">
      <selection activeCell="V19" sqref="V19"/>
    </sheetView>
  </sheetViews>
  <sheetFormatPr defaultColWidth="9.16015625" defaultRowHeight="13.5"/>
  <cols>
    <col min="1" max="1" width="8.33203125" style="315" hidden="1" customWidth="1"/>
    <col min="2" max="2" width="1.66796875" style="315" customWidth="1"/>
    <col min="3" max="3" width="4.16015625" style="315" customWidth="1"/>
    <col min="4" max="33" width="2.5" style="315" customWidth="1"/>
    <col min="34" max="34" width="3.33203125" style="315" customWidth="1"/>
    <col min="35" max="37" width="2.5" style="315" customWidth="1"/>
    <col min="38" max="38" width="8.33203125" style="315" customWidth="1"/>
    <col min="39" max="39" width="3.33203125" style="315" customWidth="1"/>
    <col min="40" max="40" width="13.33203125" style="315" customWidth="1"/>
    <col min="41" max="41" width="7.5" style="315" customWidth="1"/>
    <col min="42" max="42" width="4.16015625" style="315" customWidth="1"/>
    <col min="43" max="43" width="1.66796875" style="315" customWidth="1"/>
    <col min="44" max="44" width="13.66015625" style="315" hidden="1" customWidth="1"/>
    <col min="45" max="46" width="25.83203125" style="315" hidden="1" customWidth="1"/>
    <col min="47" max="47" width="25" style="315" hidden="1" customWidth="1"/>
    <col min="48" max="52" width="21.66015625" style="315" hidden="1" customWidth="1"/>
    <col min="53" max="53" width="19.16015625" style="315" hidden="1" customWidth="1"/>
    <col min="54" max="54" width="25" style="315" hidden="1" customWidth="1"/>
    <col min="55" max="56" width="19.16015625" style="315" hidden="1" customWidth="1"/>
    <col min="57" max="57" width="66.5" style="315" hidden="1" customWidth="1"/>
    <col min="58" max="136" width="9.16015625" style="315" hidden="1" customWidth="1"/>
    <col min="137" max="16384" width="9.16015625" style="315" customWidth="1"/>
  </cols>
  <sheetData>
    <row r="1" spans="1:73" ht="15" hidden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13.5" hidden="1">
      <c r="C2" s="415" t="s">
        <v>7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R2" s="417" t="s">
        <v>8</v>
      </c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S2" s="17" t="s">
        <v>9</v>
      </c>
      <c r="BT2" s="17" t="s">
        <v>10</v>
      </c>
    </row>
    <row r="3" spans="2:72" ht="13.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21">
      <c r="B4" s="21"/>
      <c r="C4" s="408" t="s">
        <v>12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22"/>
      <c r="AS4" s="23" t="s">
        <v>13</v>
      </c>
      <c r="BE4" s="24" t="s">
        <v>14</v>
      </c>
      <c r="BS4" s="17" t="s">
        <v>15</v>
      </c>
    </row>
    <row r="5" spans="2:71" ht="15">
      <c r="B5" s="21"/>
      <c r="C5" s="305"/>
      <c r="D5" s="25" t="s">
        <v>16</v>
      </c>
      <c r="E5" s="305"/>
      <c r="F5" s="305"/>
      <c r="G5" s="305"/>
      <c r="H5" s="305"/>
      <c r="I5" s="305"/>
      <c r="J5" s="305"/>
      <c r="K5" s="418" t="s">
        <v>34</v>
      </c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305"/>
      <c r="AQ5" s="22"/>
      <c r="BE5" s="420" t="s">
        <v>17</v>
      </c>
      <c r="BS5" s="17" t="s">
        <v>9</v>
      </c>
    </row>
    <row r="6" spans="2:71" ht="18">
      <c r="B6" s="21"/>
      <c r="C6" s="305"/>
      <c r="D6" s="26" t="s">
        <v>18</v>
      </c>
      <c r="E6" s="305"/>
      <c r="F6" s="305"/>
      <c r="G6" s="305"/>
      <c r="H6" s="305"/>
      <c r="I6" s="305"/>
      <c r="J6" s="305"/>
      <c r="K6" s="421" t="s">
        <v>628</v>
      </c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305"/>
      <c r="AQ6" s="22"/>
      <c r="BE6" s="420"/>
      <c r="BS6" s="17" t="s">
        <v>9</v>
      </c>
    </row>
    <row r="7" spans="2:71" ht="15">
      <c r="B7" s="21"/>
      <c r="C7" s="305"/>
      <c r="D7" s="27" t="s">
        <v>19</v>
      </c>
      <c r="E7" s="305"/>
      <c r="F7" s="305"/>
      <c r="G7" s="305"/>
      <c r="H7" s="305"/>
      <c r="I7" s="305"/>
      <c r="J7" s="305"/>
      <c r="K7" s="304" t="s">
        <v>20</v>
      </c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27" t="s">
        <v>21</v>
      </c>
      <c r="AL7" s="305"/>
      <c r="AM7" s="305"/>
      <c r="AN7" s="304" t="s">
        <v>20</v>
      </c>
      <c r="AO7" s="305"/>
      <c r="AP7" s="305"/>
      <c r="AQ7" s="22"/>
      <c r="BE7" s="420"/>
      <c r="BS7" s="17" t="s">
        <v>9</v>
      </c>
    </row>
    <row r="8" spans="2:71" ht="15">
      <c r="B8" s="21"/>
      <c r="C8" s="305"/>
      <c r="D8" s="27" t="s">
        <v>22</v>
      </c>
      <c r="E8" s="305"/>
      <c r="F8" s="305"/>
      <c r="G8" s="305"/>
      <c r="H8" s="305"/>
      <c r="I8" s="305"/>
      <c r="J8" s="305"/>
      <c r="K8" s="304" t="s">
        <v>23</v>
      </c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27" t="s">
        <v>24</v>
      </c>
      <c r="AL8" s="305"/>
      <c r="AM8" s="305"/>
      <c r="AN8" s="357">
        <v>44094</v>
      </c>
      <c r="AO8" s="305"/>
      <c r="AP8" s="305"/>
      <c r="AQ8" s="22"/>
      <c r="BE8" s="420"/>
      <c r="BS8" s="17" t="s">
        <v>9</v>
      </c>
    </row>
    <row r="9" spans="2:71" ht="13.5">
      <c r="B9" s="21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 t="s">
        <v>610</v>
      </c>
      <c r="AO9" s="305"/>
      <c r="AP9" s="305"/>
      <c r="AQ9" s="22"/>
      <c r="BE9" s="420"/>
      <c r="BS9" s="17" t="s">
        <v>9</v>
      </c>
    </row>
    <row r="10" spans="2:71" ht="15">
      <c r="B10" s="21"/>
      <c r="C10" s="305"/>
      <c r="D10" s="27" t="s">
        <v>25</v>
      </c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27" t="s">
        <v>26</v>
      </c>
      <c r="AL10" s="305"/>
      <c r="AM10" s="305"/>
      <c r="AN10" s="304" t="s">
        <v>20</v>
      </c>
      <c r="AO10" s="305"/>
      <c r="AP10" s="305"/>
      <c r="AQ10" s="22"/>
      <c r="BE10" s="420"/>
      <c r="BS10" s="17" t="s">
        <v>9</v>
      </c>
    </row>
    <row r="11" spans="2:71" ht="15">
      <c r="B11" s="21"/>
      <c r="C11" s="305"/>
      <c r="D11" s="305"/>
      <c r="E11" s="304" t="s">
        <v>27</v>
      </c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27" t="s">
        <v>28</v>
      </c>
      <c r="AL11" s="305"/>
      <c r="AM11" s="305"/>
      <c r="AN11" s="304" t="s">
        <v>20</v>
      </c>
      <c r="AO11" s="305"/>
      <c r="AP11" s="305"/>
      <c r="AQ11" s="22"/>
      <c r="BE11" s="420"/>
      <c r="BS11" s="17" t="s">
        <v>9</v>
      </c>
    </row>
    <row r="12" spans="2:71" ht="13.5">
      <c r="B12" s="21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22"/>
      <c r="BE12" s="420"/>
      <c r="BS12" s="17" t="s">
        <v>9</v>
      </c>
    </row>
    <row r="13" spans="2:71" ht="15">
      <c r="B13" s="21"/>
      <c r="C13" s="305"/>
      <c r="D13" s="27" t="s">
        <v>29</v>
      </c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27" t="s">
        <v>26</v>
      </c>
      <c r="AL13" s="305"/>
      <c r="AM13" s="305"/>
      <c r="AN13" s="356" t="s">
        <v>34</v>
      </c>
      <c r="AO13" s="305"/>
      <c r="AP13" s="305"/>
      <c r="AQ13" s="22"/>
      <c r="BE13" s="420"/>
      <c r="BS13" s="17" t="s">
        <v>9</v>
      </c>
    </row>
    <row r="14" spans="2:71" ht="15">
      <c r="B14" s="21"/>
      <c r="C14" s="305"/>
      <c r="D14" s="305"/>
      <c r="E14" s="422" t="s">
        <v>34</v>
      </c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27" t="s">
        <v>28</v>
      </c>
      <c r="AL14" s="305"/>
      <c r="AM14" s="305"/>
      <c r="AN14" s="356" t="s">
        <v>34</v>
      </c>
      <c r="AO14" s="305"/>
      <c r="AP14" s="305"/>
      <c r="AQ14" s="22"/>
      <c r="BE14" s="420"/>
      <c r="BS14" s="17" t="s">
        <v>9</v>
      </c>
    </row>
    <row r="15" spans="2:71" ht="13.5">
      <c r="B15" s="21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22"/>
      <c r="BE15" s="420"/>
      <c r="BS15" s="17" t="s">
        <v>6</v>
      </c>
    </row>
    <row r="16" spans="2:106" ht="15">
      <c r="B16" s="21"/>
      <c r="C16" s="305"/>
      <c r="D16" s="27" t="s">
        <v>30</v>
      </c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27" t="s">
        <v>26</v>
      </c>
      <c r="AL16" s="305"/>
      <c r="AM16" s="305"/>
      <c r="AN16" s="304" t="s">
        <v>20</v>
      </c>
      <c r="AO16" s="305"/>
      <c r="AP16" s="305"/>
      <c r="AQ16" s="22"/>
      <c r="BE16" s="420"/>
      <c r="BS16" s="17" t="s">
        <v>6</v>
      </c>
      <c r="DB16" s="353" t="s">
        <v>34</v>
      </c>
    </row>
    <row r="17" spans="2:71" ht="15">
      <c r="B17" s="21"/>
      <c r="C17" s="305"/>
      <c r="D17" s="305"/>
      <c r="E17" s="304" t="s">
        <v>611</v>
      </c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27" t="s">
        <v>28</v>
      </c>
      <c r="AL17" s="305"/>
      <c r="AM17" s="305"/>
      <c r="AN17" s="304" t="s">
        <v>20</v>
      </c>
      <c r="AO17" s="305"/>
      <c r="AP17" s="305"/>
      <c r="AQ17" s="22"/>
      <c r="BE17" s="420"/>
      <c r="BS17" s="17" t="s">
        <v>32</v>
      </c>
    </row>
    <row r="18" spans="2:71" ht="13.5">
      <c r="B18" s="21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22"/>
      <c r="BE18" s="420"/>
      <c r="BS18" s="17" t="s">
        <v>9</v>
      </c>
    </row>
    <row r="19" spans="2:71" ht="15">
      <c r="B19" s="21"/>
      <c r="C19" s="305"/>
      <c r="D19" s="27" t="s">
        <v>33</v>
      </c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27" t="s">
        <v>26</v>
      </c>
      <c r="AL19" s="305"/>
      <c r="AM19" s="305"/>
      <c r="AN19" s="304" t="s">
        <v>20</v>
      </c>
      <c r="AO19" s="305"/>
      <c r="AP19" s="305"/>
      <c r="AQ19" s="22"/>
      <c r="BE19" s="420"/>
      <c r="BS19" s="17" t="s">
        <v>9</v>
      </c>
    </row>
    <row r="20" spans="2:57" ht="15">
      <c r="B20" s="21"/>
      <c r="C20" s="305"/>
      <c r="D20" s="305"/>
      <c r="E20" s="304" t="s">
        <v>34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27" t="s">
        <v>28</v>
      </c>
      <c r="AL20" s="305"/>
      <c r="AM20" s="305"/>
      <c r="AN20" s="304" t="s">
        <v>20</v>
      </c>
      <c r="AO20" s="305"/>
      <c r="AP20" s="305"/>
      <c r="AQ20" s="22"/>
      <c r="BE20" s="420"/>
    </row>
    <row r="21" spans="2:57" ht="13.5">
      <c r="B21" s="21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22"/>
      <c r="BE21" s="420"/>
    </row>
    <row r="22" spans="2:57" ht="15">
      <c r="B22" s="21"/>
      <c r="C22" s="305"/>
      <c r="D22" s="27" t="s">
        <v>35</v>
      </c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22"/>
      <c r="BE22" s="420"/>
    </row>
    <row r="23" spans="2:57" ht="15">
      <c r="B23" s="21"/>
      <c r="C23" s="305"/>
      <c r="D23" s="305"/>
      <c r="E23" s="424" t="s">
        <v>20</v>
      </c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305"/>
      <c r="AP23" s="305"/>
      <c r="AQ23" s="22"/>
      <c r="BE23" s="420"/>
    </row>
    <row r="24" spans="2:57" ht="13.5">
      <c r="B24" s="21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22"/>
      <c r="BE24" s="420"/>
    </row>
    <row r="25" spans="2:57" ht="13.5">
      <c r="B25" s="21"/>
      <c r="C25" s="30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305"/>
      <c r="AQ25" s="22"/>
      <c r="BE25" s="420"/>
    </row>
    <row r="26" spans="2:57" ht="15">
      <c r="B26" s="21"/>
      <c r="C26" s="305"/>
      <c r="D26" s="29" t="s">
        <v>36</v>
      </c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425">
        <f>ROUND(AG87,2)</f>
        <v>0</v>
      </c>
      <c r="AL26" s="419"/>
      <c r="AM26" s="419"/>
      <c r="AN26" s="419"/>
      <c r="AO26" s="419"/>
      <c r="AP26" s="305"/>
      <c r="AQ26" s="22"/>
      <c r="BE26" s="420"/>
    </row>
    <row r="27" spans="2:57" ht="15">
      <c r="B27" s="21"/>
      <c r="C27" s="305"/>
      <c r="D27" s="29" t="s">
        <v>37</v>
      </c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425">
        <f>ROUND(AG90,2)</f>
        <v>0</v>
      </c>
      <c r="AL27" s="425"/>
      <c r="AM27" s="425"/>
      <c r="AN27" s="425"/>
      <c r="AO27" s="425"/>
      <c r="AP27" s="305"/>
      <c r="AQ27" s="22"/>
      <c r="BE27" s="420"/>
    </row>
    <row r="28" spans="2:57" s="1" customFormat="1" ht="13.5">
      <c r="B28" s="30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"/>
      <c r="BE28" s="420"/>
    </row>
    <row r="29" spans="2:57" s="1" customFormat="1" ht="15">
      <c r="B29" s="30"/>
      <c r="C29" s="313"/>
      <c r="D29" s="32" t="s">
        <v>38</v>
      </c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426">
        <f>ROUND(AK26+AK27,2)</f>
        <v>0</v>
      </c>
      <c r="AL29" s="427"/>
      <c r="AM29" s="427"/>
      <c r="AN29" s="427"/>
      <c r="AO29" s="427"/>
      <c r="AP29" s="313"/>
      <c r="AQ29" s="31"/>
      <c r="BE29" s="420"/>
    </row>
    <row r="30" spans="2:57" s="1" customFormat="1" ht="13.5">
      <c r="B30" s="30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"/>
      <c r="BE30" s="420"/>
    </row>
    <row r="31" spans="2:57" s="2" customFormat="1" ht="13.5">
      <c r="B31" s="33"/>
      <c r="C31" s="307"/>
      <c r="D31" s="154" t="s">
        <v>39</v>
      </c>
      <c r="E31" s="307"/>
      <c r="F31" s="154" t="s">
        <v>40</v>
      </c>
      <c r="G31" s="307"/>
      <c r="H31" s="307"/>
      <c r="I31" s="307"/>
      <c r="J31" s="307"/>
      <c r="K31" s="307"/>
      <c r="L31" s="410">
        <v>0.21</v>
      </c>
      <c r="M31" s="407"/>
      <c r="N31" s="407"/>
      <c r="O31" s="407"/>
      <c r="P31" s="307"/>
      <c r="Q31" s="307"/>
      <c r="R31" s="307"/>
      <c r="S31" s="307"/>
      <c r="T31" s="34" t="s">
        <v>41</v>
      </c>
      <c r="U31" s="307"/>
      <c r="V31" s="307"/>
      <c r="W31" s="406">
        <f>SUM(AK29)</f>
        <v>0</v>
      </c>
      <c r="X31" s="407"/>
      <c r="Y31" s="407"/>
      <c r="Z31" s="407"/>
      <c r="AA31" s="407"/>
      <c r="AB31" s="407"/>
      <c r="AC31" s="407"/>
      <c r="AD31" s="407"/>
      <c r="AE31" s="407"/>
      <c r="AF31" s="307"/>
      <c r="AG31" s="307"/>
      <c r="AH31" s="307"/>
      <c r="AI31" s="307"/>
      <c r="AJ31" s="307"/>
      <c r="AK31" s="406">
        <f>SUM(W31*0.21)</f>
        <v>0</v>
      </c>
      <c r="AL31" s="407"/>
      <c r="AM31" s="407"/>
      <c r="AN31" s="407"/>
      <c r="AO31" s="407"/>
      <c r="AP31" s="307"/>
      <c r="AQ31" s="35"/>
      <c r="BE31" s="420"/>
    </row>
    <row r="32" spans="2:57" s="2" customFormat="1" ht="13.5">
      <c r="B32" s="33"/>
      <c r="C32" s="307"/>
      <c r="D32" s="307"/>
      <c r="E32" s="307"/>
      <c r="F32" s="154" t="s">
        <v>42</v>
      </c>
      <c r="G32" s="307"/>
      <c r="H32" s="307"/>
      <c r="I32" s="307"/>
      <c r="J32" s="307"/>
      <c r="K32" s="307"/>
      <c r="L32" s="410">
        <v>0.15</v>
      </c>
      <c r="M32" s="407"/>
      <c r="N32" s="407"/>
      <c r="O32" s="407"/>
      <c r="P32" s="307"/>
      <c r="Q32" s="307"/>
      <c r="R32" s="307"/>
      <c r="S32" s="307"/>
      <c r="T32" s="34" t="s">
        <v>41</v>
      </c>
      <c r="U32" s="307"/>
      <c r="V32" s="307"/>
      <c r="W32" s="406" t="s">
        <v>34</v>
      </c>
      <c r="X32" s="407"/>
      <c r="Y32" s="407"/>
      <c r="Z32" s="407"/>
      <c r="AA32" s="407"/>
      <c r="AB32" s="407"/>
      <c r="AC32" s="407"/>
      <c r="AD32" s="407"/>
      <c r="AE32" s="407"/>
      <c r="AF32" s="307"/>
      <c r="AG32" s="307"/>
      <c r="AH32" s="307"/>
      <c r="AI32" s="307"/>
      <c r="AJ32" s="307"/>
      <c r="AK32" s="406">
        <v>0</v>
      </c>
      <c r="AL32" s="407"/>
      <c r="AM32" s="407"/>
      <c r="AN32" s="407"/>
      <c r="AO32" s="407"/>
      <c r="AP32" s="307"/>
      <c r="AQ32" s="35"/>
      <c r="BE32" s="420"/>
    </row>
    <row r="33" spans="2:57" s="2" customFormat="1" ht="13.5">
      <c r="B33" s="33"/>
      <c r="C33" s="307"/>
      <c r="D33" s="307"/>
      <c r="E33" s="307"/>
      <c r="F33" s="154" t="s">
        <v>43</v>
      </c>
      <c r="G33" s="307"/>
      <c r="H33" s="307"/>
      <c r="I33" s="307"/>
      <c r="J33" s="307"/>
      <c r="K33" s="307"/>
      <c r="L33" s="410">
        <v>0.21</v>
      </c>
      <c r="M33" s="407"/>
      <c r="N33" s="407"/>
      <c r="O33" s="407"/>
      <c r="P33" s="307"/>
      <c r="Q33" s="307"/>
      <c r="R33" s="307"/>
      <c r="S33" s="307"/>
      <c r="T33" s="34" t="s">
        <v>41</v>
      </c>
      <c r="U33" s="307"/>
      <c r="V33" s="307"/>
      <c r="W33" s="406" t="s">
        <v>34</v>
      </c>
      <c r="X33" s="407"/>
      <c r="Y33" s="407"/>
      <c r="Z33" s="407"/>
      <c r="AA33" s="407"/>
      <c r="AB33" s="407"/>
      <c r="AC33" s="407"/>
      <c r="AD33" s="407"/>
      <c r="AE33" s="407"/>
      <c r="AF33" s="307"/>
      <c r="AG33" s="307"/>
      <c r="AH33" s="307"/>
      <c r="AI33" s="307"/>
      <c r="AJ33" s="307"/>
      <c r="AK33" s="406">
        <v>0</v>
      </c>
      <c r="AL33" s="407"/>
      <c r="AM33" s="407"/>
      <c r="AN33" s="407"/>
      <c r="AO33" s="407"/>
      <c r="AP33" s="307"/>
      <c r="AQ33" s="35"/>
      <c r="BE33" s="420"/>
    </row>
    <row r="34" spans="2:57" s="2" customFormat="1" ht="13.5">
      <c r="B34" s="33"/>
      <c r="C34" s="307"/>
      <c r="D34" s="307"/>
      <c r="E34" s="307"/>
      <c r="F34" s="154" t="s">
        <v>44</v>
      </c>
      <c r="G34" s="307"/>
      <c r="H34" s="307"/>
      <c r="I34" s="307"/>
      <c r="J34" s="307"/>
      <c r="K34" s="307"/>
      <c r="L34" s="410">
        <v>0.15</v>
      </c>
      <c r="M34" s="407"/>
      <c r="N34" s="407"/>
      <c r="O34" s="407"/>
      <c r="P34" s="307"/>
      <c r="Q34" s="307"/>
      <c r="R34" s="307"/>
      <c r="S34" s="307"/>
      <c r="T34" s="34" t="s">
        <v>41</v>
      </c>
      <c r="U34" s="307"/>
      <c r="V34" s="307"/>
      <c r="W34" s="406" t="s">
        <v>34</v>
      </c>
      <c r="X34" s="407"/>
      <c r="Y34" s="407"/>
      <c r="Z34" s="407"/>
      <c r="AA34" s="407"/>
      <c r="AB34" s="407"/>
      <c r="AC34" s="407"/>
      <c r="AD34" s="407"/>
      <c r="AE34" s="407"/>
      <c r="AF34" s="307"/>
      <c r="AG34" s="307"/>
      <c r="AH34" s="307"/>
      <c r="AI34" s="307"/>
      <c r="AJ34" s="307"/>
      <c r="AK34" s="406">
        <v>0</v>
      </c>
      <c r="AL34" s="407"/>
      <c r="AM34" s="407"/>
      <c r="AN34" s="407"/>
      <c r="AO34" s="407"/>
      <c r="AP34" s="307"/>
      <c r="AQ34" s="35"/>
      <c r="BE34" s="420"/>
    </row>
    <row r="35" spans="2:43" s="2" customFormat="1" ht="13.5">
      <c r="B35" s="33"/>
      <c r="C35" s="307"/>
      <c r="D35" s="307"/>
      <c r="E35" s="307"/>
      <c r="F35" s="154" t="s">
        <v>45</v>
      </c>
      <c r="G35" s="307"/>
      <c r="H35" s="307"/>
      <c r="I35" s="307"/>
      <c r="J35" s="307"/>
      <c r="K35" s="307"/>
      <c r="L35" s="410">
        <v>0</v>
      </c>
      <c r="M35" s="407"/>
      <c r="N35" s="407"/>
      <c r="O35" s="407"/>
      <c r="P35" s="307"/>
      <c r="Q35" s="307"/>
      <c r="R35" s="307"/>
      <c r="S35" s="307"/>
      <c r="T35" s="34" t="s">
        <v>41</v>
      </c>
      <c r="U35" s="307"/>
      <c r="V35" s="307"/>
      <c r="W35" s="406" t="s">
        <v>34</v>
      </c>
      <c r="X35" s="407"/>
      <c r="Y35" s="407"/>
      <c r="Z35" s="407"/>
      <c r="AA35" s="407"/>
      <c r="AB35" s="407"/>
      <c r="AC35" s="407"/>
      <c r="AD35" s="407"/>
      <c r="AE35" s="407"/>
      <c r="AF35" s="307"/>
      <c r="AG35" s="307"/>
      <c r="AH35" s="307"/>
      <c r="AI35" s="307"/>
      <c r="AJ35" s="307"/>
      <c r="AK35" s="406">
        <v>0</v>
      </c>
      <c r="AL35" s="407"/>
      <c r="AM35" s="407"/>
      <c r="AN35" s="407"/>
      <c r="AO35" s="407"/>
      <c r="AP35" s="307"/>
      <c r="AQ35" s="35"/>
    </row>
    <row r="36" spans="2:43" s="1" customFormat="1" ht="13.5">
      <c r="B36" s="30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"/>
    </row>
    <row r="37" spans="2:43" s="1" customFormat="1" ht="18">
      <c r="B37" s="30"/>
      <c r="C37" s="36"/>
      <c r="D37" s="37" t="s">
        <v>46</v>
      </c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8" t="s">
        <v>47</v>
      </c>
      <c r="U37" s="308"/>
      <c r="V37" s="308"/>
      <c r="W37" s="308"/>
      <c r="X37" s="411" t="s">
        <v>48</v>
      </c>
      <c r="Y37" s="412"/>
      <c r="Z37" s="412"/>
      <c r="AA37" s="412"/>
      <c r="AB37" s="412"/>
      <c r="AC37" s="308"/>
      <c r="AD37" s="308"/>
      <c r="AE37" s="308"/>
      <c r="AF37" s="308"/>
      <c r="AG37" s="308"/>
      <c r="AH37" s="308"/>
      <c r="AI37" s="308"/>
      <c r="AJ37" s="308"/>
      <c r="AK37" s="413">
        <f>SUM(AK29:AK35)</f>
        <v>0</v>
      </c>
      <c r="AL37" s="412"/>
      <c r="AM37" s="412"/>
      <c r="AN37" s="412"/>
      <c r="AO37" s="414"/>
      <c r="AP37" s="36"/>
      <c r="AQ37" s="31"/>
    </row>
    <row r="38" spans="2:43" s="1" customFormat="1" ht="13.5">
      <c r="B38" s="30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"/>
    </row>
    <row r="39" spans="2:43" ht="13.5">
      <c r="B39" s="21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22"/>
    </row>
    <row r="40" spans="2:43" ht="13.5">
      <c r="B40" s="21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22"/>
    </row>
    <row r="41" spans="2:43" ht="13.5" hidden="1">
      <c r="B41" s="21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22"/>
    </row>
    <row r="42" spans="2:43" ht="13.5" hidden="1">
      <c r="B42" s="21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22"/>
    </row>
    <row r="43" spans="2:43" ht="13.5" hidden="1">
      <c r="B43" s="21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22"/>
    </row>
    <row r="44" spans="2:43" ht="13.5" hidden="1">
      <c r="B44" s="21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22"/>
    </row>
    <row r="45" spans="2:43" ht="13.5">
      <c r="B45" s="21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22"/>
    </row>
    <row r="46" spans="2:43" ht="13.5">
      <c r="B46" s="21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22"/>
    </row>
    <row r="47" spans="2:43" ht="13.5">
      <c r="B47" s="21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22"/>
    </row>
    <row r="48" spans="2:43" ht="13.5">
      <c r="B48" s="21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22"/>
    </row>
    <row r="49" spans="2:43" s="1" customFormat="1" ht="15">
      <c r="B49" s="30"/>
      <c r="C49" s="313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313"/>
      <c r="AB49" s="313"/>
      <c r="AC49" s="39" t="s">
        <v>50</v>
      </c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1"/>
      <c r="AP49" s="313"/>
      <c r="AQ49" s="31"/>
    </row>
    <row r="50" spans="2:43" ht="13.5">
      <c r="B50" s="21"/>
      <c r="C50" s="305"/>
      <c r="D50" s="42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43"/>
      <c r="AA50" s="305"/>
      <c r="AB50" s="305"/>
      <c r="AC50" s="42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43"/>
      <c r="AP50" s="305"/>
      <c r="AQ50" s="22"/>
    </row>
    <row r="51" spans="2:43" ht="13.5">
      <c r="B51" s="21"/>
      <c r="C51" s="305"/>
      <c r="D51" s="42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43"/>
      <c r="AA51" s="305"/>
      <c r="AB51" s="305"/>
      <c r="AC51" s="42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43"/>
      <c r="AP51" s="305"/>
      <c r="AQ51" s="22"/>
    </row>
    <row r="52" spans="2:43" ht="13.5">
      <c r="B52" s="21"/>
      <c r="C52" s="305"/>
      <c r="D52" s="42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43"/>
      <c r="AA52" s="305"/>
      <c r="AB52" s="305"/>
      <c r="AC52" s="42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43"/>
      <c r="AP52" s="305"/>
      <c r="AQ52" s="22"/>
    </row>
    <row r="53" spans="2:43" ht="13.5">
      <c r="B53" s="21"/>
      <c r="C53" s="305"/>
      <c r="D53" s="42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43"/>
      <c r="AA53" s="305"/>
      <c r="AB53" s="305"/>
      <c r="AC53" s="42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43"/>
      <c r="AP53" s="305"/>
      <c r="AQ53" s="22"/>
    </row>
    <row r="54" spans="2:43" ht="13.5">
      <c r="B54" s="21"/>
      <c r="C54" s="305"/>
      <c r="D54" s="42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43"/>
      <c r="AA54" s="305"/>
      <c r="AB54" s="305"/>
      <c r="AC54" s="42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43"/>
      <c r="AP54" s="305"/>
      <c r="AQ54" s="22"/>
    </row>
    <row r="55" spans="2:43" ht="13.5">
      <c r="B55" s="21"/>
      <c r="C55" s="305"/>
      <c r="D55" s="42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43"/>
      <c r="AA55" s="305"/>
      <c r="AB55" s="305"/>
      <c r="AC55" s="42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43"/>
      <c r="AP55" s="305"/>
      <c r="AQ55" s="22"/>
    </row>
    <row r="56" spans="2:43" ht="13.5">
      <c r="B56" s="21"/>
      <c r="C56" s="305"/>
      <c r="D56" s="42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43"/>
      <c r="AA56" s="305"/>
      <c r="AB56" s="305"/>
      <c r="AC56" s="42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43"/>
      <c r="AP56" s="305"/>
      <c r="AQ56" s="22"/>
    </row>
    <row r="57" spans="2:43" ht="13.5">
      <c r="B57" s="21"/>
      <c r="C57" s="305"/>
      <c r="D57" s="42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43"/>
      <c r="AA57" s="305"/>
      <c r="AB57" s="305"/>
      <c r="AC57" s="42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43"/>
      <c r="AP57" s="305"/>
      <c r="AQ57" s="22"/>
    </row>
    <row r="58" spans="2:43" s="1" customFormat="1" ht="15">
      <c r="B58" s="30"/>
      <c r="C58" s="313"/>
      <c r="D58" s="44" t="s">
        <v>51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 t="s">
        <v>52</v>
      </c>
      <c r="S58" s="45"/>
      <c r="T58" s="45"/>
      <c r="U58" s="45"/>
      <c r="V58" s="45"/>
      <c r="W58" s="45"/>
      <c r="X58" s="45"/>
      <c r="Y58" s="45"/>
      <c r="Z58" s="47"/>
      <c r="AA58" s="313"/>
      <c r="AB58" s="313"/>
      <c r="AC58" s="44" t="s">
        <v>51</v>
      </c>
      <c r="AD58" s="45"/>
      <c r="AE58" s="45"/>
      <c r="AF58" s="45"/>
      <c r="AG58" s="45"/>
      <c r="AH58" s="45"/>
      <c r="AI58" s="45"/>
      <c r="AJ58" s="45"/>
      <c r="AK58" s="45"/>
      <c r="AL58" s="45"/>
      <c r="AM58" s="46" t="s">
        <v>52</v>
      </c>
      <c r="AN58" s="45"/>
      <c r="AO58" s="47"/>
      <c r="AP58" s="313"/>
      <c r="AQ58" s="31"/>
    </row>
    <row r="59" spans="2:43" ht="13.5">
      <c r="B59" s="21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22"/>
    </row>
    <row r="60" spans="2:43" s="1" customFormat="1" ht="15">
      <c r="B60" s="30"/>
      <c r="C60" s="313"/>
      <c r="D60" s="3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313"/>
      <c r="AB60" s="313"/>
      <c r="AC60" s="39" t="s">
        <v>54</v>
      </c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1"/>
      <c r="AP60" s="313"/>
      <c r="AQ60" s="31"/>
    </row>
    <row r="61" spans="2:43" ht="13.5">
      <c r="B61" s="21"/>
      <c r="C61" s="305"/>
      <c r="D61" s="42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43"/>
      <c r="AA61" s="305"/>
      <c r="AB61" s="305"/>
      <c r="AC61" s="42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43"/>
      <c r="AP61" s="305"/>
      <c r="AQ61" s="22"/>
    </row>
    <row r="62" spans="2:43" ht="13.5">
      <c r="B62" s="21"/>
      <c r="C62" s="305"/>
      <c r="D62" s="42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43"/>
      <c r="AA62" s="305"/>
      <c r="AB62" s="305"/>
      <c r="AC62" s="42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43"/>
      <c r="AP62" s="305"/>
      <c r="AQ62" s="22"/>
    </row>
    <row r="63" spans="2:43" ht="13.5">
      <c r="B63" s="21"/>
      <c r="C63" s="305"/>
      <c r="D63" s="42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43"/>
      <c r="AA63" s="305"/>
      <c r="AB63" s="305"/>
      <c r="AC63" s="42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43"/>
      <c r="AP63" s="305"/>
      <c r="AQ63" s="22"/>
    </row>
    <row r="64" spans="2:43" ht="13.5">
      <c r="B64" s="21"/>
      <c r="C64" s="305"/>
      <c r="D64" s="42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43"/>
      <c r="AA64" s="305"/>
      <c r="AB64" s="305"/>
      <c r="AC64" s="42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43"/>
      <c r="AP64" s="305"/>
      <c r="AQ64" s="22"/>
    </row>
    <row r="65" spans="2:43" ht="13.5">
      <c r="B65" s="21"/>
      <c r="C65" s="305"/>
      <c r="D65" s="42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43"/>
      <c r="AA65" s="305"/>
      <c r="AB65" s="305"/>
      <c r="AC65" s="42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43"/>
      <c r="AP65" s="305"/>
      <c r="AQ65" s="22"/>
    </row>
    <row r="66" spans="2:43" ht="13.5">
      <c r="B66" s="21"/>
      <c r="C66" s="305"/>
      <c r="D66" s="42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43"/>
      <c r="AA66" s="305"/>
      <c r="AB66" s="305"/>
      <c r="AC66" s="42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43"/>
      <c r="AP66" s="305"/>
      <c r="AQ66" s="22"/>
    </row>
    <row r="67" spans="2:43" s="1" customFormat="1" ht="15">
      <c r="B67" s="30"/>
      <c r="C67" s="313"/>
      <c r="D67" s="44" t="s">
        <v>51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 t="s">
        <v>52</v>
      </c>
      <c r="S67" s="45"/>
      <c r="T67" s="45"/>
      <c r="U67" s="45"/>
      <c r="V67" s="45"/>
      <c r="W67" s="45"/>
      <c r="X67" s="45"/>
      <c r="Y67" s="45"/>
      <c r="Z67" s="47"/>
      <c r="AA67" s="313"/>
      <c r="AB67" s="313"/>
      <c r="AC67" s="44" t="s">
        <v>51</v>
      </c>
      <c r="AD67" s="45"/>
      <c r="AE67" s="45"/>
      <c r="AF67" s="45"/>
      <c r="AG67" s="45"/>
      <c r="AH67" s="45"/>
      <c r="AI67" s="45"/>
      <c r="AJ67" s="45"/>
      <c r="AK67" s="45"/>
      <c r="AL67" s="45"/>
      <c r="AM67" s="46" t="s">
        <v>52</v>
      </c>
      <c r="AN67" s="45"/>
      <c r="AO67" s="47"/>
      <c r="AP67" s="313"/>
      <c r="AQ67" s="31"/>
    </row>
    <row r="68" spans="2:43" s="1" customFormat="1" ht="13.5">
      <c r="B68" s="30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"/>
    </row>
    <row r="69" spans="2:43" s="1" customFormat="1" ht="13.5"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50"/>
    </row>
    <row r="70" ht="12.6" customHeight="1"/>
    <row r="71" ht="36.6" customHeight="1"/>
    <row r="72" ht="36.6" customHeight="1"/>
    <row r="75" spans="2:43" s="1" customFormat="1" ht="13.5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3"/>
    </row>
    <row r="76" spans="2:43" s="1" customFormat="1" ht="21">
      <c r="B76" s="30"/>
      <c r="C76" s="408" t="s">
        <v>55</v>
      </c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9"/>
      <c r="AL76" s="409"/>
      <c r="AM76" s="409"/>
      <c r="AN76" s="409"/>
      <c r="AO76" s="409"/>
      <c r="AP76" s="409"/>
      <c r="AQ76" s="31"/>
    </row>
    <row r="77" spans="2:43" s="3" customFormat="1" ht="15">
      <c r="B77" s="54"/>
      <c r="C77" s="27" t="s">
        <v>16</v>
      </c>
      <c r="D77" s="310"/>
      <c r="E77" s="310"/>
      <c r="F77" s="310"/>
      <c r="G77" s="310"/>
      <c r="H77" s="310"/>
      <c r="I77" s="310"/>
      <c r="J77" s="310"/>
      <c r="K77" s="310"/>
      <c r="L77" s="310" t="str">
        <f>K5</f>
        <v xml:space="preserve"> </v>
      </c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55"/>
    </row>
    <row r="78" spans="2:43" s="4" customFormat="1" ht="18">
      <c r="B78" s="56"/>
      <c r="C78" s="57" t="s">
        <v>18</v>
      </c>
      <c r="D78" s="309"/>
      <c r="E78" s="309"/>
      <c r="F78" s="309"/>
      <c r="G78" s="309"/>
      <c r="H78" s="309"/>
      <c r="I78" s="309"/>
      <c r="J78" s="309"/>
      <c r="K78" s="309"/>
      <c r="L78" s="393" t="str">
        <f>K6</f>
        <v xml:space="preserve"> SO 05-4 Volnočasový areál Sladovka-sociální zařízení a parkoviště</v>
      </c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09"/>
      <c r="AQ78" s="58"/>
    </row>
    <row r="79" spans="2:43" s="1" customFormat="1" ht="13.5">
      <c r="B79" s="30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/>
      <c r="AO79" s="313"/>
      <c r="AP79" s="313"/>
      <c r="AQ79" s="31"/>
    </row>
    <row r="80" spans="2:43" s="1" customFormat="1" ht="15">
      <c r="B80" s="30"/>
      <c r="C80" s="27" t="s">
        <v>22</v>
      </c>
      <c r="D80" s="313"/>
      <c r="E80" s="313"/>
      <c r="F80" s="313"/>
      <c r="G80" s="313"/>
      <c r="H80" s="313"/>
      <c r="I80" s="313"/>
      <c r="J80" s="313"/>
      <c r="K80" s="313"/>
      <c r="L80" s="59" t="str">
        <f>IF(K8="","",K8)</f>
        <v>Benešov</v>
      </c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27" t="s">
        <v>24</v>
      </c>
      <c r="AJ80" s="313"/>
      <c r="AK80" s="313"/>
      <c r="AL80" s="313"/>
      <c r="AM80" s="354" t="s">
        <v>34</v>
      </c>
      <c r="AN80" s="357">
        <v>43013</v>
      </c>
      <c r="AO80" s="313"/>
      <c r="AP80" s="313"/>
      <c r="AQ80" s="31"/>
    </row>
    <row r="81" spans="2:43" s="1" customFormat="1" ht="13.5">
      <c r="B81" s="30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  <c r="AN81" s="313"/>
      <c r="AO81" s="313"/>
      <c r="AP81" s="313"/>
      <c r="AQ81" s="31"/>
    </row>
    <row r="82" spans="2:56" s="1" customFormat="1" ht="15">
      <c r="B82" s="30"/>
      <c r="C82" s="27" t="s">
        <v>25</v>
      </c>
      <c r="D82" s="313"/>
      <c r="E82" s="313"/>
      <c r="F82" s="313"/>
      <c r="G82" s="313"/>
      <c r="H82" s="313"/>
      <c r="I82" s="313"/>
      <c r="J82" s="313"/>
      <c r="K82" s="313"/>
      <c r="L82" s="310" t="str">
        <f>IF(E11="","",E11)</f>
        <v>Město Benešov,Masarykovo nám.100,256 01 Benešov</v>
      </c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27" t="s">
        <v>30</v>
      </c>
      <c r="AJ82" s="313"/>
      <c r="AK82" s="313"/>
      <c r="AL82" s="313"/>
      <c r="AM82" s="395" t="str">
        <f>IF(E17="","",E17)</f>
        <v>Ing. Martin Kraus</v>
      </c>
      <c r="AN82" s="395"/>
      <c r="AO82" s="395"/>
      <c r="AP82" s="395"/>
      <c r="AQ82" s="31"/>
      <c r="AS82" s="396" t="s">
        <v>56</v>
      </c>
      <c r="AT82" s="397"/>
      <c r="AU82" s="60"/>
      <c r="AV82" s="60"/>
      <c r="AW82" s="60"/>
      <c r="AX82" s="60"/>
      <c r="AY82" s="60"/>
      <c r="AZ82" s="60"/>
      <c r="BA82" s="60"/>
      <c r="BB82" s="60"/>
      <c r="BC82" s="60"/>
      <c r="BD82" s="61"/>
    </row>
    <row r="83" spans="2:56" s="1" customFormat="1" ht="15">
      <c r="B83" s="30"/>
      <c r="C83" s="27" t="s">
        <v>29</v>
      </c>
      <c r="D83" s="313"/>
      <c r="E83" s="313"/>
      <c r="F83" s="313"/>
      <c r="G83" s="313"/>
      <c r="H83" s="313"/>
      <c r="I83" s="313"/>
      <c r="J83" s="313"/>
      <c r="K83" s="313"/>
      <c r="L83" s="310" t="str">
        <f>IF(E14="Vyplň údaj","",E14)</f>
        <v xml:space="preserve"> </v>
      </c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27" t="s">
        <v>33</v>
      </c>
      <c r="AJ83" s="313"/>
      <c r="AK83" s="313"/>
      <c r="AL83" s="313"/>
      <c r="AM83" s="395" t="str">
        <f>IF(E20="","",E20)</f>
        <v xml:space="preserve"> </v>
      </c>
      <c r="AN83" s="395"/>
      <c r="AO83" s="395"/>
      <c r="AP83" s="395"/>
      <c r="AQ83" s="31"/>
      <c r="AS83" s="398"/>
      <c r="AT83" s="399"/>
      <c r="AU83" s="62"/>
      <c r="AV83" s="62"/>
      <c r="AW83" s="62"/>
      <c r="AX83" s="62"/>
      <c r="AY83" s="62"/>
      <c r="AZ83" s="62"/>
      <c r="BA83" s="62"/>
      <c r="BB83" s="62"/>
      <c r="BC83" s="62"/>
      <c r="BD83" s="63"/>
    </row>
    <row r="84" spans="2:56" s="1" customFormat="1" ht="13.5">
      <c r="B84" s="30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3"/>
      <c r="AL84" s="313"/>
      <c r="AM84" s="313"/>
      <c r="AN84" s="313"/>
      <c r="AO84" s="313"/>
      <c r="AP84" s="313"/>
      <c r="AQ84" s="31"/>
      <c r="AS84" s="400"/>
      <c r="AT84" s="401"/>
      <c r="AU84" s="313"/>
      <c r="AV84" s="313"/>
      <c r="AW84" s="313"/>
      <c r="AX84" s="313"/>
      <c r="AY84" s="313"/>
      <c r="AZ84" s="313"/>
      <c r="BA84" s="313"/>
      <c r="BB84" s="313"/>
      <c r="BC84" s="313"/>
      <c r="BD84" s="64"/>
    </row>
    <row r="85" spans="2:56" s="1" customFormat="1" ht="45">
      <c r="B85" s="30"/>
      <c r="C85" s="402" t="s">
        <v>57</v>
      </c>
      <c r="D85" s="403"/>
      <c r="E85" s="403"/>
      <c r="F85" s="403"/>
      <c r="G85" s="403"/>
      <c r="H85" s="65"/>
      <c r="I85" s="404" t="s">
        <v>58</v>
      </c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3"/>
      <c r="AC85" s="403"/>
      <c r="AD85" s="403"/>
      <c r="AE85" s="403"/>
      <c r="AF85" s="403"/>
      <c r="AG85" s="404" t="s">
        <v>59</v>
      </c>
      <c r="AH85" s="403"/>
      <c r="AI85" s="403"/>
      <c r="AJ85" s="403"/>
      <c r="AK85" s="403"/>
      <c r="AL85" s="403"/>
      <c r="AM85" s="403"/>
      <c r="AN85" s="404" t="s">
        <v>60</v>
      </c>
      <c r="AO85" s="403"/>
      <c r="AP85" s="405"/>
      <c r="AQ85" s="31"/>
      <c r="AS85" s="66" t="s">
        <v>61</v>
      </c>
      <c r="AT85" s="67" t="s">
        <v>62</v>
      </c>
      <c r="AU85" s="67" t="s">
        <v>63</v>
      </c>
      <c r="AV85" s="67" t="s">
        <v>64</v>
      </c>
      <c r="AW85" s="67" t="s">
        <v>65</v>
      </c>
      <c r="AX85" s="67" t="s">
        <v>66</v>
      </c>
      <c r="AY85" s="67" t="s">
        <v>67</v>
      </c>
      <c r="AZ85" s="67" t="s">
        <v>68</v>
      </c>
      <c r="BA85" s="67" t="s">
        <v>69</v>
      </c>
      <c r="BB85" s="67" t="s">
        <v>70</v>
      </c>
      <c r="BC85" s="67" t="s">
        <v>71</v>
      </c>
      <c r="BD85" s="68" t="s">
        <v>72</v>
      </c>
    </row>
    <row r="86" spans="2:56" s="1" customFormat="1" ht="13.5">
      <c r="B86" s="30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  <c r="AM86" s="313"/>
      <c r="AN86" s="313"/>
      <c r="AO86" s="313"/>
      <c r="AP86" s="313"/>
      <c r="AQ86" s="31"/>
      <c r="AS86" s="69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1"/>
    </row>
    <row r="87" spans="2:76" s="4" customFormat="1" ht="18">
      <c r="B87" s="56"/>
      <c r="C87" s="70" t="s">
        <v>73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387">
        <f>ROUND(AG88,2)</f>
        <v>0</v>
      </c>
      <c r="AH87" s="387"/>
      <c r="AI87" s="387"/>
      <c r="AJ87" s="387"/>
      <c r="AK87" s="387"/>
      <c r="AL87" s="387"/>
      <c r="AM87" s="387"/>
      <c r="AN87" s="388">
        <f>SUM(AG87*1.21)</f>
        <v>0</v>
      </c>
      <c r="AO87" s="379"/>
      <c r="AP87" s="379"/>
      <c r="AQ87" s="58"/>
      <c r="AS87" s="72" t="e">
        <f>ROUND(AS88,2)</f>
        <v>#REF!</v>
      </c>
      <c r="AT87" s="73" t="e">
        <f>ROUND(SUM(AV87:AW87),2)</f>
        <v>#REF!</v>
      </c>
      <c r="AU87" s="74" t="e">
        <f>ROUND(AU88,5)</f>
        <v>#REF!</v>
      </c>
      <c r="AV87" s="73" t="e">
        <f>ROUND(AZ87*L31,2)</f>
        <v>#REF!</v>
      </c>
      <c r="AW87" s="73" t="e">
        <f>ROUND(BA87*L32,2)</f>
        <v>#REF!</v>
      </c>
      <c r="AX87" s="73" t="e">
        <f>ROUND(BB87*L31,2)</f>
        <v>#REF!</v>
      </c>
      <c r="AY87" s="73" t="e">
        <f>ROUND(BC87*L32,2)</f>
        <v>#REF!</v>
      </c>
      <c r="AZ87" s="73" t="e">
        <f>ROUND(AZ88,2)</f>
        <v>#REF!</v>
      </c>
      <c r="BA87" s="73" t="e">
        <f>ROUND(BA88,2)</f>
        <v>#REF!</v>
      </c>
      <c r="BB87" s="73" t="e">
        <f>ROUND(BB88,2)</f>
        <v>#REF!</v>
      </c>
      <c r="BC87" s="73" t="e">
        <f>ROUND(BC88,2)</f>
        <v>#REF!</v>
      </c>
      <c r="BD87" s="75" t="e">
        <f>ROUND(BD88,2)</f>
        <v>#REF!</v>
      </c>
      <c r="BS87" s="76" t="s">
        <v>74</v>
      </c>
      <c r="BT87" s="76" t="s">
        <v>75</v>
      </c>
      <c r="BV87" s="76" t="s">
        <v>76</v>
      </c>
      <c r="BW87" s="76" t="s">
        <v>77</v>
      </c>
      <c r="BX87" s="76" t="s">
        <v>78</v>
      </c>
    </row>
    <row r="88" spans="1:105" s="5" customFormat="1" ht="61.9" customHeight="1">
      <c r="A88" s="77" t="s">
        <v>79</v>
      </c>
      <c r="B88" s="78"/>
      <c r="C88" s="79"/>
      <c r="D88" s="389" t="s">
        <v>575</v>
      </c>
      <c r="E88" s="390"/>
      <c r="F88" s="390"/>
      <c r="G88" s="390"/>
      <c r="H88" s="390"/>
      <c r="I88" s="311"/>
      <c r="J88" s="390" t="s">
        <v>609</v>
      </c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1">
        <f>SUM('Stavební část '!M29:P29)</f>
        <v>0</v>
      </c>
      <c r="AH88" s="392"/>
      <c r="AI88" s="392"/>
      <c r="AJ88" s="392"/>
      <c r="AK88" s="392"/>
      <c r="AL88" s="392"/>
      <c r="AM88" s="392"/>
      <c r="AN88" s="388">
        <f>SUM(AG88*1.21)</f>
        <v>0</v>
      </c>
      <c r="AO88" s="379"/>
      <c r="AP88" s="379"/>
      <c r="AQ88" s="80"/>
      <c r="AS88" s="81" t="e">
        <f>#REF!</f>
        <v>#REF!</v>
      </c>
      <c r="AT88" s="82" t="e">
        <f>ROUND(SUM(AV88:AW88),2)</f>
        <v>#REF!</v>
      </c>
      <c r="AU88" s="83" t="e">
        <f>#REF!</f>
        <v>#REF!</v>
      </c>
      <c r="AV88" s="82" t="e">
        <f>#REF!</f>
        <v>#REF!</v>
      </c>
      <c r="AW88" s="82" t="e">
        <f>#REF!</f>
        <v>#REF!</v>
      </c>
      <c r="AX88" s="82" t="e">
        <f>#REF!</f>
        <v>#REF!</v>
      </c>
      <c r="AY88" s="82" t="e">
        <f>#REF!</f>
        <v>#REF!</v>
      </c>
      <c r="AZ88" s="82" t="e">
        <f>#REF!</f>
        <v>#REF!</v>
      </c>
      <c r="BA88" s="82" t="e">
        <f>#REF!</f>
        <v>#REF!</v>
      </c>
      <c r="BB88" s="82" t="e">
        <f>#REF!</f>
        <v>#REF!</v>
      </c>
      <c r="BC88" s="82" t="e">
        <f>#REF!</f>
        <v>#REF!</v>
      </c>
      <c r="BD88" s="84" t="e">
        <f>#REF!</f>
        <v>#REF!</v>
      </c>
      <c r="BT88" s="85" t="s">
        <v>80</v>
      </c>
      <c r="BU88" s="85" t="s">
        <v>81</v>
      </c>
      <c r="BV88" s="85" t="s">
        <v>76</v>
      </c>
      <c r="BW88" s="85" t="s">
        <v>77</v>
      </c>
      <c r="BX88" s="85" t="s">
        <v>78</v>
      </c>
      <c r="CY88" s="1">
        <f>SUM(AG88*1.21)</f>
        <v>0</v>
      </c>
      <c r="DA88" s="1"/>
    </row>
    <row r="89" spans="2:43" ht="13.5">
      <c r="B89" s="21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22"/>
    </row>
    <row r="90" spans="2:48" s="1" customFormat="1" ht="30">
      <c r="B90" s="30"/>
      <c r="C90" s="70" t="s">
        <v>82</v>
      </c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3"/>
      <c r="AD90" s="313"/>
      <c r="AE90" s="313"/>
      <c r="AF90" s="313"/>
      <c r="AG90" s="379">
        <f>ROUND(SUM(AG91:AG93),2)</f>
        <v>0</v>
      </c>
      <c r="AH90" s="379"/>
      <c r="AI90" s="379"/>
      <c r="AJ90" s="379"/>
      <c r="AK90" s="379"/>
      <c r="AL90" s="379"/>
      <c r="AM90" s="379"/>
      <c r="AN90" s="379">
        <f>ROUND(SUM(AN91:AN93),2)</f>
        <v>0</v>
      </c>
      <c r="AO90" s="379"/>
      <c r="AP90" s="379"/>
      <c r="AQ90" s="31"/>
      <c r="AS90" s="66" t="s">
        <v>83</v>
      </c>
      <c r="AT90" s="67" t="s">
        <v>84</v>
      </c>
      <c r="AU90" s="67" t="s">
        <v>39</v>
      </c>
      <c r="AV90" s="68" t="s">
        <v>62</v>
      </c>
    </row>
    <row r="91" spans="2:89" s="1" customFormat="1" ht="15">
      <c r="B91" s="30"/>
      <c r="C91" s="313"/>
      <c r="D91" s="312" t="s">
        <v>85</v>
      </c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86">
        <f>ROUND(AG87*AS91,2)</f>
        <v>0</v>
      </c>
      <c r="AH91" s="383"/>
      <c r="AI91" s="383"/>
      <c r="AJ91" s="383"/>
      <c r="AK91" s="383"/>
      <c r="AL91" s="383"/>
      <c r="AM91" s="383"/>
      <c r="AN91" s="383">
        <f>ROUND(AG91+AV91,2)</f>
        <v>0</v>
      </c>
      <c r="AO91" s="383"/>
      <c r="AP91" s="383"/>
      <c r="AQ91" s="31"/>
      <c r="AS91" s="86">
        <v>0</v>
      </c>
      <c r="AT91" s="87" t="s">
        <v>86</v>
      </c>
      <c r="AU91" s="87" t="s">
        <v>40</v>
      </c>
      <c r="AV91" s="88">
        <f>ROUND(IF(AU91="základní",AG91*L31,IF(AU91="snížená",AG91*L32,0)),2)</f>
        <v>0</v>
      </c>
      <c r="BV91" s="17" t="s">
        <v>87</v>
      </c>
      <c r="BY91" s="89">
        <f>IF(AU91="základní",AV91,0)</f>
        <v>0</v>
      </c>
      <c r="BZ91" s="89">
        <f>IF(AU91="snížená",AV91,0)</f>
        <v>0</v>
      </c>
      <c r="CA91" s="89">
        <v>0</v>
      </c>
      <c r="CB91" s="89">
        <v>0</v>
      </c>
      <c r="CC91" s="89">
        <v>0</v>
      </c>
      <c r="CD91" s="89">
        <f>IF(AU91="základní",AG91,0)</f>
        <v>0</v>
      </c>
      <c r="CE91" s="89">
        <f>IF(AU91="snížená",AG91,0)</f>
        <v>0</v>
      </c>
      <c r="CF91" s="89">
        <f>IF(AU91="zákl. přenesená",AG91,0)</f>
        <v>0</v>
      </c>
      <c r="CG91" s="89">
        <f>IF(AU91="sníž. přenesená",AG91,0)</f>
        <v>0</v>
      </c>
      <c r="CH91" s="89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103" s="1" customFormat="1" ht="15">
      <c r="B92" s="30"/>
      <c r="C92" s="313"/>
      <c r="D92" s="380" t="s">
        <v>576</v>
      </c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381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13"/>
      <c r="AD92" s="313"/>
      <c r="AE92" s="313"/>
      <c r="AF92" s="313"/>
      <c r="AG92" s="382">
        <f>SUM('Přípojka V a K'!J56)</f>
        <v>0</v>
      </c>
      <c r="AH92" s="383"/>
      <c r="AI92" s="383"/>
      <c r="AJ92" s="383"/>
      <c r="AK92" s="383"/>
      <c r="AL92" s="383"/>
      <c r="AM92" s="383"/>
      <c r="AN92" s="383">
        <f>AG92+AV92</f>
        <v>0</v>
      </c>
      <c r="AO92" s="383"/>
      <c r="AP92" s="383"/>
      <c r="AQ92" s="31"/>
      <c r="AS92" s="90">
        <v>0</v>
      </c>
      <c r="AT92" s="91" t="s">
        <v>86</v>
      </c>
      <c r="AU92" s="91" t="s">
        <v>40</v>
      </c>
      <c r="AV92" s="92">
        <f>ROUND(IF(AU92="nulová",0,IF(OR(AU92="základní",AU92="zákl. přenesená"),AG92*L31,AG92*L32)),2)</f>
        <v>0</v>
      </c>
      <c r="BV92" s="17" t="s">
        <v>88</v>
      </c>
      <c r="BY92" s="89">
        <f>IF(AU92="základní",AV92,0)</f>
        <v>0</v>
      </c>
      <c r="BZ92" s="89">
        <f>IF(AU92="snížená",AV92,0)</f>
        <v>0</v>
      </c>
      <c r="CA92" s="89">
        <f>IF(AU92="zákl. přenesená",AV92,0)</f>
        <v>0</v>
      </c>
      <c r="CB92" s="89">
        <f>IF(AU92="sníž. přenesená",AV92,0)</f>
        <v>0</v>
      </c>
      <c r="CC92" s="89">
        <f>IF(AU92="nulová",AV92,0)</f>
        <v>0</v>
      </c>
      <c r="CD92" s="89">
        <f>IF(AU92="základní",AG92,0)</f>
        <v>0</v>
      </c>
      <c r="CE92" s="89">
        <f>IF(AU92="snížená",AG92,0)</f>
        <v>0</v>
      </c>
      <c r="CF92" s="89">
        <f>IF(AU92="zákl. přenesená",AG92,0)</f>
        <v>0</v>
      </c>
      <c r="CG92" s="89">
        <f>IF(AU92="sníž. přenesená",AG92,0)</f>
        <v>0</v>
      </c>
      <c r="CH92" s="89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>x</v>
      </c>
      <c r="CY92" s="1">
        <f>SUM(AG92*1.21)</f>
        <v>0</v>
      </c>
    </row>
    <row r="93" spans="2:103" s="1" customFormat="1" ht="15">
      <c r="B93" s="30"/>
      <c r="C93" s="313"/>
      <c r="D93" s="380" t="s">
        <v>578</v>
      </c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13"/>
      <c r="AD93" s="313"/>
      <c r="AE93" s="313"/>
      <c r="AF93" s="313"/>
      <c r="AG93" s="382">
        <f>SUM('Elektroinstalace '!G11+'Elektroinstalace '!G39+'Elektroinstalace '!G45+'Elektroinstalace '!G73+'Elektroinstalace '!G87)</f>
        <v>0</v>
      </c>
      <c r="AH93" s="383"/>
      <c r="AI93" s="383"/>
      <c r="AJ93" s="383"/>
      <c r="AK93" s="383"/>
      <c r="AL93" s="383"/>
      <c r="AM93" s="383"/>
      <c r="AN93" s="383">
        <f>AG93+AV93</f>
        <v>0</v>
      </c>
      <c r="AO93" s="383"/>
      <c r="AP93" s="383"/>
      <c r="AQ93" s="31"/>
      <c r="AS93" s="93">
        <v>0</v>
      </c>
      <c r="AT93" s="94" t="s">
        <v>86</v>
      </c>
      <c r="AU93" s="94" t="s">
        <v>40</v>
      </c>
      <c r="AV93" s="95">
        <f>ROUND(IF(AU93="nulová",0,IF(OR(AU93="základní",AU93="zákl. přenesená"),AG93*L31,AG93*L32)),2)</f>
        <v>0</v>
      </c>
      <c r="BV93" s="17" t="s">
        <v>88</v>
      </c>
      <c r="BY93" s="89">
        <f>IF(AU93="základní",AV93,0)</f>
        <v>0</v>
      </c>
      <c r="BZ93" s="89">
        <f>IF(AU93="snížená",AV93,0)</f>
        <v>0</v>
      </c>
      <c r="CA93" s="89">
        <f>IF(AU93="zákl. přenesená",AV93,0)</f>
        <v>0</v>
      </c>
      <c r="CB93" s="89">
        <f>IF(AU93="sníž. přenesená",AV93,0)</f>
        <v>0</v>
      </c>
      <c r="CC93" s="89">
        <f>IF(AU93="nulová",AV93,0)</f>
        <v>0</v>
      </c>
      <c r="CD93" s="89">
        <f>IF(AU93="základní",AG93,0)</f>
        <v>0</v>
      </c>
      <c r="CE93" s="89">
        <f>IF(AU93="snížená",AG93,0)</f>
        <v>0</v>
      </c>
      <c r="CF93" s="89">
        <f>IF(AU93="zákl. přenesená",AG93,0)</f>
        <v>0</v>
      </c>
      <c r="CG93" s="89">
        <f>IF(AU93="sníž. přenesená",AG93,0)</f>
        <v>0</v>
      </c>
      <c r="CH93" s="89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čast",1,IF(8894="investiční čast",2,3))</f>
        <v>1</v>
      </c>
      <c r="CK93" s="17" t="str">
        <f>IF(D93="Vyplň vlastní","","x")</f>
        <v>x</v>
      </c>
      <c r="CY93" s="1">
        <f>SUM(AG93*1.21)</f>
        <v>0</v>
      </c>
    </row>
    <row r="94" spans="2:43" s="1" customFormat="1" ht="13.5">
      <c r="B94" s="30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31"/>
    </row>
    <row r="95" spans="2:43" s="1" customFormat="1" ht="18">
      <c r="B95" s="30"/>
      <c r="C95" s="96" t="s">
        <v>89</v>
      </c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84">
        <f>ROUND(AG87+AG90,2)</f>
        <v>0</v>
      </c>
      <c r="AH95" s="384"/>
      <c r="AI95" s="384"/>
      <c r="AJ95" s="384"/>
      <c r="AK95" s="384"/>
      <c r="AL95" s="384"/>
      <c r="AM95" s="384"/>
      <c r="AN95" s="385">
        <f>SUM(AN90+AN87)</f>
        <v>0</v>
      </c>
      <c r="AO95" s="383"/>
      <c r="AP95" s="383"/>
      <c r="AQ95" s="31"/>
    </row>
    <row r="96" spans="2:43" s="1" customFormat="1" ht="13.5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50"/>
    </row>
    <row r="97" spans="2:48" s="1" customFormat="1" ht="30">
      <c r="B97" s="30"/>
      <c r="C97" s="70" t="s">
        <v>626</v>
      </c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9" t="e">
        <f>SUM(AG95-#REF!)</f>
        <v>#REF!</v>
      </c>
      <c r="AH97" s="379"/>
      <c r="AI97" s="379"/>
      <c r="AJ97" s="379"/>
      <c r="AK97" s="379"/>
      <c r="AL97" s="379"/>
      <c r="AM97" s="379"/>
      <c r="AN97" s="379" t="e">
        <f>SUM(AG97*1.21)</f>
        <v>#REF!</v>
      </c>
      <c r="AO97" s="379"/>
      <c r="AP97" s="379"/>
      <c r="AQ97" s="31"/>
      <c r="AS97" s="66" t="s">
        <v>83</v>
      </c>
      <c r="AT97" s="67" t="s">
        <v>84</v>
      </c>
      <c r="AU97" s="67" t="s">
        <v>39</v>
      </c>
      <c r="AV97" s="68" t="s">
        <v>62</v>
      </c>
    </row>
    <row r="98" spans="2:48" s="1" customFormat="1" ht="30">
      <c r="B98" s="30"/>
      <c r="C98" s="70" t="s">
        <v>627</v>
      </c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9" t="e">
        <f>SUM(AG95-AG97)</f>
        <v>#REF!</v>
      </c>
      <c r="AH98" s="379"/>
      <c r="AI98" s="379"/>
      <c r="AJ98" s="379"/>
      <c r="AK98" s="379"/>
      <c r="AL98" s="379"/>
      <c r="AM98" s="379"/>
      <c r="AN98" s="379" t="e">
        <f>SUM(AG98*1.21)</f>
        <v>#REF!</v>
      </c>
      <c r="AO98" s="379"/>
      <c r="AP98" s="379"/>
      <c r="AQ98" s="31"/>
      <c r="AS98" s="66" t="s">
        <v>83</v>
      </c>
      <c r="AT98" s="67" t="s">
        <v>84</v>
      </c>
      <c r="AU98" s="67" t="s">
        <v>39</v>
      </c>
      <c r="AV98" s="68" t="s">
        <v>62</v>
      </c>
    </row>
  </sheetData>
  <mergeCells count="59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76:AP76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0:AM90"/>
    <mergeCell ref="AN90:AP90"/>
    <mergeCell ref="AG91:AM91"/>
    <mergeCell ref="AN91:AP91"/>
    <mergeCell ref="D92:AB92"/>
    <mergeCell ref="AG92:AM92"/>
    <mergeCell ref="AN92:AP92"/>
    <mergeCell ref="AG97:AM97"/>
    <mergeCell ref="AN97:AP97"/>
    <mergeCell ref="AG98:AM98"/>
    <mergeCell ref="AN98:AP98"/>
    <mergeCell ref="D93:AB93"/>
    <mergeCell ref="AG93:AM93"/>
    <mergeCell ref="AN93:AP93"/>
    <mergeCell ref="AG95:AM95"/>
    <mergeCell ref="AN95:AP95"/>
  </mergeCells>
  <dataValidations count="2">
    <dataValidation type="list" allowBlank="1" showInputMessage="1" showErrorMessage="1" error="Povoleny jsou hodnoty základní, snížená, zákl. přenesená, sníž. přenesená, nulová." sqref="AU91:AU9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4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IprosDopravnhriste - Voln...'!C2" display="/"/>
  </hyperlink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L201"/>
  <sheetViews>
    <sheetView tabSelected="1" workbookViewId="0" topLeftCell="A107">
      <selection activeCell="CB115" sqref="CB115"/>
    </sheetView>
  </sheetViews>
  <sheetFormatPr defaultColWidth="9.16015625" defaultRowHeight="13.5"/>
  <cols>
    <col min="1" max="1" width="8.33203125" style="364" customWidth="1"/>
    <col min="2" max="2" width="1.66796875" style="364" customWidth="1"/>
    <col min="3" max="3" width="4.16015625" style="364" customWidth="1"/>
    <col min="4" max="4" width="4.33203125" style="364" customWidth="1"/>
    <col min="5" max="5" width="17.16015625" style="364" customWidth="1"/>
    <col min="6" max="7" width="11.16015625" style="364" customWidth="1"/>
    <col min="8" max="8" width="12.5" style="364" customWidth="1"/>
    <col min="9" max="9" width="7" style="364" customWidth="1"/>
    <col min="10" max="10" width="5.16015625" style="364" customWidth="1"/>
    <col min="11" max="11" width="11.5" style="364" customWidth="1"/>
    <col min="12" max="12" width="12" style="364" customWidth="1"/>
    <col min="13" max="14" width="6" style="364" customWidth="1"/>
    <col min="15" max="15" width="2" style="364" customWidth="1"/>
    <col min="16" max="16" width="12.5" style="364" customWidth="1"/>
    <col min="17" max="17" width="4.16015625" style="364" customWidth="1"/>
    <col min="18" max="18" width="1.66796875" style="364" customWidth="1"/>
    <col min="19" max="19" width="8.16015625" style="364" hidden="1" customWidth="1"/>
    <col min="20" max="20" width="29.66015625" style="364" hidden="1" customWidth="1"/>
    <col min="21" max="21" width="16.33203125" style="364" hidden="1" customWidth="1"/>
    <col min="22" max="22" width="12.33203125" style="364" hidden="1" customWidth="1"/>
    <col min="23" max="23" width="16.33203125" style="364" hidden="1" customWidth="1"/>
    <col min="24" max="24" width="12.16015625" style="364" hidden="1" customWidth="1"/>
    <col min="25" max="25" width="15" style="364" hidden="1" customWidth="1"/>
    <col min="26" max="26" width="11" style="364" hidden="1" customWidth="1"/>
    <col min="27" max="27" width="15" style="364" hidden="1" customWidth="1"/>
    <col min="28" max="28" width="16.33203125" style="364" hidden="1" customWidth="1"/>
    <col min="29" max="29" width="11" style="364" hidden="1" customWidth="1"/>
    <col min="30" max="30" width="15" style="364" hidden="1" customWidth="1"/>
    <col min="31" max="31" width="16.33203125" style="364" hidden="1" customWidth="1"/>
    <col min="32" max="72" width="9.16015625" style="364" hidden="1" customWidth="1"/>
    <col min="73" max="16384" width="9.16015625" style="364" customWidth="1"/>
  </cols>
  <sheetData>
    <row r="1" spans="1:64" ht="21.75" customHeight="1" hidden="1">
      <c r="A1" s="97"/>
      <c r="B1" s="11"/>
      <c r="C1" s="11"/>
      <c r="D1" s="12" t="s">
        <v>1</v>
      </c>
      <c r="E1" s="11"/>
      <c r="F1" s="13" t="s">
        <v>90</v>
      </c>
      <c r="G1" s="13"/>
      <c r="H1" s="441" t="s">
        <v>91</v>
      </c>
      <c r="I1" s="441"/>
      <c r="J1" s="441"/>
      <c r="K1" s="441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3:44" ht="36.95" customHeight="1" hidden="1">
      <c r="C2" s="415" t="s">
        <v>7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S2" s="417" t="s">
        <v>8</v>
      </c>
      <c r="T2" s="417"/>
      <c r="U2" s="417"/>
      <c r="V2" s="417"/>
      <c r="W2" s="417"/>
      <c r="X2" s="417"/>
      <c r="Y2" s="417"/>
      <c r="Z2" s="417"/>
      <c r="AA2" s="417"/>
      <c r="AB2" s="417"/>
      <c r="AC2" s="417"/>
      <c r="AR2" s="17" t="s">
        <v>77</v>
      </c>
    </row>
    <row r="3" spans="2:4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R3" s="17" t="s">
        <v>95</v>
      </c>
    </row>
    <row r="4" spans="2:44" ht="36.95" customHeight="1" hidden="1">
      <c r="B4" s="21"/>
      <c r="C4" s="408" t="s">
        <v>96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22"/>
      <c r="T4" s="23" t="s">
        <v>13</v>
      </c>
      <c r="AR4" s="17" t="s">
        <v>6</v>
      </c>
    </row>
    <row r="5" spans="2:18" ht="6.95" customHeight="1" hidden="1">
      <c r="B5" s="21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22"/>
    </row>
    <row r="6" spans="2:18" s="1" customFormat="1" ht="32.85" customHeight="1" hidden="1">
      <c r="B6" s="30"/>
      <c r="C6" s="365"/>
      <c r="D6" s="26" t="s">
        <v>18</v>
      </c>
      <c r="E6" s="365"/>
      <c r="F6" s="445" t="s">
        <v>609</v>
      </c>
      <c r="G6" s="446"/>
      <c r="H6" s="446"/>
      <c r="I6" s="446"/>
      <c r="J6" s="446"/>
      <c r="K6" s="446"/>
      <c r="L6" s="446"/>
      <c r="M6" s="446"/>
      <c r="N6" s="446"/>
      <c r="O6" s="361"/>
      <c r="P6" s="361"/>
      <c r="Q6" s="365"/>
      <c r="R6" s="31"/>
    </row>
    <row r="7" spans="2:18" s="1" customFormat="1" ht="14.45" customHeight="1" hidden="1">
      <c r="B7" s="30"/>
      <c r="C7" s="365"/>
      <c r="D7" s="27" t="s">
        <v>19</v>
      </c>
      <c r="E7" s="365"/>
      <c r="F7" s="359" t="s">
        <v>20</v>
      </c>
      <c r="G7" s="365"/>
      <c r="H7" s="365"/>
      <c r="I7" s="365"/>
      <c r="J7" s="365"/>
      <c r="K7" s="365"/>
      <c r="L7" s="365"/>
      <c r="M7" s="27" t="s">
        <v>21</v>
      </c>
      <c r="N7" s="365"/>
      <c r="O7" s="359" t="s">
        <v>20</v>
      </c>
      <c r="P7" s="365"/>
      <c r="Q7" s="365"/>
      <c r="R7" s="31"/>
    </row>
    <row r="8" spans="2:18" s="1" customFormat="1" ht="14.45" customHeight="1" hidden="1">
      <c r="B8" s="30"/>
      <c r="C8" s="365"/>
      <c r="D8" s="27" t="s">
        <v>22</v>
      </c>
      <c r="E8" s="365"/>
      <c r="F8" s="359" t="s">
        <v>23</v>
      </c>
      <c r="G8" s="365"/>
      <c r="H8" s="365"/>
      <c r="I8" s="365"/>
      <c r="J8" s="365"/>
      <c r="K8" s="365"/>
      <c r="L8" s="365"/>
      <c r="M8" s="27" t="s">
        <v>24</v>
      </c>
      <c r="N8" s="365"/>
      <c r="O8" s="442">
        <v>44094</v>
      </c>
      <c r="P8" s="443"/>
      <c r="Q8" s="365"/>
      <c r="R8" s="31"/>
    </row>
    <row r="9" spans="2:18" s="1" customFormat="1" ht="10.9" customHeight="1" hidden="1">
      <c r="B9" s="30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58"/>
      <c r="P9" s="358"/>
      <c r="Q9" s="365"/>
      <c r="R9" s="31"/>
    </row>
    <row r="10" spans="2:18" s="1" customFormat="1" ht="14.45" customHeight="1" hidden="1">
      <c r="B10" s="30"/>
      <c r="C10" s="365"/>
      <c r="D10" s="27" t="s">
        <v>25</v>
      </c>
      <c r="E10" s="365"/>
      <c r="F10" s="365"/>
      <c r="G10" s="365"/>
      <c r="H10" s="365"/>
      <c r="I10" s="365"/>
      <c r="J10" s="365"/>
      <c r="K10" s="365"/>
      <c r="L10" s="365"/>
      <c r="M10" s="27" t="s">
        <v>26</v>
      </c>
      <c r="N10" s="365"/>
      <c r="O10" s="431" t="s">
        <v>20</v>
      </c>
      <c r="P10" s="431"/>
      <c r="Q10" s="365"/>
      <c r="R10" s="31"/>
    </row>
    <row r="11" spans="2:18" s="1" customFormat="1" ht="18" customHeight="1" hidden="1">
      <c r="B11" s="30"/>
      <c r="C11" s="365"/>
      <c r="D11" s="365"/>
      <c r="E11" s="359" t="s">
        <v>27</v>
      </c>
      <c r="F11" s="365"/>
      <c r="G11" s="365"/>
      <c r="H11" s="365"/>
      <c r="I11" s="365"/>
      <c r="J11" s="365"/>
      <c r="K11" s="365"/>
      <c r="L11" s="365"/>
      <c r="M11" s="27" t="s">
        <v>28</v>
      </c>
      <c r="N11" s="365"/>
      <c r="O11" s="431" t="s">
        <v>20</v>
      </c>
      <c r="P11" s="431"/>
      <c r="Q11" s="365"/>
      <c r="R11" s="31"/>
    </row>
    <row r="12" spans="2:18" s="1" customFormat="1" ht="6.95" customHeight="1" hidden="1">
      <c r="B12" s="30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58"/>
      <c r="P12" s="358"/>
      <c r="Q12" s="365"/>
      <c r="R12" s="31"/>
    </row>
    <row r="13" spans="2:18" s="1" customFormat="1" ht="14.45" customHeight="1" hidden="1">
      <c r="B13" s="30"/>
      <c r="C13" s="365"/>
      <c r="D13" s="27" t="s">
        <v>29</v>
      </c>
      <c r="E13" s="365"/>
      <c r="F13" s="365"/>
      <c r="G13" s="365"/>
      <c r="H13" s="365"/>
      <c r="I13" s="365"/>
      <c r="J13" s="365"/>
      <c r="K13" s="365"/>
      <c r="L13" s="365"/>
      <c r="M13" s="27" t="s">
        <v>26</v>
      </c>
      <c r="N13" s="365"/>
      <c r="O13" s="432" t="s">
        <v>34</v>
      </c>
      <c r="P13" s="431"/>
      <c r="Q13" s="365"/>
      <c r="R13" s="31"/>
    </row>
    <row r="14" spans="2:18" s="1" customFormat="1" ht="18" customHeight="1" hidden="1">
      <c r="B14" s="30"/>
      <c r="C14" s="365"/>
      <c r="D14" s="365"/>
      <c r="E14" s="432" t="s">
        <v>34</v>
      </c>
      <c r="F14" s="431"/>
      <c r="G14" s="431"/>
      <c r="H14" s="431"/>
      <c r="I14" s="431"/>
      <c r="J14" s="431"/>
      <c r="K14" s="431"/>
      <c r="L14" s="431"/>
      <c r="M14" s="27" t="s">
        <v>28</v>
      </c>
      <c r="N14" s="365"/>
      <c r="O14" s="432" t="s">
        <v>34</v>
      </c>
      <c r="P14" s="431"/>
      <c r="Q14" s="365"/>
      <c r="R14" s="31"/>
    </row>
    <row r="15" spans="2:18" s="1" customFormat="1" ht="6.95" customHeight="1" hidden="1">
      <c r="B15" s="30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1"/>
    </row>
    <row r="16" spans="2:18" s="1" customFormat="1" ht="14.45" customHeight="1" hidden="1">
      <c r="B16" s="30"/>
      <c r="C16" s="365"/>
      <c r="D16" s="27" t="s">
        <v>30</v>
      </c>
      <c r="E16" s="365"/>
      <c r="F16" s="365"/>
      <c r="G16" s="365"/>
      <c r="H16" s="365"/>
      <c r="I16" s="365"/>
      <c r="J16" s="365"/>
      <c r="K16" s="365"/>
      <c r="L16" s="365"/>
      <c r="M16" s="27" t="s">
        <v>26</v>
      </c>
      <c r="N16" s="365"/>
      <c r="O16" s="418" t="s">
        <v>20</v>
      </c>
      <c r="P16" s="418"/>
      <c r="Q16" s="365"/>
      <c r="R16" s="31"/>
    </row>
    <row r="17" spans="2:18" s="1" customFormat="1" ht="15" hidden="1">
      <c r="B17" s="30"/>
      <c r="C17" s="365"/>
      <c r="D17" s="365"/>
      <c r="E17" s="359" t="s">
        <v>31</v>
      </c>
      <c r="F17" s="365"/>
      <c r="G17" s="365"/>
      <c r="H17" s="365"/>
      <c r="I17" s="365"/>
      <c r="J17" s="365"/>
      <c r="K17" s="365"/>
      <c r="L17" s="365"/>
      <c r="M17" s="27" t="s">
        <v>28</v>
      </c>
      <c r="N17" s="365"/>
      <c r="O17" s="418" t="s">
        <v>20</v>
      </c>
      <c r="P17" s="418"/>
      <c r="Q17" s="365"/>
      <c r="R17" s="31"/>
    </row>
    <row r="18" spans="2:18" s="1" customFormat="1" ht="13.5" hidden="1">
      <c r="B18" s="30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1"/>
    </row>
    <row r="19" spans="2:18" s="1" customFormat="1" ht="15" hidden="1">
      <c r="B19" s="30"/>
      <c r="C19" s="365"/>
      <c r="D19" s="27" t="s">
        <v>33</v>
      </c>
      <c r="E19" s="365"/>
      <c r="F19" s="365"/>
      <c r="G19" s="365"/>
      <c r="H19" s="365"/>
      <c r="I19" s="365"/>
      <c r="J19" s="365"/>
      <c r="K19" s="365"/>
      <c r="L19" s="365"/>
      <c r="M19" s="27" t="s">
        <v>26</v>
      </c>
      <c r="N19" s="365"/>
      <c r="O19" s="418" t="s">
        <v>34</v>
      </c>
      <c r="P19" s="418"/>
      <c r="Q19" s="365"/>
      <c r="R19" s="31"/>
    </row>
    <row r="20" spans="2:18" s="1" customFormat="1" ht="15" hidden="1">
      <c r="B20" s="30"/>
      <c r="C20" s="365"/>
      <c r="D20" s="365"/>
      <c r="E20" s="359" t="e">
        <f>IF(#REF!="","",#REF!)</f>
        <v>#REF!</v>
      </c>
      <c r="F20" s="365"/>
      <c r="G20" s="365"/>
      <c r="H20" s="365"/>
      <c r="I20" s="365"/>
      <c r="J20" s="365"/>
      <c r="K20" s="365"/>
      <c r="L20" s="365"/>
      <c r="M20" s="27" t="s">
        <v>28</v>
      </c>
      <c r="N20" s="365"/>
      <c r="O20" s="418" t="s">
        <v>34</v>
      </c>
      <c r="P20" s="418"/>
      <c r="Q20" s="365"/>
      <c r="R20" s="31"/>
    </row>
    <row r="21" spans="2:18" s="1" customFormat="1" ht="13.5" hidden="1">
      <c r="B21" s="30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1"/>
    </row>
    <row r="22" spans="2:18" s="1" customFormat="1" ht="15" hidden="1">
      <c r="B22" s="30"/>
      <c r="C22" s="365"/>
      <c r="D22" s="27" t="s">
        <v>35</v>
      </c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1"/>
    </row>
    <row r="23" spans="2:18" s="1" customFormat="1" ht="15" hidden="1">
      <c r="B23" s="30"/>
      <c r="C23" s="365"/>
      <c r="D23" s="365"/>
      <c r="E23" s="424" t="s">
        <v>20</v>
      </c>
      <c r="F23" s="424"/>
      <c r="G23" s="424"/>
      <c r="H23" s="424"/>
      <c r="I23" s="424"/>
      <c r="J23" s="424"/>
      <c r="K23" s="424"/>
      <c r="L23" s="424"/>
      <c r="M23" s="365"/>
      <c r="N23" s="365"/>
      <c r="O23" s="365"/>
      <c r="P23" s="365"/>
      <c r="Q23" s="365"/>
      <c r="R23" s="31"/>
    </row>
    <row r="24" spans="2:18" s="1" customFormat="1" ht="13.5" hidden="1">
      <c r="B24" s="30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1"/>
    </row>
    <row r="25" spans="2:18" s="1" customFormat="1" ht="13.5" hidden="1">
      <c r="B25" s="30"/>
      <c r="C25" s="36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65"/>
      <c r="R25" s="31"/>
    </row>
    <row r="26" spans="2:18" s="1" customFormat="1" ht="15" hidden="1">
      <c r="B26" s="30"/>
      <c r="C26" s="365"/>
      <c r="D26" s="98" t="s">
        <v>97</v>
      </c>
      <c r="E26" s="365"/>
      <c r="F26" s="365"/>
      <c r="G26" s="365"/>
      <c r="H26" s="365"/>
      <c r="I26" s="365"/>
      <c r="J26" s="365"/>
      <c r="K26" s="365"/>
      <c r="L26" s="365"/>
      <c r="M26" s="425">
        <f>N87</f>
        <v>0</v>
      </c>
      <c r="N26" s="425"/>
      <c r="O26" s="425"/>
      <c r="P26" s="425"/>
      <c r="Q26" s="365"/>
      <c r="R26" s="31"/>
    </row>
    <row r="27" spans="2:18" s="1" customFormat="1" ht="15" hidden="1">
      <c r="B27" s="30"/>
      <c r="C27" s="365"/>
      <c r="D27" s="29" t="s">
        <v>85</v>
      </c>
      <c r="E27" s="365"/>
      <c r="F27" s="365"/>
      <c r="G27" s="365"/>
      <c r="H27" s="365"/>
      <c r="I27" s="365"/>
      <c r="J27" s="365"/>
      <c r="K27" s="365"/>
      <c r="L27" s="365"/>
      <c r="M27" s="425">
        <f>N105</f>
        <v>0</v>
      </c>
      <c r="N27" s="425"/>
      <c r="O27" s="425"/>
      <c r="P27" s="425"/>
      <c r="Q27" s="365"/>
      <c r="R27" s="31"/>
    </row>
    <row r="28" spans="2:18" s="1" customFormat="1" ht="13.5" hidden="1">
      <c r="B28" s="30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1"/>
    </row>
    <row r="29" spans="2:18" s="1" customFormat="1" ht="15" hidden="1">
      <c r="B29" s="30"/>
      <c r="C29" s="365"/>
      <c r="D29" s="99" t="s">
        <v>38</v>
      </c>
      <c r="E29" s="365"/>
      <c r="F29" s="365"/>
      <c r="G29" s="365"/>
      <c r="H29" s="365"/>
      <c r="I29" s="365"/>
      <c r="J29" s="365"/>
      <c r="K29" s="365"/>
      <c r="L29" s="365"/>
      <c r="M29" s="444">
        <f>ROUND(M26+M27,2)</f>
        <v>0</v>
      </c>
      <c r="N29" s="434"/>
      <c r="O29" s="434"/>
      <c r="P29" s="434"/>
      <c r="Q29" s="365"/>
      <c r="R29" s="31"/>
    </row>
    <row r="30" spans="2:18" s="1" customFormat="1" ht="13.5" hidden="1">
      <c r="B30" s="30"/>
      <c r="C30" s="365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65"/>
      <c r="R30" s="31"/>
    </row>
    <row r="31" spans="2:18" s="1" customFormat="1" ht="13.5" hidden="1">
      <c r="B31" s="30"/>
      <c r="C31" s="365"/>
      <c r="D31" s="154" t="s">
        <v>39</v>
      </c>
      <c r="E31" s="154" t="s">
        <v>40</v>
      </c>
      <c r="F31" s="362">
        <v>0.21</v>
      </c>
      <c r="G31" s="100" t="s">
        <v>41</v>
      </c>
      <c r="H31" s="433" t="e">
        <f>ROUND((((SUM(BC105:BC111)+SUM(BC128:BC200))+SUM(#REF!))),2)</f>
        <v>#REF!</v>
      </c>
      <c r="I31" s="434"/>
      <c r="J31" s="434"/>
      <c r="K31" s="365"/>
      <c r="L31" s="365"/>
      <c r="M31" s="433" t="e">
        <f>ROUND(((ROUND((SUM(BC105:BC111)+SUM(BC128:BC200)),2)*F31)+SUM(#REF!)*F31),2)</f>
        <v>#REF!</v>
      </c>
      <c r="N31" s="434"/>
      <c r="O31" s="434"/>
      <c r="P31" s="434"/>
      <c r="Q31" s="365"/>
      <c r="R31" s="31"/>
    </row>
    <row r="32" spans="2:18" s="1" customFormat="1" ht="13.5" hidden="1">
      <c r="B32" s="30"/>
      <c r="C32" s="365"/>
      <c r="D32" s="365"/>
      <c r="E32" s="154" t="s">
        <v>42</v>
      </c>
      <c r="F32" s="362">
        <v>0.15</v>
      </c>
      <c r="G32" s="100" t="s">
        <v>41</v>
      </c>
      <c r="H32" s="433" t="e">
        <f>ROUND((((SUM(BD105:BD111)+SUM(BD128:BD200))+SUM(#REF!))),2)</f>
        <v>#REF!</v>
      </c>
      <c r="I32" s="434"/>
      <c r="J32" s="434"/>
      <c r="K32" s="365"/>
      <c r="L32" s="365"/>
      <c r="M32" s="433" t="e">
        <f>ROUND(((ROUND((SUM(BD105:BD111)+SUM(BD128:BD200)),2)*F32)+SUM(#REF!)*F32),2)</f>
        <v>#REF!</v>
      </c>
      <c r="N32" s="434"/>
      <c r="O32" s="434"/>
      <c r="P32" s="434"/>
      <c r="Q32" s="365"/>
      <c r="R32" s="31"/>
    </row>
    <row r="33" spans="2:18" s="1" customFormat="1" ht="13.5" hidden="1">
      <c r="B33" s="30"/>
      <c r="C33" s="365"/>
      <c r="D33" s="365"/>
      <c r="E33" s="154" t="s">
        <v>43</v>
      </c>
      <c r="F33" s="362">
        <v>0.21</v>
      </c>
      <c r="G33" s="100" t="s">
        <v>41</v>
      </c>
      <c r="H33" s="433" t="e">
        <f>ROUND((((SUM(BE105:BE111)+SUM(BE128:BE200))+SUM(#REF!))),2)</f>
        <v>#REF!</v>
      </c>
      <c r="I33" s="434"/>
      <c r="J33" s="434"/>
      <c r="K33" s="365"/>
      <c r="L33" s="365"/>
      <c r="M33" s="433">
        <v>0</v>
      </c>
      <c r="N33" s="434"/>
      <c r="O33" s="434"/>
      <c r="P33" s="434"/>
      <c r="Q33" s="365"/>
      <c r="R33" s="31"/>
    </row>
    <row r="34" spans="2:18" s="1" customFormat="1" ht="13.5" hidden="1">
      <c r="B34" s="30"/>
      <c r="C34" s="365"/>
      <c r="D34" s="365"/>
      <c r="E34" s="154" t="s">
        <v>44</v>
      </c>
      <c r="F34" s="362">
        <v>0.15</v>
      </c>
      <c r="G34" s="100" t="s">
        <v>41</v>
      </c>
      <c r="H34" s="433" t="e">
        <f>ROUND((((SUM(BF105:BF111)+SUM(BF128:BF200))+SUM(#REF!))),2)</f>
        <v>#REF!</v>
      </c>
      <c r="I34" s="434"/>
      <c r="J34" s="434"/>
      <c r="K34" s="365"/>
      <c r="L34" s="365"/>
      <c r="M34" s="433">
        <v>0</v>
      </c>
      <c r="N34" s="434"/>
      <c r="O34" s="434"/>
      <c r="P34" s="434"/>
      <c r="Q34" s="365"/>
      <c r="R34" s="31"/>
    </row>
    <row r="35" spans="2:18" s="1" customFormat="1" ht="13.5" hidden="1">
      <c r="B35" s="30"/>
      <c r="C35" s="365"/>
      <c r="D35" s="365"/>
      <c r="E35" s="154" t="s">
        <v>45</v>
      </c>
      <c r="F35" s="362">
        <v>0</v>
      </c>
      <c r="G35" s="100" t="s">
        <v>41</v>
      </c>
      <c r="H35" s="433" t="e">
        <f>ROUND((((SUM(BG105:BG111)+SUM(BG128:BG200))+SUM(#REF!))),2)</f>
        <v>#REF!</v>
      </c>
      <c r="I35" s="434"/>
      <c r="J35" s="434"/>
      <c r="K35" s="365"/>
      <c r="L35" s="365"/>
      <c r="M35" s="433">
        <v>0</v>
      </c>
      <c r="N35" s="434"/>
      <c r="O35" s="434"/>
      <c r="P35" s="434"/>
      <c r="Q35" s="365"/>
      <c r="R35" s="31"/>
    </row>
    <row r="36" spans="2:18" s="1" customFormat="1" ht="13.5" hidden="1">
      <c r="B36" s="30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1"/>
    </row>
    <row r="37" spans="2:18" s="1" customFormat="1" ht="18" hidden="1">
      <c r="B37" s="30"/>
      <c r="C37" s="369"/>
      <c r="D37" s="101" t="s">
        <v>46</v>
      </c>
      <c r="E37" s="65"/>
      <c r="F37" s="65"/>
      <c r="G37" s="102" t="s">
        <v>47</v>
      </c>
      <c r="H37" s="103" t="s">
        <v>48</v>
      </c>
      <c r="I37" s="65"/>
      <c r="J37" s="65"/>
      <c r="K37" s="65"/>
      <c r="L37" s="438" t="e">
        <f>SUM(M29:M35)</f>
        <v>#REF!</v>
      </c>
      <c r="M37" s="438"/>
      <c r="N37" s="438"/>
      <c r="O37" s="438"/>
      <c r="P37" s="439"/>
      <c r="Q37" s="369"/>
      <c r="R37" s="31"/>
    </row>
    <row r="38" spans="2:18" s="1" customFormat="1" ht="13.5" hidden="1">
      <c r="B38" s="30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1"/>
    </row>
    <row r="39" spans="2:18" s="1" customFormat="1" ht="13.5" hidden="1">
      <c r="B39" s="30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1"/>
    </row>
    <row r="40" spans="2:18" ht="13.5" hidden="1">
      <c r="B40" s="21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22"/>
    </row>
    <row r="41" spans="2:18" ht="13.5" hidden="1">
      <c r="B41" s="21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22"/>
    </row>
    <row r="42" spans="2:18" ht="13.5" hidden="1">
      <c r="B42" s="21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22"/>
    </row>
    <row r="43" spans="2:18" ht="13.5" hidden="1">
      <c r="B43" s="21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22"/>
    </row>
    <row r="44" spans="2:18" ht="13.5" hidden="1">
      <c r="B44" s="21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22"/>
    </row>
    <row r="45" spans="2:18" ht="13.5" hidden="1">
      <c r="B45" s="21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22"/>
    </row>
    <row r="46" spans="2:18" ht="13.5" hidden="1">
      <c r="B46" s="21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22"/>
    </row>
    <row r="47" spans="2:18" ht="13.5" hidden="1">
      <c r="B47" s="21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22"/>
    </row>
    <row r="48" spans="2:18" ht="13.5" hidden="1">
      <c r="B48" s="21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22"/>
    </row>
    <row r="49" spans="2:18" ht="13.5" hidden="1">
      <c r="B49" s="21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22"/>
    </row>
    <row r="50" spans="2:18" s="1" customFormat="1" ht="15" hidden="1">
      <c r="B50" s="30"/>
      <c r="C50" s="365"/>
      <c r="D50" s="39" t="s">
        <v>49</v>
      </c>
      <c r="E50" s="40"/>
      <c r="F50" s="40"/>
      <c r="G50" s="40"/>
      <c r="H50" s="41"/>
      <c r="I50" s="365"/>
      <c r="J50" s="39" t="s">
        <v>50</v>
      </c>
      <c r="K50" s="40"/>
      <c r="L50" s="40"/>
      <c r="M50" s="40"/>
      <c r="N50" s="40"/>
      <c r="O50" s="40"/>
      <c r="P50" s="41"/>
      <c r="Q50" s="365"/>
      <c r="R50" s="31"/>
    </row>
    <row r="51" spans="2:18" ht="13.5" hidden="1">
      <c r="B51" s="21"/>
      <c r="C51" s="360"/>
      <c r="D51" s="42"/>
      <c r="E51" s="360"/>
      <c r="F51" s="360"/>
      <c r="G51" s="360"/>
      <c r="H51" s="43"/>
      <c r="I51" s="360"/>
      <c r="J51" s="42"/>
      <c r="K51" s="360"/>
      <c r="L51" s="360"/>
      <c r="M51" s="360"/>
      <c r="N51" s="360"/>
      <c r="O51" s="360"/>
      <c r="P51" s="43"/>
      <c r="Q51" s="360"/>
      <c r="R51" s="22"/>
    </row>
    <row r="52" spans="2:18" ht="13.5" hidden="1">
      <c r="B52" s="21"/>
      <c r="C52" s="360"/>
      <c r="D52" s="42"/>
      <c r="E52" s="360"/>
      <c r="F52" s="360"/>
      <c r="G52" s="360"/>
      <c r="H52" s="43"/>
      <c r="I52" s="360"/>
      <c r="J52" s="42"/>
      <c r="K52" s="360"/>
      <c r="L52" s="360"/>
      <c r="M52" s="360"/>
      <c r="N52" s="360"/>
      <c r="O52" s="360"/>
      <c r="P52" s="43"/>
      <c r="Q52" s="360"/>
      <c r="R52" s="22"/>
    </row>
    <row r="53" spans="2:18" ht="13.5" hidden="1">
      <c r="B53" s="21"/>
      <c r="C53" s="360"/>
      <c r="D53" s="42"/>
      <c r="E53" s="360"/>
      <c r="F53" s="360"/>
      <c r="G53" s="360"/>
      <c r="H53" s="43"/>
      <c r="I53" s="360"/>
      <c r="J53" s="42"/>
      <c r="K53" s="360"/>
      <c r="L53" s="360"/>
      <c r="M53" s="360"/>
      <c r="N53" s="360"/>
      <c r="O53" s="360"/>
      <c r="P53" s="43"/>
      <c r="Q53" s="360"/>
      <c r="R53" s="22"/>
    </row>
    <row r="54" spans="2:18" ht="13.5" hidden="1">
      <c r="B54" s="21"/>
      <c r="C54" s="360"/>
      <c r="D54" s="42"/>
      <c r="E54" s="360"/>
      <c r="F54" s="360"/>
      <c r="G54" s="360"/>
      <c r="H54" s="43"/>
      <c r="I54" s="360"/>
      <c r="J54" s="42"/>
      <c r="K54" s="360"/>
      <c r="L54" s="360"/>
      <c r="M54" s="360"/>
      <c r="N54" s="360"/>
      <c r="O54" s="360"/>
      <c r="P54" s="43"/>
      <c r="Q54" s="360"/>
      <c r="R54" s="22"/>
    </row>
    <row r="55" spans="2:18" ht="13.5" hidden="1">
      <c r="B55" s="21"/>
      <c r="C55" s="360"/>
      <c r="D55" s="42"/>
      <c r="E55" s="360"/>
      <c r="F55" s="360"/>
      <c r="G55" s="360"/>
      <c r="H55" s="43"/>
      <c r="I55" s="360"/>
      <c r="J55" s="42"/>
      <c r="K55" s="360"/>
      <c r="L55" s="360"/>
      <c r="M55" s="360"/>
      <c r="N55" s="360"/>
      <c r="O55" s="360"/>
      <c r="P55" s="43"/>
      <c r="Q55" s="360"/>
      <c r="R55" s="22"/>
    </row>
    <row r="56" spans="2:18" ht="13.5" hidden="1">
      <c r="B56" s="21"/>
      <c r="C56" s="360"/>
      <c r="D56" s="42"/>
      <c r="E56" s="360"/>
      <c r="F56" s="360"/>
      <c r="G56" s="360"/>
      <c r="H56" s="43"/>
      <c r="I56" s="360"/>
      <c r="J56" s="42"/>
      <c r="K56" s="360"/>
      <c r="L56" s="360"/>
      <c r="M56" s="360"/>
      <c r="N56" s="360"/>
      <c r="O56" s="360"/>
      <c r="P56" s="43"/>
      <c r="Q56" s="360"/>
      <c r="R56" s="22"/>
    </row>
    <row r="57" spans="2:18" ht="13.5" hidden="1">
      <c r="B57" s="21"/>
      <c r="C57" s="360"/>
      <c r="D57" s="42"/>
      <c r="E57" s="360"/>
      <c r="F57" s="360"/>
      <c r="G57" s="360"/>
      <c r="H57" s="43"/>
      <c r="I57" s="360"/>
      <c r="J57" s="42"/>
      <c r="K57" s="360"/>
      <c r="L57" s="360"/>
      <c r="M57" s="360"/>
      <c r="N57" s="360"/>
      <c r="O57" s="360"/>
      <c r="P57" s="43"/>
      <c r="Q57" s="360"/>
      <c r="R57" s="22"/>
    </row>
    <row r="58" spans="2:18" ht="13.5" hidden="1">
      <c r="B58" s="21"/>
      <c r="C58" s="360"/>
      <c r="D58" s="42"/>
      <c r="E58" s="360"/>
      <c r="F58" s="360"/>
      <c r="G58" s="360"/>
      <c r="H58" s="43"/>
      <c r="I58" s="360"/>
      <c r="J58" s="42"/>
      <c r="K58" s="360"/>
      <c r="L58" s="360"/>
      <c r="M58" s="360"/>
      <c r="N58" s="360"/>
      <c r="O58" s="360"/>
      <c r="P58" s="43"/>
      <c r="Q58" s="360"/>
      <c r="R58" s="22"/>
    </row>
    <row r="59" spans="2:18" s="1" customFormat="1" ht="15" hidden="1">
      <c r="B59" s="30"/>
      <c r="C59" s="365"/>
      <c r="D59" s="44" t="s">
        <v>51</v>
      </c>
      <c r="E59" s="45"/>
      <c r="F59" s="45"/>
      <c r="G59" s="46" t="s">
        <v>52</v>
      </c>
      <c r="H59" s="47"/>
      <c r="I59" s="365"/>
      <c r="J59" s="44" t="s">
        <v>51</v>
      </c>
      <c r="K59" s="45"/>
      <c r="L59" s="45"/>
      <c r="M59" s="45"/>
      <c r="N59" s="46" t="s">
        <v>52</v>
      </c>
      <c r="O59" s="45"/>
      <c r="P59" s="47"/>
      <c r="Q59" s="365"/>
      <c r="R59" s="31"/>
    </row>
    <row r="60" spans="2:18" ht="13.5" hidden="1">
      <c r="B60" s="21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22"/>
    </row>
    <row r="61" spans="2:18" s="1" customFormat="1" ht="15" hidden="1">
      <c r="B61" s="30"/>
      <c r="C61" s="365"/>
      <c r="D61" s="39" t="s">
        <v>53</v>
      </c>
      <c r="E61" s="40"/>
      <c r="F61" s="40"/>
      <c r="G61" s="40"/>
      <c r="H61" s="41"/>
      <c r="I61" s="365"/>
      <c r="J61" s="39" t="s">
        <v>54</v>
      </c>
      <c r="K61" s="40"/>
      <c r="L61" s="40"/>
      <c r="M61" s="40"/>
      <c r="N61" s="40"/>
      <c r="O61" s="40"/>
      <c r="P61" s="41"/>
      <c r="Q61" s="365"/>
      <c r="R61" s="31"/>
    </row>
    <row r="62" spans="2:18" ht="13.5" hidden="1">
      <c r="B62" s="21"/>
      <c r="C62" s="360"/>
      <c r="D62" s="42"/>
      <c r="E62" s="360"/>
      <c r="F62" s="360"/>
      <c r="G62" s="360"/>
      <c r="H62" s="43"/>
      <c r="I62" s="360"/>
      <c r="J62" s="42"/>
      <c r="K62" s="360"/>
      <c r="L62" s="360"/>
      <c r="M62" s="360"/>
      <c r="N62" s="360"/>
      <c r="O62" s="360"/>
      <c r="P62" s="43"/>
      <c r="Q62" s="360"/>
      <c r="R62" s="22"/>
    </row>
    <row r="63" spans="2:18" ht="13.5" hidden="1">
      <c r="B63" s="21"/>
      <c r="C63" s="360"/>
      <c r="D63" s="42"/>
      <c r="E63" s="360"/>
      <c r="F63" s="360"/>
      <c r="G63" s="360"/>
      <c r="H63" s="43"/>
      <c r="I63" s="360"/>
      <c r="J63" s="42"/>
      <c r="K63" s="360"/>
      <c r="L63" s="360"/>
      <c r="M63" s="360"/>
      <c r="N63" s="360"/>
      <c r="O63" s="360"/>
      <c r="P63" s="43"/>
      <c r="Q63" s="360"/>
      <c r="R63" s="22"/>
    </row>
    <row r="64" spans="2:18" ht="13.5" hidden="1">
      <c r="B64" s="21"/>
      <c r="C64" s="360"/>
      <c r="D64" s="42"/>
      <c r="E64" s="360"/>
      <c r="F64" s="360"/>
      <c r="G64" s="360"/>
      <c r="H64" s="43"/>
      <c r="I64" s="360"/>
      <c r="J64" s="42"/>
      <c r="K64" s="360"/>
      <c r="L64" s="360"/>
      <c r="M64" s="360"/>
      <c r="N64" s="360"/>
      <c r="O64" s="360"/>
      <c r="P64" s="43"/>
      <c r="Q64" s="360"/>
      <c r="R64" s="22"/>
    </row>
    <row r="65" spans="2:18" ht="13.5" hidden="1">
      <c r="B65" s="21"/>
      <c r="C65" s="360"/>
      <c r="D65" s="42"/>
      <c r="E65" s="360"/>
      <c r="F65" s="360"/>
      <c r="G65" s="360"/>
      <c r="H65" s="43"/>
      <c r="I65" s="360"/>
      <c r="J65" s="42"/>
      <c r="K65" s="360"/>
      <c r="L65" s="360"/>
      <c r="M65" s="360"/>
      <c r="N65" s="360"/>
      <c r="O65" s="360"/>
      <c r="P65" s="43"/>
      <c r="Q65" s="360"/>
      <c r="R65" s="22"/>
    </row>
    <row r="66" spans="2:18" ht="13.5" hidden="1">
      <c r="B66" s="21"/>
      <c r="C66" s="360"/>
      <c r="D66" s="42"/>
      <c r="E66" s="360"/>
      <c r="F66" s="360"/>
      <c r="G66" s="360"/>
      <c r="H66" s="43"/>
      <c r="I66" s="360"/>
      <c r="J66" s="42"/>
      <c r="K66" s="360"/>
      <c r="L66" s="360"/>
      <c r="M66" s="360"/>
      <c r="N66" s="360"/>
      <c r="O66" s="360"/>
      <c r="P66" s="43"/>
      <c r="Q66" s="360"/>
      <c r="R66" s="22"/>
    </row>
    <row r="67" spans="2:18" ht="13.5" hidden="1">
      <c r="B67" s="21"/>
      <c r="C67" s="360"/>
      <c r="D67" s="42"/>
      <c r="E67" s="360"/>
      <c r="F67" s="360"/>
      <c r="G67" s="360"/>
      <c r="H67" s="43"/>
      <c r="I67" s="360"/>
      <c r="J67" s="42"/>
      <c r="K67" s="360"/>
      <c r="L67" s="360"/>
      <c r="M67" s="360"/>
      <c r="N67" s="360"/>
      <c r="O67" s="360"/>
      <c r="P67" s="43"/>
      <c r="Q67" s="360"/>
      <c r="R67" s="22"/>
    </row>
    <row r="68" spans="2:18" ht="13.5" hidden="1">
      <c r="B68" s="21"/>
      <c r="C68" s="360"/>
      <c r="D68" s="42"/>
      <c r="E68" s="360"/>
      <c r="F68" s="360"/>
      <c r="G68" s="360"/>
      <c r="H68" s="43"/>
      <c r="I68" s="360"/>
      <c r="J68" s="42"/>
      <c r="K68" s="360"/>
      <c r="L68" s="360"/>
      <c r="M68" s="360"/>
      <c r="N68" s="360"/>
      <c r="O68" s="360"/>
      <c r="P68" s="43"/>
      <c r="Q68" s="360"/>
      <c r="R68" s="22"/>
    </row>
    <row r="69" spans="2:18" ht="13.5" hidden="1">
      <c r="B69" s="21"/>
      <c r="C69" s="360"/>
      <c r="D69" s="42"/>
      <c r="E69" s="360"/>
      <c r="F69" s="360"/>
      <c r="G69" s="360"/>
      <c r="H69" s="43"/>
      <c r="I69" s="360"/>
      <c r="J69" s="42"/>
      <c r="K69" s="360"/>
      <c r="L69" s="360"/>
      <c r="M69" s="360"/>
      <c r="N69" s="360"/>
      <c r="O69" s="360"/>
      <c r="P69" s="43"/>
      <c r="Q69" s="360"/>
      <c r="R69" s="22"/>
    </row>
    <row r="70" spans="2:18" s="1" customFormat="1" ht="15" hidden="1">
      <c r="B70" s="30"/>
      <c r="C70" s="365"/>
      <c r="D70" s="44" t="s">
        <v>51</v>
      </c>
      <c r="E70" s="45"/>
      <c r="F70" s="45"/>
      <c r="G70" s="46" t="s">
        <v>52</v>
      </c>
      <c r="H70" s="47"/>
      <c r="I70" s="365"/>
      <c r="J70" s="44" t="s">
        <v>51</v>
      </c>
      <c r="K70" s="45"/>
      <c r="L70" s="45"/>
      <c r="M70" s="45"/>
      <c r="N70" s="46" t="s">
        <v>52</v>
      </c>
      <c r="O70" s="45"/>
      <c r="P70" s="47"/>
      <c r="Q70" s="365"/>
      <c r="R70" s="31"/>
    </row>
    <row r="71" spans="2:18" s="1" customFormat="1" ht="13.5" hidden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ht="13.5" hidden="1"/>
    <row r="73" ht="13.5" hidden="1"/>
    <row r="75" spans="2:18" s="1" customFormat="1" ht="13.5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</row>
    <row r="76" spans="2:21" s="1" customFormat="1" ht="21">
      <c r="B76" s="30"/>
      <c r="C76" s="408" t="s">
        <v>98</v>
      </c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31"/>
      <c r="T76" s="107"/>
      <c r="U76" s="107"/>
    </row>
    <row r="77" spans="2:21" s="1" customFormat="1" ht="13.5">
      <c r="B77" s="30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1"/>
      <c r="T77" s="107"/>
      <c r="U77" s="107"/>
    </row>
    <row r="78" spans="2:21" s="1" customFormat="1" ht="18">
      <c r="B78" s="30"/>
      <c r="C78" s="57" t="s">
        <v>18</v>
      </c>
      <c r="D78" s="365"/>
      <c r="E78" s="365"/>
      <c r="F78" s="393" t="str">
        <f>F6</f>
        <v>Volnočasový areál Sladovka-sociální zařízení a parkoviště</v>
      </c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365"/>
      <c r="R78" s="31"/>
      <c r="T78" s="107"/>
      <c r="U78" s="107"/>
    </row>
    <row r="79" spans="2:21" s="1" customFormat="1" ht="13.5">
      <c r="B79" s="30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1"/>
      <c r="T79" s="107"/>
      <c r="U79" s="107"/>
    </row>
    <row r="80" spans="2:21" s="1" customFormat="1" ht="15">
      <c r="B80" s="30"/>
      <c r="C80" s="27" t="s">
        <v>22</v>
      </c>
      <c r="D80" s="365"/>
      <c r="E80" s="365"/>
      <c r="F80" s="359" t="str">
        <f>F8</f>
        <v>Benešov</v>
      </c>
      <c r="G80" s="365"/>
      <c r="H80" s="365"/>
      <c r="I80" s="365"/>
      <c r="J80" s="365"/>
      <c r="K80" s="27" t="s">
        <v>24</v>
      </c>
      <c r="L80" s="365"/>
      <c r="M80" s="435">
        <v>44094</v>
      </c>
      <c r="N80" s="435"/>
      <c r="O80" s="435"/>
      <c r="P80" s="435"/>
      <c r="Q80" s="365"/>
      <c r="R80" s="31"/>
      <c r="T80" s="107"/>
      <c r="U80" s="107"/>
    </row>
    <row r="81" spans="2:21" s="1" customFormat="1" ht="13.5">
      <c r="B81" s="30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1"/>
      <c r="T81" s="107"/>
      <c r="U81" s="107"/>
    </row>
    <row r="82" spans="2:21" s="1" customFormat="1" ht="15">
      <c r="B82" s="30"/>
      <c r="C82" s="27" t="s">
        <v>25</v>
      </c>
      <c r="D82" s="365"/>
      <c r="E82" s="365"/>
      <c r="F82" s="359" t="str">
        <f>E11</f>
        <v>Město Benešov,Masarykovo nám.100,256 01 Benešov</v>
      </c>
      <c r="G82" s="365"/>
      <c r="H82" s="365"/>
      <c r="I82" s="365"/>
      <c r="J82" s="365"/>
      <c r="K82" s="27" t="s">
        <v>30</v>
      </c>
      <c r="L82" s="365"/>
      <c r="M82" s="418" t="s">
        <v>34</v>
      </c>
      <c r="N82" s="418"/>
      <c r="O82" s="418"/>
      <c r="P82" s="418"/>
      <c r="Q82" s="418"/>
      <c r="R82" s="31"/>
      <c r="T82" s="107"/>
      <c r="U82" s="107"/>
    </row>
    <row r="83" spans="2:21" s="1" customFormat="1" ht="15">
      <c r="B83" s="30"/>
      <c r="C83" s="27" t="s">
        <v>29</v>
      </c>
      <c r="D83" s="365"/>
      <c r="E83" s="365"/>
      <c r="F83" s="359" t="str">
        <f>IF(E14="","",E14)</f>
        <v xml:space="preserve"> </v>
      </c>
      <c r="G83" s="365"/>
      <c r="H83" s="365"/>
      <c r="I83" s="365"/>
      <c r="J83" s="365"/>
      <c r="K83" s="27" t="s">
        <v>33</v>
      </c>
      <c r="L83" s="365"/>
      <c r="M83" s="418" t="s">
        <v>34</v>
      </c>
      <c r="N83" s="418"/>
      <c r="O83" s="418"/>
      <c r="P83" s="418"/>
      <c r="Q83" s="418"/>
      <c r="R83" s="31"/>
      <c r="T83" s="107"/>
      <c r="U83" s="107"/>
    </row>
    <row r="84" spans="2:21" s="1" customFormat="1" ht="13.5">
      <c r="B84" s="30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1"/>
      <c r="T84" s="107"/>
      <c r="U84" s="107"/>
    </row>
    <row r="85" spans="2:21" s="1" customFormat="1" ht="15">
      <c r="B85" s="30"/>
      <c r="C85" s="436" t="s">
        <v>99</v>
      </c>
      <c r="D85" s="437"/>
      <c r="E85" s="437"/>
      <c r="F85" s="437"/>
      <c r="G85" s="437"/>
      <c r="H85" s="369"/>
      <c r="I85" s="369"/>
      <c r="J85" s="369"/>
      <c r="K85" s="369"/>
      <c r="L85" s="369"/>
      <c r="M85" s="369"/>
      <c r="N85" s="436" t="s">
        <v>100</v>
      </c>
      <c r="O85" s="437"/>
      <c r="P85" s="437"/>
      <c r="Q85" s="437"/>
      <c r="R85" s="31"/>
      <c r="T85" s="107"/>
      <c r="U85" s="107"/>
    </row>
    <row r="86" spans="2:21" s="1" customFormat="1" ht="13.5">
      <c r="B86" s="30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1"/>
      <c r="T86" s="107"/>
      <c r="U86" s="107"/>
    </row>
    <row r="87" spans="2:45" s="1" customFormat="1" ht="18">
      <c r="B87" s="30"/>
      <c r="C87" s="108" t="s">
        <v>101</v>
      </c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79">
        <f>SUM(N98+N88)</f>
        <v>0</v>
      </c>
      <c r="O87" s="449"/>
      <c r="P87" s="449"/>
      <c r="Q87" s="449"/>
      <c r="R87" s="31"/>
      <c r="T87" s="107"/>
      <c r="U87" s="107"/>
      <c r="AS87" s="17" t="s">
        <v>102</v>
      </c>
    </row>
    <row r="88" spans="2:21" s="6" customFormat="1" ht="18">
      <c r="B88" s="109"/>
      <c r="C88" s="367"/>
      <c r="D88" s="110" t="s">
        <v>103</v>
      </c>
      <c r="E88" s="367"/>
      <c r="F88" s="367"/>
      <c r="G88" s="367"/>
      <c r="H88" s="367"/>
      <c r="I88" s="367"/>
      <c r="J88" s="367"/>
      <c r="K88" s="367"/>
      <c r="L88" s="367"/>
      <c r="M88" s="367"/>
      <c r="N88" s="447">
        <f>N129</f>
        <v>0</v>
      </c>
      <c r="O88" s="448"/>
      <c r="P88" s="448"/>
      <c r="Q88" s="448"/>
      <c r="R88" s="111"/>
      <c r="T88" s="112"/>
      <c r="U88" s="112"/>
    </row>
    <row r="89" spans="2:21" s="7" customFormat="1" ht="15">
      <c r="B89" s="113"/>
      <c r="C89" s="368"/>
      <c r="D89" s="363" t="s">
        <v>104</v>
      </c>
      <c r="E89" s="368"/>
      <c r="F89" s="368"/>
      <c r="G89" s="368"/>
      <c r="H89" s="368"/>
      <c r="I89" s="368"/>
      <c r="J89" s="368"/>
      <c r="K89" s="368"/>
      <c r="L89" s="368"/>
      <c r="M89" s="368"/>
      <c r="N89" s="383">
        <f>N130</f>
        <v>0</v>
      </c>
      <c r="O89" s="440"/>
      <c r="P89" s="440"/>
      <c r="Q89" s="440"/>
      <c r="R89" s="114"/>
      <c r="T89" s="115"/>
      <c r="U89" s="115"/>
    </row>
    <row r="90" spans="2:21" s="7" customFormat="1" ht="15">
      <c r="B90" s="113"/>
      <c r="C90" s="368"/>
      <c r="D90" s="363" t="s">
        <v>105</v>
      </c>
      <c r="E90" s="368"/>
      <c r="F90" s="368"/>
      <c r="G90" s="368"/>
      <c r="H90" s="368"/>
      <c r="I90" s="368"/>
      <c r="J90" s="368"/>
      <c r="K90" s="368"/>
      <c r="L90" s="368"/>
      <c r="M90" s="368"/>
      <c r="N90" s="383">
        <f>N139</f>
        <v>0</v>
      </c>
      <c r="O90" s="440"/>
      <c r="P90" s="440"/>
      <c r="Q90" s="440"/>
      <c r="R90" s="114"/>
      <c r="T90" s="115"/>
      <c r="U90" s="115"/>
    </row>
    <row r="91" spans="2:21" s="7" customFormat="1" ht="15">
      <c r="B91" s="113"/>
      <c r="C91" s="368"/>
      <c r="D91" s="363" t="s">
        <v>106</v>
      </c>
      <c r="E91" s="368"/>
      <c r="F91" s="368"/>
      <c r="G91" s="368"/>
      <c r="H91" s="368"/>
      <c r="I91" s="368"/>
      <c r="J91" s="368"/>
      <c r="K91" s="368"/>
      <c r="L91" s="368"/>
      <c r="M91" s="368"/>
      <c r="N91" s="383">
        <f>N144</f>
        <v>0</v>
      </c>
      <c r="O91" s="440"/>
      <c r="P91" s="440"/>
      <c r="Q91" s="440"/>
      <c r="R91" s="114"/>
      <c r="T91" s="115"/>
      <c r="U91" s="115"/>
    </row>
    <row r="92" spans="2:21" s="7" customFormat="1" ht="15">
      <c r="B92" s="113"/>
      <c r="C92" s="368"/>
      <c r="D92" s="363" t="s">
        <v>107</v>
      </c>
      <c r="E92" s="368"/>
      <c r="F92" s="368"/>
      <c r="G92" s="368"/>
      <c r="H92" s="368"/>
      <c r="I92" s="368"/>
      <c r="J92" s="368"/>
      <c r="K92" s="368"/>
      <c r="L92" s="368"/>
      <c r="M92" s="368"/>
      <c r="N92" s="383">
        <f>N150</f>
        <v>0</v>
      </c>
      <c r="O92" s="440"/>
      <c r="P92" s="440"/>
      <c r="Q92" s="440"/>
      <c r="R92" s="114"/>
      <c r="T92" s="115"/>
      <c r="U92" s="115"/>
    </row>
    <row r="93" spans="2:21" s="7" customFormat="1" ht="15">
      <c r="B93" s="113"/>
      <c r="C93" s="368"/>
      <c r="D93" s="363" t="s">
        <v>108</v>
      </c>
      <c r="E93" s="368"/>
      <c r="F93" s="368"/>
      <c r="G93" s="368"/>
      <c r="H93" s="368"/>
      <c r="I93" s="368"/>
      <c r="J93" s="368"/>
      <c r="K93" s="368"/>
      <c r="L93" s="368"/>
      <c r="M93" s="368"/>
      <c r="N93" s="383">
        <f>N156</f>
        <v>0</v>
      </c>
      <c r="O93" s="440"/>
      <c r="P93" s="440"/>
      <c r="Q93" s="440"/>
      <c r="R93" s="114"/>
      <c r="T93" s="115"/>
      <c r="U93" s="115"/>
    </row>
    <row r="94" spans="2:21" s="7" customFormat="1" ht="15">
      <c r="B94" s="113"/>
      <c r="C94" s="368"/>
      <c r="D94" s="363" t="s">
        <v>109</v>
      </c>
      <c r="E94" s="368"/>
      <c r="F94" s="368"/>
      <c r="G94" s="368"/>
      <c r="H94" s="368"/>
      <c r="I94" s="368"/>
      <c r="J94" s="368"/>
      <c r="K94" s="368"/>
      <c r="L94" s="368"/>
      <c r="M94" s="368"/>
      <c r="N94" s="383">
        <f>N159</f>
        <v>0</v>
      </c>
      <c r="O94" s="440"/>
      <c r="P94" s="440"/>
      <c r="Q94" s="440"/>
      <c r="R94" s="114"/>
      <c r="T94" s="115"/>
      <c r="U94" s="115"/>
    </row>
    <row r="95" spans="2:21" s="7" customFormat="1" ht="15">
      <c r="B95" s="113"/>
      <c r="C95" s="368"/>
      <c r="D95" s="363" t="s">
        <v>110</v>
      </c>
      <c r="E95" s="368"/>
      <c r="F95" s="368"/>
      <c r="G95" s="368"/>
      <c r="H95" s="368"/>
      <c r="I95" s="368"/>
      <c r="J95" s="368"/>
      <c r="K95" s="368"/>
      <c r="L95" s="368"/>
      <c r="M95" s="368"/>
      <c r="N95" s="383">
        <f>N161</f>
        <v>0</v>
      </c>
      <c r="O95" s="440"/>
      <c r="P95" s="440"/>
      <c r="Q95" s="440"/>
      <c r="R95" s="114"/>
      <c r="T95" s="115"/>
      <c r="U95" s="115"/>
    </row>
    <row r="96" spans="2:21" s="7" customFormat="1" ht="15">
      <c r="B96" s="113"/>
      <c r="C96" s="368"/>
      <c r="D96" s="363" t="s">
        <v>111</v>
      </c>
      <c r="E96" s="368"/>
      <c r="F96" s="368"/>
      <c r="G96" s="368"/>
      <c r="H96" s="368"/>
      <c r="I96" s="368"/>
      <c r="J96" s="368"/>
      <c r="K96" s="368"/>
      <c r="L96" s="368"/>
      <c r="M96" s="368"/>
      <c r="N96" s="383">
        <f>N167</f>
        <v>0</v>
      </c>
      <c r="O96" s="440"/>
      <c r="P96" s="440"/>
      <c r="Q96" s="440"/>
      <c r="R96" s="114"/>
      <c r="T96" s="115"/>
      <c r="U96" s="115"/>
    </row>
    <row r="97" spans="2:21" s="7" customFormat="1" ht="15">
      <c r="B97" s="113"/>
      <c r="C97" s="368"/>
      <c r="D97" s="363" t="s">
        <v>112</v>
      </c>
      <c r="E97" s="368"/>
      <c r="F97" s="368"/>
      <c r="G97" s="368"/>
      <c r="H97" s="368"/>
      <c r="I97" s="368"/>
      <c r="J97" s="368"/>
      <c r="K97" s="368"/>
      <c r="L97" s="368"/>
      <c r="M97" s="368"/>
      <c r="N97" s="383">
        <f>N172</f>
        <v>0</v>
      </c>
      <c r="O97" s="440"/>
      <c r="P97" s="440"/>
      <c r="Q97" s="440"/>
      <c r="R97" s="114"/>
      <c r="T97" s="115"/>
      <c r="U97" s="115"/>
    </row>
    <row r="98" spans="2:21" s="6" customFormat="1" ht="18">
      <c r="B98" s="109"/>
      <c r="C98" s="367"/>
      <c r="D98" s="110" t="s">
        <v>113</v>
      </c>
      <c r="E98" s="367"/>
      <c r="F98" s="367"/>
      <c r="G98" s="367"/>
      <c r="H98" s="367"/>
      <c r="I98" s="367"/>
      <c r="J98" s="367"/>
      <c r="K98" s="367"/>
      <c r="L98" s="367"/>
      <c r="M98" s="367"/>
      <c r="N98" s="447">
        <f>SUM(N99:Q103)</f>
        <v>0</v>
      </c>
      <c r="O98" s="448"/>
      <c r="P98" s="448"/>
      <c r="Q98" s="448"/>
      <c r="R98" s="111"/>
      <c r="T98" s="112"/>
      <c r="U98" s="112"/>
    </row>
    <row r="99" spans="2:21" s="7" customFormat="1" ht="15">
      <c r="B99" s="113"/>
      <c r="C99" s="368"/>
      <c r="D99" s="363" t="s">
        <v>114</v>
      </c>
      <c r="E99" s="368"/>
      <c r="F99" s="368"/>
      <c r="G99" s="368"/>
      <c r="H99" s="368"/>
      <c r="I99" s="368"/>
      <c r="J99" s="368"/>
      <c r="K99" s="368"/>
      <c r="L99" s="368"/>
      <c r="M99" s="368"/>
      <c r="N99" s="383">
        <f>N175</f>
        <v>0</v>
      </c>
      <c r="O99" s="440"/>
      <c r="P99" s="440"/>
      <c r="Q99" s="440"/>
      <c r="R99" s="114"/>
      <c r="T99" s="115"/>
      <c r="U99" s="115"/>
    </row>
    <row r="100" spans="2:21" s="7" customFormat="1" ht="15">
      <c r="B100" s="113"/>
      <c r="C100" s="368"/>
      <c r="D100" s="363" t="s">
        <v>115</v>
      </c>
      <c r="E100" s="368"/>
      <c r="F100" s="368"/>
      <c r="G100" s="368"/>
      <c r="H100" s="368"/>
      <c r="I100" s="368"/>
      <c r="J100" s="368"/>
      <c r="K100" s="368"/>
      <c r="L100" s="368"/>
      <c r="M100" s="368"/>
      <c r="N100" s="383">
        <f>N177</f>
        <v>0</v>
      </c>
      <c r="O100" s="440"/>
      <c r="P100" s="440"/>
      <c r="Q100" s="440"/>
      <c r="R100" s="114"/>
      <c r="T100" s="115"/>
      <c r="U100" s="115"/>
    </row>
    <row r="101" spans="2:21" s="7" customFormat="1" ht="15">
      <c r="B101" s="113"/>
      <c r="C101" s="368"/>
      <c r="D101" s="363" t="s">
        <v>116</v>
      </c>
      <c r="E101" s="368"/>
      <c r="F101" s="368"/>
      <c r="G101" s="368"/>
      <c r="H101" s="368"/>
      <c r="I101" s="368"/>
      <c r="J101" s="368"/>
      <c r="K101" s="368"/>
      <c r="L101" s="368"/>
      <c r="M101" s="368"/>
      <c r="N101" s="383">
        <f>N182</f>
        <v>0</v>
      </c>
      <c r="O101" s="440"/>
      <c r="P101" s="440"/>
      <c r="Q101" s="440"/>
      <c r="R101" s="114"/>
      <c r="T101" s="115"/>
      <c r="U101" s="115"/>
    </row>
    <row r="102" spans="2:21" s="7" customFormat="1" ht="15">
      <c r="B102" s="113"/>
      <c r="C102" s="368"/>
      <c r="D102" s="363" t="s">
        <v>117</v>
      </c>
      <c r="E102" s="368"/>
      <c r="F102" s="368"/>
      <c r="G102" s="368"/>
      <c r="H102" s="368"/>
      <c r="I102" s="368"/>
      <c r="J102" s="368"/>
      <c r="K102" s="368"/>
      <c r="L102" s="368"/>
      <c r="M102" s="368"/>
      <c r="N102" s="383">
        <f>N193</f>
        <v>0</v>
      </c>
      <c r="O102" s="440"/>
      <c r="P102" s="440"/>
      <c r="Q102" s="440"/>
      <c r="R102" s="114"/>
      <c r="T102" s="115"/>
      <c r="U102" s="115"/>
    </row>
    <row r="103" spans="2:21" s="7" customFormat="1" ht="15">
      <c r="B103" s="113"/>
      <c r="C103" s="368"/>
      <c r="D103" s="363" t="s">
        <v>118</v>
      </c>
      <c r="E103" s="368"/>
      <c r="F103" s="368"/>
      <c r="G103" s="368"/>
      <c r="H103" s="368"/>
      <c r="I103" s="368"/>
      <c r="J103" s="368"/>
      <c r="K103" s="368"/>
      <c r="L103" s="368"/>
      <c r="M103" s="368"/>
      <c r="N103" s="383">
        <f>N195</f>
        <v>0</v>
      </c>
      <c r="O103" s="440"/>
      <c r="P103" s="440"/>
      <c r="Q103" s="440"/>
      <c r="R103" s="114"/>
      <c r="T103" s="115"/>
      <c r="U103" s="115"/>
    </row>
    <row r="104" spans="2:21" s="1" customFormat="1" ht="13.5">
      <c r="B104" s="30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1"/>
      <c r="T104" s="107"/>
      <c r="U104" s="107"/>
    </row>
    <row r="105" spans="2:21" s="1" customFormat="1" ht="18">
      <c r="B105" s="30"/>
      <c r="C105" s="108" t="s">
        <v>119</v>
      </c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450">
        <f>SUM(N106:Q110)</f>
        <v>0</v>
      </c>
      <c r="O105" s="451"/>
      <c r="P105" s="451"/>
      <c r="Q105" s="451"/>
      <c r="R105" s="31"/>
      <c r="T105" s="116"/>
      <c r="U105" s="117" t="s">
        <v>39</v>
      </c>
    </row>
    <row r="106" spans="2:63" s="1" customFormat="1" ht="15">
      <c r="B106" s="30"/>
      <c r="C106" s="365"/>
      <c r="D106" s="452" t="s">
        <v>120</v>
      </c>
      <c r="E106" s="381"/>
      <c r="F106" s="381"/>
      <c r="G106" s="381"/>
      <c r="H106" s="381"/>
      <c r="I106" s="365"/>
      <c r="J106" s="365"/>
      <c r="K106" s="365"/>
      <c r="L106" s="365"/>
      <c r="M106" s="365"/>
      <c r="N106" s="386">
        <f>SUM(N87*0.03)</f>
        <v>0</v>
      </c>
      <c r="O106" s="383"/>
      <c r="P106" s="383"/>
      <c r="Q106" s="383"/>
      <c r="R106" s="31"/>
      <c r="S106" s="118"/>
      <c r="T106" s="119"/>
      <c r="U106" s="120" t="s">
        <v>40</v>
      </c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2" t="s">
        <v>121</v>
      </c>
      <c r="AX106" s="121"/>
      <c r="AY106" s="121"/>
      <c r="AZ106" s="121"/>
      <c r="BA106" s="121"/>
      <c r="BB106" s="121"/>
      <c r="BC106" s="123">
        <f aca="true" t="shared" si="0" ref="BC106:BC110">IF(U106="základní",N106,0)</f>
        <v>0</v>
      </c>
      <c r="BD106" s="123">
        <f aca="true" t="shared" si="1" ref="BD106:BD110">IF(U106="snížená",N106,0)</f>
        <v>0</v>
      </c>
      <c r="BE106" s="123">
        <f aca="true" t="shared" si="2" ref="BE106:BE110">IF(U106="zákl. přenesená",N106,0)</f>
        <v>0</v>
      </c>
      <c r="BF106" s="123">
        <f aca="true" t="shared" si="3" ref="BF106:BF110">IF(U106="sníž. přenesená",N106,0)</f>
        <v>0</v>
      </c>
      <c r="BG106" s="123">
        <f aca="true" t="shared" si="4" ref="BG106:BG110">IF(U106="nulová",N106,0)</f>
        <v>0</v>
      </c>
      <c r="BH106" s="122" t="s">
        <v>80</v>
      </c>
      <c r="BI106" s="121"/>
      <c r="BJ106" s="121"/>
      <c r="BK106" s="121"/>
    </row>
    <row r="107" spans="2:63" s="1" customFormat="1" ht="15">
      <c r="B107" s="30"/>
      <c r="C107" s="365"/>
      <c r="D107" s="452" t="s">
        <v>122</v>
      </c>
      <c r="E107" s="381"/>
      <c r="F107" s="381"/>
      <c r="G107" s="381"/>
      <c r="H107" s="381"/>
      <c r="I107" s="365"/>
      <c r="J107" s="365"/>
      <c r="K107" s="365"/>
      <c r="L107" s="365"/>
      <c r="M107" s="365"/>
      <c r="N107" s="386">
        <f>SUM(N87*0.01)</f>
        <v>0</v>
      </c>
      <c r="O107" s="383"/>
      <c r="P107" s="383"/>
      <c r="Q107" s="383"/>
      <c r="R107" s="31"/>
      <c r="S107" s="118"/>
      <c r="T107" s="119"/>
      <c r="U107" s="120" t="s">
        <v>40</v>
      </c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2" t="s">
        <v>121</v>
      </c>
      <c r="AX107" s="121"/>
      <c r="AY107" s="121"/>
      <c r="AZ107" s="121"/>
      <c r="BA107" s="121"/>
      <c r="BB107" s="121"/>
      <c r="BC107" s="123">
        <f t="shared" si="0"/>
        <v>0</v>
      </c>
      <c r="BD107" s="123">
        <f t="shared" si="1"/>
        <v>0</v>
      </c>
      <c r="BE107" s="123">
        <f t="shared" si="2"/>
        <v>0</v>
      </c>
      <c r="BF107" s="123">
        <f t="shared" si="3"/>
        <v>0</v>
      </c>
      <c r="BG107" s="123">
        <f t="shared" si="4"/>
        <v>0</v>
      </c>
      <c r="BH107" s="122" t="s">
        <v>80</v>
      </c>
      <c r="BI107" s="121"/>
      <c r="BJ107" s="121"/>
      <c r="BK107" s="121"/>
    </row>
    <row r="108" spans="2:63" s="1" customFormat="1" ht="15">
      <c r="B108" s="30"/>
      <c r="C108" s="365"/>
      <c r="D108" s="452" t="s">
        <v>123</v>
      </c>
      <c r="E108" s="381"/>
      <c r="F108" s="381"/>
      <c r="G108" s="381"/>
      <c r="H108" s="381"/>
      <c r="I108" s="365"/>
      <c r="J108" s="365"/>
      <c r="K108" s="365"/>
      <c r="L108" s="365"/>
      <c r="M108" s="365"/>
      <c r="N108" s="386">
        <f>SUM(N87*0.008)</f>
        <v>0</v>
      </c>
      <c r="O108" s="383"/>
      <c r="P108" s="383"/>
      <c r="Q108" s="383"/>
      <c r="R108" s="31"/>
      <c r="S108" s="118"/>
      <c r="T108" s="119"/>
      <c r="U108" s="120" t="s">
        <v>40</v>
      </c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2" t="s">
        <v>121</v>
      </c>
      <c r="AX108" s="121"/>
      <c r="AY108" s="121"/>
      <c r="AZ108" s="121"/>
      <c r="BA108" s="121"/>
      <c r="BB108" s="121"/>
      <c r="BC108" s="123">
        <f t="shared" si="0"/>
        <v>0</v>
      </c>
      <c r="BD108" s="123">
        <f t="shared" si="1"/>
        <v>0</v>
      </c>
      <c r="BE108" s="123">
        <f t="shared" si="2"/>
        <v>0</v>
      </c>
      <c r="BF108" s="123">
        <f t="shared" si="3"/>
        <v>0</v>
      </c>
      <c r="BG108" s="123">
        <f t="shared" si="4"/>
        <v>0</v>
      </c>
      <c r="BH108" s="122" t="s">
        <v>80</v>
      </c>
      <c r="BI108" s="121"/>
      <c r="BJ108" s="121"/>
      <c r="BK108" s="121"/>
    </row>
    <row r="109" spans="2:63" s="1" customFormat="1" ht="15">
      <c r="B109" s="30"/>
      <c r="C109" s="365"/>
      <c r="D109" s="452" t="s">
        <v>124</v>
      </c>
      <c r="E109" s="381"/>
      <c r="F109" s="381"/>
      <c r="G109" s="381"/>
      <c r="H109" s="381"/>
      <c r="I109" s="365"/>
      <c r="J109" s="365"/>
      <c r="K109" s="365"/>
      <c r="L109" s="365"/>
      <c r="M109" s="365"/>
      <c r="N109" s="386">
        <f>SUM(N87*0.007)</f>
        <v>0</v>
      </c>
      <c r="O109" s="383"/>
      <c r="P109" s="383"/>
      <c r="Q109" s="383"/>
      <c r="R109" s="31"/>
      <c r="S109" s="118"/>
      <c r="T109" s="119"/>
      <c r="U109" s="120" t="s">
        <v>40</v>
      </c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2" t="s">
        <v>121</v>
      </c>
      <c r="AX109" s="121"/>
      <c r="AY109" s="121"/>
      <c r="AZ109" s="121"/>
      <c r="BA109" s="121"/>
      <c r="BB109" s="121"/>
      <c r="BC109" s="123">
        <f t="shared" si="0"/>
        <v>0</v>
      </c>
      <c r="BD109" s="123">
        <f t="shared" si="1"/>
        <v>0</v>
      </c>
      <c r="BE109" s="123">
        <f t="shared" si="2"/>
        <v>0</v>
      </c>
      <c r="BF109" s="123">
        <f t="shared" si="3"/>
        <v>0</v>
      </c>
      <c r="BG109" s="123">
        <f t="shared" si="4"/>
        <v>0</v>
      </c>
      <c r="BH109" s="122" t="s">
        <v>80</v>
      </c>
      <c r="BI109" s="121"/>
      <c r="BJ109" s="121"/>
      <c r="BK109" s="121"/>
    </row>
    <row r="110" spans="2:63" s="1" customFormat="1" ht="15">
      <c r="B110" s="30"/>
      <c r="C110" s="365"/>
      <c r="D110" s="363" t="s">
        <v>125</v>
      </c>
      <c r="E110" s="365"/>
      <c r="F110" s="365"/>
      <c r="G110" s="365"/>
      <c r="H110" s="365"/>
      <c r="I110" s="365"/>
      <c r="J110" s="365"/>
      <c r="K110" s="365"/>
      <c r="L110" s="365"/>
      <c r="M110" s="365"/>
      <c r="N110" s="386">
        <f>SUM(N87*0.005)</f>
        <v>0</v>
      </c>
      <c r="O110" s="383"/>
      <c r="P110" s="383"/>
      <c r="Q110" s="383"/>
      <c r="R110" s="31"/>
      <c r="S110" s="118"/>
      <c r="T110" s="124"/>
      <c r="U110" s="125" t="s">
        <v>40</v>
      </c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2" t="s">
        <v>126</v>
      </c>
      <c r="AX110" s="121"/>
      <c r="AY110" s="121"/>
      <c r="AZ110" s="121"/>
      <c r="BA110" s="121"/>
      <c r="BB110" s="121"/>
      <c r="BC110" s="123">
        <f t="shared" si="0"/>
        <v>0</v>
      </c>
      <c r="BD110" s="123">
        <f t="shared" si="1"/>
        <v>0</v>
      </c>
      <c r="BE110" s="123">
        <f t="shared" si="2"/>
        <v>0</v>
      </c>
      <c r="BF110" s="123">
        <f t="shared" si="3"/>
        <v>0</v>
      </c>
      <c r="BG110" s="123">
        <f t="shared" si="4"/>
        <v>0</v>
      </c>
      <c r="BH110" s="122" t="s">
        <v>80</v>
      </c>
      <c r="BI110" s="121"/>
      <c r="BJ110" s="121"/>
      <c r="BK110" s="121"/>
    </row>
    <row r="111" spans="2:21" s="1" customFormat="1" ht="13.5">
      <c r="B111" s="30"/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1"/>
      <c r="T111" s="107"/>
      <c r="U111" s="107"/>
    </row>
    <row r="112" spans="2:21" s="1" customFormat="1" ht="18">
      <c r="B112" s="30"/>
      <c r="C112" s="96" t="s">
        <v>89</v>
      </c>
      <c r="D112" s="369"/>
      <c r="E112" s="369"/>
      <c r="F112" s="369"/>
      <c r="G112" s="369"/>
      <c r="H112" s="369"/>
      <c r="I112" s="369"/>
      <c r="J112" s="369"/>
      <c r="K112" s="369"/>
      <c r="L112" s="384">
        <f>ROUND(SUM(N87+N105),2)</f>
        <v>0</v>
      </c>
      <c r="M112" s="384"/>
      <c r="N112" s="384"/>
      <c r="O112" s="384"/>
      <c r="P112" s="384"/>
      <c r="Q112" s="384"/>
      <c r="R112" s="31"/>
      <c r="T112" s="107"/>
      <c r="U112" s="107"/>
    </row>
    <row r="113" spans="2:21" s="1" customFormat="1" ht="13.5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  <c r="T113" s="107"/>
      <c r="U113" s="107"/>
    </row>
    <row r="117" spans="2:18" s="1" customFormat="1" ht="13.5"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3"/>
    </row>
    <row r="118" spans="2:18" s="1" customFormat="1" ht="21">
      <c r="B118" s="30"/>
      <c r="C118" s="408" t="s">
        <v>127</v>
      </c>
      <c r="D118" s="434"/>
      <c r="E118" s="434"/>
      <c r="F118" s="434"/>
      <c r="G118" s="434"/>
      <c r="H118" s="434"/>
      <c r="I118" s="434"/>
      <c r="J118" s="434"/>
      <c r="K118" s="434"/>
      <c r="L118" s="434"/>
      <c r="M118" s="434"/>
      <c r="N118" s="434"/>
      <c r="O118" s="434"/>
      <c r="P118" s="434"/>
      <c r="Q118" s="434"/>
      <c r="R118" s="31"/>
    </row>
    <row r="119" spans="2:18" s="1" customFormat="1" ht="13.5">
      <c r="B119" s="30"/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1"/>
    </row>
    <row r="120" spans="2:18" s="1" customFormat="1" ht="18">
      <c r="B120" s="30"/>
      <c r="C120" s="57" t="s">
        <v>18</v>
      </c>
      <c r="D120" s="365"/>
      <c r="E120" s="365"/>
      <c r="F120" s="393" t="str">
        <f>F6</f>
        <v>Volnočasový areál Sladovka-sociální zařízení a parkoviště</v>
      </c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  <c r="Q120" s="365"/>
      <c r="R120" s="31"/>
    </row>
    <row r="121" spans="2:18" s="1" customFormat="1" ht="13.5">
      <c r="B121" s="30"/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1"/>
    </row>
    <row r="122" spans="2:18" s="1" customFormat="1" ht="15">
      <c r="B122" s="30"/>
      <c r="C122" s="27" t="s">
        <v>22</v>
      </c>
      <c r="D122" s="365"/>
      <c r="E122" s="365"/>
      <c r="F122" s="359" t="str">
        <f>F8</f>
        <v>Benešov</v>
      </c>
      <c r="G122" s="365"/>
      <c r="H122" s="365"/>
      <c r="I122" s="365"/>
      <c r="J122" s="365"/>
      <c r="K122" s="27" t="s">
        <v>24</v>
      </c>
      <c r="L122" s="365"/>
      <c r="M122" s="435">
        <v>44094</v>
      </c>
      <c r="N122" s="435"/>
      <c r="O122" s="435"/>
      <c r="P122" s="435"/>
      <c r="Q122" s="365"/>
      <c r="R122" s="31"/>
    </row>
    <row r="123" spans="2:18" s="1" customFormat="1" ht="13.5">
      <c r="B123" s="30"/>
      <c r="C123" s="365"/>
      <c r="D123" s="365"/>
      <c r="E123" s="365"/>
      <c r="F123" s="365"/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365"/>
      <c r="R123" s="31"/>
    </row>
    <row r="124" spans="2:18" s="1" customFormat="1" ht="15">
      <c r="B124" s="30"/>
      <c r="C124" s="27" t="s">
        <v>25</v>
      </c>
      <c r="D124" s="365"/>
      <c r="E124" s="365"/>
      <c r="F124" s="359" t="str">
        <f>E11</f>
        <v>Město Benešov,Masarykovo nám.100,256 01 Benešov</v>
      </c>
      <c r="G124" s="365"/>
      <c r="H124" s="365"/>
      <c r="I124" s="365"/>
      <c r="J124" s="365"/>
      <c r="K124" s="27" t="s">
        <v>30</v>
      </c>
      <c r="L124" s="365"/>
      <c r="M124" s="418" t="s">
        <v>34</v>
      </c>
      <c r="N124" s="418"/>
      <c r="O124" s="418"/>
      <c r="P124" s="418"/>
      <c r="Q124" s="418"/>
      <c r="R124" s="31"/>
    </row>
    <row r="125" spans="2:18" s="1" customFormat="1" ht="15">
      <c r="B125" s="30"/>
      <c r="C125" s="27" t="s">
        <v>29</v>
      </c>
      <c r="D125" s="365"/>
      <c r="E125" s="365"/>
      <c r="F125" s="359" t="str">
        <f>IF(E14="","",E14)</f>
        <v xml:space="preserve"> </v>
      </c>
      <c r="G125" s="365"/>
      <c r="H125" s="365"/>
      <c r="I125" s="365"/>
      <c r="J125" s="365"/>
      <c r="K125" s="27" t="s">
        <v>33</v>
      </c>
      <c r="L125" s="365"/>
      <c r="M125" s="418" t="s">
        <v>34</v>
      </c>
      <c r="N125" s="418"/>
      <c r="O125" s="418"/>
      <c r="P125" s="418"/>
      <c r="Q125" s="418"/>
      <c r="R125" s="31"/>
    </row>
    <row r="126" spans="2:18" s="1" customFormat="1" ht="13.5">
      <c r="B126" s="30"/>
      <c r="C126" s="365"/>
      <c r="D126" s="365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1"/>
    </row>
    <row r="127" spans="2:27" s="8" customFormat="1" ht="45">
      <c r="B127" s="126"/>
      <c r="C127" s="127" t="s">
        <v>128</v>
      </c>
      <c r="D127" s="366" t="s">
        <v>129</v>
      </c>
      <c r="E127" s="366" t="s">
        <v>57</v>
      </c>
      <c r="F127" s="459" t="s">
        <v>130</v>
      </c>
      <c r="G127" s="459"/>
      <c r="H127" s="459"/>
      <c r="I127" s="459"/>
      <c r="J127" s="366" t="s">
        <v>131</v>
      </c>
      <c r="K127" s="366" t="s">
        <v>132</v>
      </c>
      <c r="L127" s="460" t="s">
        <v>133</v>
      </c>
      <c r="M127" s="460"/>
      <c r="N127" s="459" t="s">
        <v>100</v>
      </c>
      <c r="O127" s="459"/>
      <c r="P127" s="459"/>
      <c r="Q127" s="461"/>
      <c r="R127" s="128"/>
      <c r="T127" s="66" t="s">
        <v>134</v>
      </c>
      <c r="U127" s="67" t="s">
        <v>39</v>
      </c>
      <c r="V127" s="67" t="s">
        <v>135</v>
      </c>
      <c r="W127" s="67" t="s">
        <v>136</v>
      </c>
      <c r="X127" s="67" t="s">
        <v>137</v>
      </c>
      <c r="Y127" s="67" t="s">
        <v>138</v>
      </c>
      <c r="Z127" s="67" t="s">
        <v>139</v>
      </c>
      <c r="AA127" s="68" t="s">
        <v>140</v>
      </c>
    </row>
    <row r="128" spans="2:61" s="1" customFormat="1" ht="18">
      <c r="B128" s="30"/>
      <c r="C128" s="70" t="s">
        <v>97</v>
      </c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462">
        <f>SUM(N129+N174)</f>
        <v>0</v>
      </c>
      <c r="O128" s="463"/>
      <c r="P128" s="463"/>
      <c r="Q128" s="463"/>
      <c r="R128" s="31"/>
      <c r="T128" s="69"/>
      <c r="U128" s="40"/>
      <c r="V128" s="40"/>
      <c r="W128" s="129" t="e">
        <f>W129+W174+#REF!</f>
        <v>#REF!</v>
      </c>
      <c r="X128" s="40"/>
      <c r="Y128" s="129" t="e">
        <f>Y129+Y174+#REF!</f>
        <v>#REF!</v>
      </c>
      <c r="Z128" s="40"/>
      <c r="AA128" s="130" t="e">
        <f>AA129+AA174+#REF!</f>
        <v>#REF!</v>
      </c>
      <c r="AR128" s="17" t="s">
        <v>74</v>
      </c>
      <c r="AS128" s="17" t="s">
        <v>102</v>
      </c>
      <c r="BI128" s="131" t="e">
        <f>BI129+BI174+#REF!</f>
        <v>#REF!</v>
      </c>
    </row>
    <row r="129" spans="2:61" s="9" customFormat="1" ht="18">
      <c r="B129" s="132"/>
      <c r="C129" s="133"/>
      <c r="D129" s="134" t="s">
        <v>103</v>
      </c>
      <c r="E129" s="134"/>
      <c r="F129" s="134"/>
      <c r="G129" s="134"/>
      <c r="H129" s="134"/>
      <c r="I129" s="134"/>
      <c r="J129" s="134"/>
      <c r="K129" s="134"/>
      <c r="L129" s="134"/>
      <c r="M129" s="134"/>
      <c r="N129" s="464">
        <f>SUM(N130+N139+N144+N150+N156+N159+N161+N167+N172)</f>
        <v>0</v>
      </c>
      <c r="O129" s="447"/>
      <c r="P129" s="447"/>
      <c r="Q129" s="447"/>
      <c r="R129" s="135"/>
      <c r="T129" s="136"/>
      <c r="U129" s="133"/>
      <c r="V129" s="133"/>
      <c r="W129" s="137">
        <f>W130+W139+W144+W150+W156+W159+W161+W167+W172</f>
        <v>0</v>
      </c>
      <c r="X129" s="133"/>
      <c r="Y129" s="137">
        <f>Y130+Y139+Y144+Y150+Y156+Y159+Y161+Y167+Y172</f>
        <v>207.56495310999998</v>
      </c>
      <c r="Z129" s="133"/>
      <c r="AA129" s="138">
        <f>AA130+AA139+AA144+AA150+AA156+AA159+AA161+AA167+AA172</f>
        <v>125.84</v>
      </c>
      <c r="AP129" s="139" t="s">
        <v>80</v>
      </c>
      <c r="AR129" s="140" t="s">
        <v>74</v>
      </c>
      <c r="AS129" s="140" t="s">
        <v>75</v>
      </c>
      <c r="AW129" s="139" t="s">
        <v>141</v>
      </c>
      <c r="BI129" s="141">
        <f>BI130+BI139+BI144+BI150+BI156+BI159+BI161+BI167+BI172</f>
        <v>0</v>
      </c>
    </row>
    <row r="130" spans="2:61" s="9" customFormat="1" ht="15">
      <c r="B130" s="132"/>
      <c r="C130" s="133"/>
      <c r="D130" s="142" t="s">
        <v>104</v>
      </c>
      <c r="E130" s="142"/>
      <c r="F130" s="142"/>
      <c r="G130" s="142"/>
      <c r="H130" s="142"/>
      <c r="I130" s="142"/>
      <c r="J130" s="142"/>
      <c r="K130" s="142"/>
      <c r="L130" s="142"/>
      <c r="M130" s="142"/>
      <c r="N130" s="453">
        <f>SUM(N131:Q138)</f>
        <v>0</v>
      </c>
      <c r="O130" s="454"/>
      <c r="P130" s="454"/>
      <c r="Q130" s="454"/>
      <c r="R130" s="135"/>
      <c r="T130" s="136"/>
      <c r="U130" s="133"/>
      <c r="V130" s="133"/>
      <c r="W130" s="137">
        <f>SUM(W131:W138)</f>
        <v>0</v>
      </c>
      <c r="X130" s="133"/>
      <c r="Y130" s="137">
        <f>SUM(Y131:Y138)</f>
        <v>0</v>
      </c>
      <c r="Z130" s="133"/>
      <c r="AA130" s="138">
        <f>SUM(AA131:AA138)</f>
        <v>125.84</v>
      </c>
      <c r="AP130" s="139" t="s">
        <v>80</v>
      </c>
      <c r="AR130" s="140" t="s">
        <v>74</v>
      </c>
      <c r="AS130" s="140" t="s">
        <v>80</v>
      </c>
      <c r="AW130" s="139" t="s">
        <v>141</v>
      </c>
      <c r="BI130" s="141">
        <f>SUM(BI131:BI138)</f>
        <v>0</v>
      </c>
    </row>
    <row r="131" spans="2:63" s="1" customFormat="1" ht="13.5">
      <c r="B131" s="30"/>
      <c r="C131" s="143" t="s">
        <v>80</v>
      </c>
      <c r="D131" s="143" t="s">
        <v>142</v>
      </c>
      <c r="E131" s="144" t="s">
        <v>143</v>
      </c>
      <c r="F131" s="455" t="s">
        <v>624</v>
      </c>
      <c r="G131" s="455"/>
      <c r="H131" s="455"/>
      <c r="I131" s="455"/>
      <c r="J131" s="145" t="s">
        <v>144</v>
      </c>
      <c r="K131" s="146">
        <v>286</v>
      </c>
      <c r="L131" s="456"/>
      <c r="M131" s="457"/>
      <c r="N131" s="458">
        <f>SUM(K131*L131)</f>
        <v>0</v>
      </c>
      <c r="O131" s="458"/>
      <c r="P131" s="458"/>
      <c r="Q131" s="458"/>
      <c r="R131" s="31"/>
      <c r="T131" s="147" t="s">
        <v>20</v>
      </c>
      <c r="U131" s="34" t="s">
        <v>40</v>
      </c>
      <c r="V131" s="365"/>
      <c r="W131" s="148">
        <f aca="true" t="shared" si="5" ref="W131:W138">V131*K131</f>
        <v>0</v>
      </c>
      <c r="X131" s="148">
        <v>0</v>
      </c>
      <c r="Y131" s="148">
        <f aca="true" t="shared" si="6" ref="Y131:Y138">X131*K131</f>
        <v>0</v>
      </c>
      <c r="Z131" s="148">
        <v>0.44</v>
      </c>
      <c r="AA131" s="149">
        <f aca="true" t="shared" si="7" ref="AA131:AA138">Z131*K131</f>
        <v>125.84</v>
      </c>
      <c r="AP131" s="17" t="s">
        <v>145</v>
      </c>
      <c r="AR131" s="17" t="s">
        <v>142</v>
      </c>
      <c r="AS131" s="17" t="s">
        <v>95</v>
      </c>
      <c r="AW131" s="17" t="s">
        <v>141</v>
      </c>
      <c r="BC131" s="89">
        <f aca="true" t="shared" si="8" ref="BC131:BC138">IF(U131="základní",N131,0)</f>
        <v>0</v>
      </c>
      <c r="BD131" s="89">
        <f aca="true" t="shared" si="9" ref="BD131:BD138">IF(U131="snížená",N131,0)</f>
        <v>0</v>
      </c>
      <c r="BE131" s="89">
        <f aca="true" t="shared" si="10" ref="BE131:BE138">IF(U131="zákl. přenesená",N131,0)</f>
        <v>0</v>
      </c>
      <c r="BF131" s="89">
        <f aca="true" t="shared" si="11" ref="BF131:BF138">IF(U131="sníž. přenesená",N131,0)</f>
        <v>0</v>
      </c>
      <c r="BG131" s="89">
        <f aca="true" t="shared" si="12" ref="BG131:BG138">IF(U131="nulová",N131,0)</f>
        <v>0</v>
      </c>
      <c r="BH131" s="17" t="s">
        <v>80</v>
      </c>
      <c r="BI131" s="89">
        <f aca="true" t="shared" si="13" ref="BI131:BI138">ROUND(L131*K131,2)</f>
        <v>0</v>
      </c>
      <c r="BJ131" s="17" t="s">
        <v>145</v>
      </c>
      <c r="BK131" s="17" t="s">
        <v>146</v>
      </c>
    </row>
    <row r="132" spans="2:63" s="1" customFormat="1" ht="13.5">
      <c r="B132" s="30"/>
      <c r="C132" s="143" t="s">
        <v>95</v>
      </c>
      <c r="D132" s="143" t="s">
        <v>142</v>
      </c>
      <c r="E132" s="144" t="s">
        <v>148</v>
      </c>
      <c r="F132" s="455" t="s">
        <v>149</v>
      </c>
      <c r="G132" s="455"/>
      <c r="H132" s="455"/>
      <c r="I132" s="455"/>
      <c r="J132" s="145" t="s">
        <v>150</v>
      </c>
      <c r="K132" s="146">
        <v>8.266</v>
      </c>
      <c r="L132" s="456"/>
      <c r="M132" s="457"/>
      <c r="N132" s="458">
        <f aca="true" t="shared" si="14" ref="N132:N138">SUM(K132*L132)</f>
        <v>0</v>
      </c>
      <c r="O132" s="458"/>
      <c r="P132" s="458"/>
      <c r="Q132" s="458"/>
      <c r="R132" s="31"/>
      <c r="T132" s="147" t="s">
        <v>20</v>
      </c>
      <c r="U132" s="34" t="s">
        <v>40</v>
      </c>
      <c r="V132" s="365"/>
      <c r="W132" s="148">
        <f t="shared" si="5"/>
        <v>0</v>
      </c>
      <c r="X132" s="148">
        <v>0</v>
      </c>
      <c r="Y132" s="148">
        <f t="shared" si="6"/>
        <v>0</v>
      </c>
      <c r="Z132" s="148">
        <v>0</v>
      </c>
      <c r="AA132" s="149">
        <f t="shared" si="7"/>
        <v>0</v>
      </c>
      <c r="AP132" s="17" t="s">
        <v>145</v>
      </c>
      <c r="AR132" s="17" t="s">
        <v>142</v>
      </c>
      <c r="AS132" s="17" t="s">
        <v>95</v>
      </c>
      <c r="AW132" s="17" t="s">
        <v>141</v>
      </c>
      <c r="BC132" s="89">
        <f t="shared" si="8"/>
        <v>0</v>
      </c>
      <c r="BD132" s="89">
        <f t="shared" si="9"/>
        <v>0</v>
      </c>
      <c r="BE132" s="89">
        <f t="shared" si="10"/>
        <v>0</v>
      </c>
      <c r="BF132" s="89">
        <f t="shared" si="11"/>
        <v>0</v>
      </c>
      <c r="BG132" s="89">
        <f t="shared" si="12"/>
        <v>0</v>
      </c>
      <c r="BH132" s="17" t="s">
        <v>80</v>
      </c>
      <c r="BI132" s="89">
        <f t="shared" si="13"/>
        <v>0</v>
      </c>
      <c r="BJ132" s="17" t="s">
        <v>145</v>
      </c>
      <c r="BK132" s="17" t="s">
        <v>151</v>
      </c>
    </row>
    <row r="133" spans="2:63" s="1" customFormat="1" ht="13.5">
      <c r="B133" s="30"/>
      <c r="C133" s="143" t="s">
        <v>147</v>
      </c>
      <c r="D133" s="143" t="s">
        <v>142</v>
      </c>
      <c r="E133" s="144" t="s">
        <v>152</v>
      </c>
      <c r="F133" s="455" t="s">
        <v>153</v>
      </c>
      <c r="G133" s="455"/>
      <c r="H133" s="455"/>
      <c r="I133" s="455"/>
      <c r="J133" s="145" t="s">
        <v>150</v>
      </c>
      <c r="K133" s="146">
        <v>8.266</v>
      </c>
      <c r="L133" s="456"/>
      <c r="M133" s="457"/>
      <c r="N133" s="458">
        <f t="shared" si="14"/>
        <v>0</v>
      </c>
      <c r="O133" s="458"/>
      <c r="P133" s="458"/>
      <c r="Q133" s="458"/>
      <c r="R133" s="31"/>
      <c r="T133" s="147" t="s">
        <v>20</v>
      </c>
      <c r="U133" s="34" t="s">
        <v>40</v>
      </c>
      <c r="V133" s="365"/>
      <c r="W133" s="148">
        <f t="shared" si="5"/>
        <v>0</v>
      </c>
      <c r="X133" s="148">
        <v>0</v>
      </c>
      <c r="Y133" s="148">
        <f t="shared" si="6"/>
        <v>0</v>
      </c>
      <c r="Z133" s="148">
        <v>0</v>
      </c>
      <c r="AA133" s="149">
        <f t="shared" si="7"/>
        <v>0</v>
      </c>
      <c r="AP133" s="17" t="s">
        <v>145</v>
      </c>
      <c r="AR133" s="17" t="s">
        <v>142</v>
      </c>
      <c r="AS133" s="17" t="s">
        <v>95</v>
      </c>
      <c r="AW133" s="17" t="s">
        <v>141</v>
      </c>
      <c r="BC133" s="89">
        <f t="shared" si="8"/>
        <v>0</v>
      </c>
      <c r="BD133" s="89">
        <f t="shared" si="9"/>
        <v>0</v>
      </c>
      <c r="BE133" s="89">
        <f t="shared" si="10"/>
        <v>0</v>
      </c>
      <c r="BF133" s="89">
        <f t="shared" si="11"/>
        <v>0</v>
      </c>
      <c r="BG133" s="89">
        <f t="shared" si="12"/>
        <v>0</v>
      </c>
      <c r="BH133" s="17" t="s">
        <v>80</v>
      </c>
      <c r="BI133" s="89">
        <f t="shared" si="13"/>
        <v>0</v>
      </c>
      <c r="BJ133" s="17" t="s">
        <v>145</v>
      </c>
      <c r="BK133" s="17" t="s">
        <v>154</v>
      </c>
    </row>
    <row r="134" spans="2:63" s="1" customFormat="1" ht="13.5">
      <c r="B134" s="30"/>
      <c r="C134" s="143" t="s">
        <v>145</v>
      </c>
      <c r="D134" s="143" t="s">
        <v>142</v>
      </c>
      <c r="E134" s="144" t="s">
        <v>156</v>
      </c>
      <c r="F134" s="455" t="s">
        <v>157</v>
      </c>
      <c r="G134" s="455"/>
      <c r="H134" s="455"/>
      <c r="I134" s="455"/>
      <c r="J134" s="145" t="s">
        <v>150</v>
      </c>
      <c r="K134" s="146">
        <v>2.801</v>
      </c>
      <c r="L134" s="456"/>
      <c r="M134" s="457"/>
      <c r="N134" s="458">
        <f t="shared" si="14"/>
        <v>0</v>
      </c>
      <c r="O134" s="458"/>
      <c r="P134" s="458"/>
      <c r="Q134" s="458"/>
      <c r="R134" s="31"/>
      <c r="T134" s="147" t="s">
        <v>20</v>
      </c>
      <c r="U134" s="34" t="s">
        <v>40</v>
      </c>
      <c r="V134" s="365"/>
      <c r="W134" s="148">
        <f t="shared" si="5"/>
        <v>0</v>
      </c>
      <c r="X134" s="148">
        <v>0</v>
      </c>
      <c r="Y134" s="148">
        <f t="shared" si="6"/>
        <v>0</v>
      </c>
      <c r="Z134" s="148">
        <v>0</v>
      </c>
      <c r="AA134" s="149">
        <f t="shared" si="7"/>
        <v>0</v>
      </c>
      <c r="AP134" s="17" t="s">
        <v>145</v>
      </c>
      <c r="AR134" s="17" t="s">
        <v>142</v>
      </c>
      <c r="AS134" s="17" t="s">
        <v>95</v>
      </c>
      <c r="AW134" s="17" t="s">
        <v>141</v>
      </c>
      <c r="BC134" s="89">
        <f t="shared" si="8"/>
        <v>0</v>
      </c>
      <c r="BD134" s="89">
        <f t="shared" si="9"/>
        <v>0</v>
      </c>
      <c r="BE134" s="89">
        <f t="shared" si="10"/>
        <v>0</v>
      </c>
      <c r="BF134" s="89">
        <f t="shared" si="11"/>
        <v>0</v>
      </c>
      <c r="BG134" s="89">
        <f t="shared" si="12"/>
        <v>0</v>
      </c>
      <c r="BH134" s="17" t="s">
        <v>80</v>
      </c>
      <c r="BI134" s="89">
        <f t="shared" si="13"/>
        <v>0</v>
      </c>
      <c r="BJ134" s="17" t="s">
        <v>145</v>
      </c>
      <c r="BK134" s="17" t="s">
        <v>158</v>
      </c>
    </row>
    <row r="135" spans="2:63" s="1" customFormat="1" ht="13.5">
      <c r="B135" s="30"/>
      <c r="C135" s="143" t="s">
        <v>155</v>
      </c>
      <c r="D135" s="143" t="s">
        <v>142</v>
      </c>
      <c r="E135" s="144" t="s">
        <v>160</v>
      </c>
      <c r="F135" s="455" t="s">
        <v>161</v>
      </c>
      <c r="G135" s="455"/>
      <c r="H135" s="455"/>
      <c r="I135" s="455"/>
      <c r="J135" s="145" t="s">
        <v>150</v>
      </c>
      <c r="K135" s="146">
        <v>2.801</v>
      </c>
      <c r="L135" s="456"/>
      <c r="M135" s="457"/>
      <c r="N135" s="458">
        <f t="shared" si="14"/>
        <v>0</v>
      </c>
      <c r="O135" s="458"/>
      <c r="P135" s="458"/>
      <c r="Q135" s="458"/>
      <c r="R135" s="31"/>
      <c r="T135" s="147" t="s">
        <v>20</v>
      </c>
      <c r="U135" s="34" t="s">
        <v>40</v>
      </c>
      <c r="V135" s="365"/>
      <c r="W135" s="148">
        <f t="shared" si="5"/>
        <v>0</v>
      </c>
      <c r="X135" s="148">
        <v>0</v>
      </c>
      <c r="Y135" s="148">
        <f t="shared" si="6"/>
        <v>0</v>
      </c>
      <c r="Z135" s="148">
        <v>0</v>
      </c>
      <c r="AA135" s="149">
        <f t="shared" si="7"/>
        <v>0</v>
      </c>
      <c r="AP135" s="17" t="s">
        <v>145</v>
      </c>
      <c r="AR135" s="17" t="s">
        <v>142</v>
      </c>
      <c r="AS135" s="17" t="s">
        <v>95</v>
      </c>
      <c r="AW135" s="17" t="s">
        <v>141</v>
      </c>
      <c r="BC135" s="89">
        <f t="shared" si="8"/>
        <v>0</v>
      </c>
      <c r="BD135" s="89">
        <f t="shared" si="9"/>
        <v>0</v>
      </c>
      <c r="BE135" s="89">
        <f t="shared" si="10"/>
        <v>0</v>
      </c>
      <c r="BF135" s="89">
        <f t="shared" si="11"/>
        <v>0</v>
      </c>
      <c r="BG135" s="89">
        <f t="shared" si="12"/>
        <v>0</v>
      </c>
      <c r="BH135" s="17" t="s">
        <v>80</v>
      </c>
      <c r="BI135" s="89">
        <f t="shared" si="13"/>
        <v>0</v>
      </c>
      <c r="BJ135" s="17" t="s">
        <v>145</v>
      </c>
      <c r="BK135" s="17" t="s">
        <v>162</v>
      </c>
    </row>
    <row r="136" spans="2:63" s="1" customFormat="1" ht="13.5">
      <c r="B136" s="30"/>
      <c r="C136" s="143" t="s">
        <v>159</v>
      </c>
      <c r="D136" s="143" t="s">
        <v>142</v>
      </c>
      <c r="E136" s="144" t="s">
        <v>164</v>
      </c>
      <c r="F136" s="455" t="s">
        <v>165</v>
      </c>
      <c r="G136" s="455"/>
      <c r="H136" s="455"/>
      <c r="I136" s="455"/>
      <c r="J136" s="145" t="s">
        <v>150</v>
      </c>
      <c r="K136" s="146">
        <v>11.067</v>
      </c>
      <c r="L136" s="456"/>
      <c r="M136" s="457"/>
      <c r="N136" s="458">
        <f t="shared" si="14"/>
        <v>0</v>
      </c>
      <c r="O136" s="458"/>
      <c r="P136" s="458"/>
      <c r="Q136" s="458"/>
      <c r="R136" s="31"/>
      <c r="T136" s="147" t="s">
        <v>20</v>
      </c>
      <c r="U136" s="34" t="s">
        <v>40</v>
      </c>
      <c r="V136" s="365"/>
      <c r="W136" s="148">
        <f t="shared" si="5"/>
        <v>0</v>
      </c>
      <c r="X136" s="148">
        <v>0</v>
      </c>
      <c r="Y136" s="148">
        <f t="shared" si="6"/>
        <v>0</v>
      </c>
      <c r="Z136" s="148">
        <v>0</v>
      </c>
      <c r="AA136" s="149">
        <f t="shared" si="7"/>
        <v>0</v>
      </c>
      <c r="AP136" s="17" t="s">
        <v>145</v>
      </c>
      <c r="AR136" s="17" t="s">
        <v>142</v>
      </c>
      <c r="AS136" s="17" t="s">
        <v>95</v>
      </c>
      <c r="AW136" s="17" t="s">
        <v>141</v>
      </c>
      <c r="BC136" s="89">
        <f t="shared" si="8"/>
        <v>0</v>
      </c>
      <c r="BD136" s="89">
        <f t="shared" si="9"/>
        <v>0</v>
      </c>
      <c r="BE136" s="89">
        <f t="shared" si="10"/>
        <v>0</v>
      </c>
      <c r="BF136" s="89">
        <f t="shared" si="11"/>
        <v>0</v>
      </c>
      <c r="BG136" s="89">
        <f t="shared" si="12"/>
        <v>0</v>
      </c>
      <c r="BH136" s="17" t="s">
        <v>80</v>
      </c>
      <c r="BI136" s="89">
        <f t="shared" si="13"/>
        <v>0</v>
      </c>
      <c r="BJ136" s="17" t="s">
        <v>145</v>
      </c>
      <c r="BK136" s="17" t="s">
        <v>166</v>
      </c>
    </row>
    <row r="137" spans="2:63" s="1" customFormat="1" ht="13.5">
      <c r="B137" s="30"/>
      <c r="C137" s="143" t="s">
        <v>163</v>
      </c>
      <c r="D137" s="143" t="s">
        <v>142</v>
      </c>
      <c r="E137" s="144" t="s">
        <v>168</v>
      </c>
      <c r="F137" s="455" t="s">
        <v>169</v>
      </c>
      <c r="G137" s="455"/>
      <c r="H137" s="455"/>
      <c r="I137" s="455"/>
      <c r="J137" s="145" t="s">
        <v>150</v>
      </c>
      <c r="K137" s="146">
        <v>11.067</v>
      </c>
      <c r="L137" s="456"/>
      <c r="M137" s="457"/>
      <c r="N137" s="458">
        <f t="shared" si="14"/>
        <v>0</v>
      </c>
      <c r="O137" s="458"/>
      <c r="P137" s="458"/>
      <c r="Q137" s="458"/>
      <c r="R137" s="31"/>
      <c r="T137" s="147" t="s">
        <v>20</v>
      </c>
      <c r="U137" s="34" t="s">
        <v>40</v>
      </c>
      <c r="V137" s="365"/>
      <c r="W137" s="148">
        <f t="shared" si="5"/>
        <v>0</v>
      </c>
      <c r="X137" s="148">
        <v>0</v>
      </c>
      <c r="Y137" s="148">
        <f t="shared" si="6"/>
        <v>0</v>
      </c>
      <c r="Z137" s="148">
        <v>0</v>
      </c>
      <c r="AA137" s="149">
        <f t="shared" si="7"/>
        <v>0</v>
      </c>
      <c r="AP137" s="17" t="s">
        <v>145</v>
      </c>
      <c r="AR137" s="17" t="s">
        <v>142</v>
      </c>
      <c r="AS137" s="17" t="s">
        <v>95</v>
      </c>
      <c r="AW137" s="17" t="s">
        <v>141</v>
      </c>
      <c r="BC137" s="89">
        <f t="shared" si="8"/>
        <v>0</v>
      </c>
      <c r="BD137" s="89">
        <f t="shared" si="9"/>
        <v>0</v>
      </c>
      <c r="BE137" s="89">
        <f t="shared" si="10"/>
        <v>0</v>
      </c>
      <c r="BF137" s="89">
        <f t="shared" si="11"/>
        <v>0</v>
      </c>
      <c r="BG137" s="89">
        <f t="shared" si="12"/>
        <v>0</v>
      </c>
      <c r="BH137" s="17" t="s">
        <v>80</v>
      </c>
      <c r="BI137" s="89">
        <f t="shared" si="13"/>
        <v>0</v>
      </c>
      <c r="BJ137" s="17" t="s">
        <v>145</v>
      </c>
      <c r="BK137" s="17" t="s">
        <v>170</v>
      </c>
    </row>
    <row r="138" spans="2:63" s="1" customFormat="1" ht="13.5">
      <c r="B138" s="30"/>
      <c r="C138" s="143" t="s">
        <v>167</v>
      </c>
      <c r="D138" s="143" t="s">
        <v>142</v>
      </c>
      <c r="E138" s="144" t="s">
        <v>172</v>
      </c>
      <c r="F138" s="455" t="s">
        <v>173</v>
      </c>
      <c r="G138" s="455"/>
      <c r="H138" s="455"/>
      <c r="I138" s="455"/>
      <c r="J138" s="145" t="s">
        <v>174</v>
      </c>
      <c r="K138" s="146">
        <v>18.814</v>
      </c>
      <c r="L138" s="456"/>
      <c r="M138" s="457"/>
      <c r="N138" s="458">
        <f t="shared" si="14"/>
        <v>0</v>
      </c>
      <c r="O138" s="458"/>
      <c r="P138" s="458"/>
      <c r="Q138" s="458"/>
      <c r="R138" s="31"/>
      <c r="T138" s="147" t="s">
        <v>20</v>
      </c>
      <c r="U138" s="34" t="s">
        <v>40</v>
      </c>
      <c r="V138" s="365"/>
      <c r="W138" s="148">
        <f t="shared" si="5"/>
        <v>0</v>
      </c>
      <c r="X138" s="148">
        <v>0</v>
      </c>
      <c r="Y138" s="148">
        <f t="shared" si="6"/>
        <v>0</v>
      </c>
      <c r="Z138" s="148">
        <v>0</v>
      </c>
      <c r="AA138" s="149">
        <f t="shared" si="7"/>
        <v>0</v>
      </c>
      <c r="AP138" s="17" t="s">
        <v>145</v>
      </c>
      <c r="AR138" s="17" t="s">
        <v>142</v>
      </c>
      <c r="AS138" s="17" t="s">
        <v>95</v>
      </c>
      <c r="AW138" s="17" t="s">
        <v>141</v>
      </c>
      <c r="BC138" s="89">
        <f t="shared" si="8"/>
        <v>0</v>
      </c>
      <c r="BD138" s="89">
        <f t="shared" si="9"/>
        <v>0</v>
      </c>
      <c r="BE138" s="89">
        <f t="shared" si="10"/>
        <v>0</v>
      </c>
      <c r="BF138" s="89">
        <f t="shared" si="11"/>
        <v>0</v>
      </c>
      <c r="BG138" s="89">
        <f t="shared" si="12"/>
        <v>0</v>
      </c>
      <c r="BH138" s="17" t="s">
        <v>80</v>
      </c>
      <c r="BI138" s="89">
        <f t="shared" si="13"/>
        <v>0</v>
      </c>
      <c r="BJ138" s="17" t="s">
        <v>145</v>
      </c>
      <c r="BK138" s="17" t="s">
        <v>175</v>
      </c>
    </row>
    <row r="139" spans="2:61" s="9" customFormat="1" ht="15">
      <c r="B139" s="132"/>
      <c r="C139" s="143" t="s">
        <v>34</v>
      </c>
      <c r="D139" s="142" t="s">
        <v>105</v>
      </c>
      <c r="E139" s="142"/>
      <c r="F139" s="142"/>
      <c r="G139" s="142"/>
      <c r="H139" s="142"/>
      <c r="I139" s="142"/>
      <c r="J139" s="142"/>
      <c r="K139" s="142"/>
      <c r="L139" s="142"/>
      <c r="M139" s="142"/>
      <c r="N139" s="465">
        <f>SUM(N140:Q143)</f>
        <v>0</v>
      </c>
      <c r="O139" s="466"/>
      <c r="P139" s="466"/>
      <c r="Q139" s="466"/>
      <c r="R139" s="135"/>
      <c r="T139" s="136"/>
      <c r="U139" s="133"/>
      <c r="V139" s="133"/>
      <c r="W139" s="137">
        <f>SUM(W140:W143)</f>
        <v>0</v>
      </c>
      <c r="X139" s="133"/>
      <c r="Y139" s="137">
        <f>SUM(Y140:Y143)</f>
        <v>39.5156042</v>
      </c>
      <c r="Z139" s="133"/>
      <c r="AA139" s="138">
        <f>SUM(AA140:AA143)</f>
        <v>0</v>
      </c>
      <c r="AP139" s="139" t="s">
        <v>80</v>
      </c>
      <c r="AR139" s="140" t="s">
        <v>74</v>
      </c>
      <c r="AS139" s="140" t="s">
        <v>80</v>
      </c>
      <c r="AW139" s="139" t="s">
        <v>141</v>
      </c>
      <c r="BI139" s="141">
        <f>SUM(BI140:BI143)</f>
        <v>0</v>
      </c>
    </row>
    <row r="140" spans="2:63" s="1" customFormat="1" ht="13.5">
      <c r="B140" s="30"/>
      <c r="C140" s="143">
        <v>9</v>
      </c>
      <c r="D140" s="143" t="s">
        <v>142</v>
      </c>
      <c r="E140" s="144" t="s">
        <v>177</v>
      </c>
      <c r="F140" s="455" t="s">
        <v>178</v>
      </c>
      <c r="G140" s="455"/>
      <c r="H140" s="455"/>
      <c r="I140" s="455"/>
      <c r="J140" s="145" t="s">
        <v>150</v>
      </c>
      <c r="K140" s="146">
        <v>13.456</v>
      </c>
      <c r="L140" s="456"/>
      <c r="M140" s="457"/>
      <c r="N140" s="458">
        <f aca="true" t="shared" si="15" ref="N140">SUM(K140*L140)</f>
        <v>0</v>
      </c>
      <c r="O140" s="458"/>
      <c r="P140" s="458"/>
      <c r="Q140" s="458"/>
      <c r="R140" s="31"/>
      <c r="T140" s="147" t="s">
        <v>20</v>
      </c>
      <c r="U140" s="34" t="s">
        <v>40</v>
      </c>
      <c r="V140" s="365"/>
      <c r="W140" s="148">
        <f>V140*K140</f>
        <v>0</v>
      </c>
      <c r="X140" s="148">
        <v>2.25634</v>
      </c>
      <c r="Y140" s="148">
        <f>X140*K140</f>
        <v>30.361311039999997</v>
      </c>
      <c r="Z140" s="148">
        <v>0</v>
      </c>
      <c r="AA140" s="149">
        <f>Z140*K140</f>
        <v>0</v>
      </c>
      <c r="AP140" s="17" t="s">
        <v>145</v>
      </c>
      <c r="AR140" s="17" t="s">
        <v>142</v>
      </c>
      <c r="AS140" s="17" t="s">
        <v>95</v>
      </c>
      <c r="AW140" s="17" t="s">
        <v>141</v>
      </c>
      <c r="BC140" s="89">
        <f>IF(U140="základní",N140,0)</f>
        <v>0</v>
      </c>
      <c r="BD140" s="89">
        <f>IF(U140="snížená",N140,0)</f>
        <v>0</v>
      </c>
      <c r="BE140" s="89">
        <f>IF(U140="zákl. přenesená",N140,0)</f>
        <v>0</v>
      </c>
      <c r="BF140" s="89">
        <f>IF(U140="sníž. přenesená",N140,0)</f>
        <v>0</v>
      </c>
      <c r="BG140" s="89">
        <f>IF(U140="nulová",N140,0)</f>
        <v>0</v>
      </c>
      <c r="BH140" s="17" t="s">
        <v>80</v>
      </c>
      <c r="BI140" s="89">
        <f>ROUND(L140*K140,2)</f>
        <v>0</v>
      </c>
      <c r="BJ140" s="17" t="s">
        <v>145</v>
      </c>
      <c r="BK140" s="17" t="s">
        <v>179</v>
      </c>
    </row>
    <row r="141" spans="2:63" s="1" customFormat="1" ht="13.5">
      <c r="B141" s="30"/>
      <c r="C141" s="143">
        <v>10</v>
      </c>
      <c r="D141" s="143" t="s">
        <v>142</v>
      </c>
      <c r="E141" s="144" t="s">
        <v>181</v>
      </c>
      <c r="F141" s="455" t="s">
        <v>182</v>
      </c>
      <c r="G141" s="455"/>
      <c r="H141" s="455"/>
      <c r="I141" s="455"/>
      <c r="J141" s="145" t="s">
        <v>144</v>
      </c>
      <c r="K141" s="146">
        <v>20.028</v>
      </c>
      <c r="L141" s="456"/>
      <c r="M141" s="457"/>
      <c r="N141" s="458">
        <f aca="true" t="shared" si="16" ref="N141:N143">SUM(K141*L141)</f>
        <v>0</v>
      </c>
      <c r="O141" s="458"/>
      <c r="P141" s="458"/>
      <c r="Q141" s="458"/>
      <c r="R141" s="31"/>
      <c r="T141" s="147" t="s">
        <v>20</v>
      </c>
      <c r="U141" s="34" t="s">
        <v>40</v>
      </c>
      <c r="V141" s="365"/>
      <c r="W141" s="148">
        <f>V141*K141</f>
        <v>0</v>
      </c>
      <c r="X141" s="148">
        <v>0.00103</v>
      </c>
      <c r="Y141" s="148">
        <f>X141*K141</f>
        <v>0.02062884</v>
      </c>
      <c r="Z141" s="148">
        <v>0</v>
      </c>
      <c r="AA141" s="149">
        <f>Z141*K141</f>
        <v>0</v>
      </c>
      <c r="AP141" s="17" t="s">
        <v>145</v>
      </c>
      <c r="AR141" s="17" t="s">
        <v>142</v>
      </c>
      <c r="AS141" s="17" t="s">
        <v>95</v>
      </c>
      <c r="AW141" s="17" t="s">
        <v>141</v>
      </c>
      <c r="BC141" s="89">
        <f>IF(U141="základní",N141,0)</f>
        <v>0</v>
      </c>
      <c r="BD141" s="89">
        <f>IF(U141="snížená",N141,0)</f>
        <v>0</v>
      </c>
      <c r="BE141" s="89">
        <f>IF(U141="zákl. přenesená",N141,0)</f>
        <v>0</v>
      </c>
      <c r="BF141" s="89">
        <f>IF(U141="sníž. přenesená",N141,0)</f>
        <v>0</v>
      </c>
      <c r="BG141" s="89">
        <f>IF(U141="nulová",N141,0)</f>
        <v>0</v>
      </c>
      <c r="BH141" s="17" t="s">
        <v>80</v>
      </c>
      <c r="BI141" s="89">
        <f>ROUND(L141*K141,2)</f>
        <v>0</v>
      </c>
      <c r="BJ141" s="17" t="s">
        <v>145</v>
      </c>
      <c r="BK141" s="17" t="s">
        <v>183</v>
      </c>
    </row>
    <row r="142" spans="2:63" s="1" customFormat="1" ht="13.5">
      <c r="B142" s="30"/>
      <c r="C142" s="143">
        <v>11</v>
      </c>
      <c r="D142" s="143" t="s">
        <v>142</v>
      </c>
      <c r="E142" s="144" t="s">
        <v>185</v>
      </c>
      <c r="F142" s="455" t="s">
        <v>186</v>
      </c>
      <c r="G142" s="455"/>
      <c r="H142" s="455"/>
      <c r="I142" s="455"/>
      <c r="J142" s="145" t="s">
        <v>150</v>
      </c>
      <c r="K142" s="146">
        <v>4.048</v>
      </c>
      <c r="L142" s="456"/>
      <c r="M142" s="457"/>
      <c r="N142" s="458">
        <f t="shared" si="16"/>
        <v>0</v>
      </c>
      <c r="O142" s="458"/>
      <c r="P142" s="458"/>
      <c r="Q142" s="458"/>
      <c r="R142" s="31"/>
      <c r="T142" s="147" t="s">
        <v>20</v>
      </c>
      <c r="U142" s="34" t="s">
        <v>40</v>
      </c>
      <c r="V142" s="365"/>
      <c r="W142" s="148">
        <f>V142*K142</f>
        <v>0</v>
      </c>
      <c r="X142" s="148">
        <v>2.25634</v>
      </c>
      <c r="Y142" s="148">
        <f>X142*K142</f>
        <v>9.13366432</v>
      </c>
      <c r="Z142" s="148">
        <v>0</v>
      </c>
      <c r="AA142" s="149">
        <f>Z142*K142</f>
        <v>0</v>
      </c>
      <c r="AP142" s="17" t="s">
        <v>145</v>
      </c>
      <c r="AR142" s="17" t="s">
        <v>142</v>
      </c>
      <c r="AS142" s="17" t="s">
        <v>95</v>
      </c>
      <c r="AW142" s="17" t="s">
        <v>141</v>
      </c>
      <c r="BC142" s="89">
        <f>IF(U142="základní",N142,0)</f>
        <v>0</v>
      </c>
      <c r="BD142" s="89">
        <f>IF(U142="snížená",N142,0)</f>
        <v>0</v>
      </c>
      <c r="BE142" s="89">
        <f>IF(U142="zákl. přenesená",N142,0)</f>
        <v>0</v>
      </c>
      <c r="BF142" s="89">
        <f>IF(U142="sníž. přenesená",N142,0)</f>
        <v>0</v>
      </c>
      <c r="BG142" s="89">
        <f>IF(U142="nulová",N142,0)</f>
        <v>0</v>
      </c>
      <c r="BH142" s="17" t="s">
        <v>80</v>
      </c>
      <c r="BI142" s="89">
        <f>ROUND(L142*K142,2)</f>
        <v>0</v>
      </c>
      <c r="BJ142" s="17" t="s">
        <v>145</v>
      </c>
      <c r="BK142" s="17" t="s">
        <v>187</v>
      </c>
    </row>
    <row r="143" spans="2:63" s="1" customFormat="1" ht="13.5">
      <c r="B143" s="30"/>
      <c r="C143" s="143">
        <v>12</v>
      </c>
      <c r="D143" s="143" t="s">
        <v>142</v>
      </c>
      <c r="E143" s="144" t="s">
        <v>189</v>
      </c>
      <c r="F143" s="455" t="s">
        <v>190</v>
      </c>
      <c r="G143" s="455"/>
      <c r="H143" s="455"/>
      <c r="I143" s="455"/>
      <c r="J143" s="145" t="s">
        <v>144</v>
      </c>
      <c r="K143" s="146">
        <v>20.028</v>
      </c>
      <c r="L143" s="456"/>
      <c r="M143" s="457"/>
      <c r="N143" s="458">
        <f t="shared" si="16"/>
        <v>0</v>
      </c>
      <c r="O143" s="458"/>
      <c r="P143" s="458"/>
      <c r="Q143" s="458"/>
      <c r="R143" s="31"/>
      <c r="T143" s="147" t="s">
        <v>20</v>
      </c>
      <c r="U143" s="34" t="s">
        <v>40</v>
      </c>
      <c r="V143" s="365"/>
      <c r="W143" s="148">
        <f>V143*K143</f>
        <v>0</v>
      </c>
      <c r="X143" s="148">
        <v>0</v>
      </c>
      <c r="Y143" s="148">
        <f>X143*K143</f>
        <v>0</v>
      </c>
      <c r="Z143" s="148">
        <v>0</v>
      </c>
      <c r="AA143" s="149">
        <f>Z143*K143</f>
        <v>0</v>
      </c>
      <c r="AP143" s="17" t="s">
        <v>145</v>
      </c>
      <c r="AR143" s="17" t="s">
        <v>142</v>
      </c>
      <c r="AS143" s="17" t="s">
        <v>95</v>
      </c>
      <c r="AW143" s="17" t="s">
        <v>141</v>
      </c>
      <c r="BC143" s="89">
        <f>IF(U143="základní",N143,0)</f>
        <v>0</v>
      </c>
      <c r="BD143" s="89">
        <f>IF(U143="snížená",N143,0)</f>
        <v>0</v>
      </c>
      <c r="BE143" s="89">
        <f>IF(U143="zákl. přenesená",N143,0)</f>
        <v>0</v>
      </c>
      <c r="BF143" s="89">
        <f>IF(U143="sníž. přenesená",N143,0)</f>
        <v>0</v>
      </c>
      <c r="BG143" s="89">
        <f>IF(U143="nulová",N143,0)</f>
        <v>0</v>
      </c>
      <c r="BH143" s="17" t="s">
        <v>80</v>
      </c>
      <c r="BI143" s="89">
        <f>ROUND(L143*K143,2)</f>
        <v>0</v>
      </c>
      <c r="BJ143" s="17" t="s">
        <v>145</v>
      </c>
      <c r="BK143" s="17" t="s">
        <v>191</v>
      </c>
    </row>
    <row r="144" spans="2:61" s="9" customFormat="1" ht="15">
      <c r="B144" s="132"/>
      <c r="C144" s="143" t="s">
        <v>34</v>
      </c>
      <c r="D144" s="142" t="s">
        <v>106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465">
        <f>SUM(N145:Q149)</f>
        <v>0</v>
      </c>
      <c r="O144" s="466"/>
      <c r="P144" s="466"/>
      <c r="Q144" s="466"/>
      <c r="R144" s="135"/>
      <c r="T144" s="136"/>
      <c r="U144" s="133"/>
      <c r="V144" s="133"/>
      <c r="W144" s="137">
        <f>SUM(W145:W148)</f>
        <v>0</v>
      </c>
      <c r="X144" s="133"/>
      <c r="Y144" s="137">
        <f>SUM(Y145:Y148)</f>
        <v>20.71193165</v>
      </c>
      <c r="Z144" s="133"/>
      <c r="AA144" s="138">
        <f>SUM(AA145:AA148)</f>
        <v>0</v>
      </c>
      <c r="AP144" s="139" t="s">
        <v>80</v>
      </c>
      <c r="AR144" s="140" t="s">
        <v>74</v>
      </c>
      <c r="AS144" s="140" t="s">
        <v>80</v>
      </c>
      <c r="AW144" s="139" t="s">
        <v>141</v>
      </c>
      <c r="BI144" s="141">
        <f>SUM(BI145:BI148)</f>
        <v>0</v>
      </c>
    </row>
    <row r="145" spans="2:63" s="1" customFormat="1" ht="63.75" customHeight="1">
      <c r="B145" s="30"/>
      <c r="C145" s="143" t="s">
        <v>620</v>
      </c>
      <c r="D145" s="143" t="s">
        <v>142</v>
      </c>
      <c r="E145" s="144" t="s">
        <v>193</v>
      </c>
      <c r="F145" s="455" t="s">
        <v>621</v>
      </c>
      <c r="G145" s="455"/>
      <c r="H145" s="455"/>
      <c r="I145" s="455"/>
      <c r="J145" s="145" t="s">
        <v>194</v>
      </c>
      <c r="K145" s="146">
        <v>1</v>
      </c>
      <c r="L145" s="456"/>
      <c r="M145" s="457"/>
      <c r="N145" s="458">
        <f aca="true" t="shared" si="17" ref="N145">SUM(K145*L145)</f>
        <v>0</v>
      </c>
      <c r="O145" s="458"/>
      <c r="P145" s="458"/>
      <c r="Q145" s="458"/>
      <c r="R145" s="31"/>
      <c r="T145" s="147" t="s">
        <v>20</v>
      </c>
      <c r="U145" s="34" t="s">
        <v>40</v>
      </c>
      <c r="V145" s="365"/>
      <c r="W145" s="148">
        <f>V145*K145</f>
        <v>0</v>
      </c>
      <c r="X145" s="148">
        <v>0</v>
      </c>
      <c r="Y145" s="148">
        <f>X145*K145</f>
        <v>0</v>
      </c>
      <c r="Z145" s="148">
        <v>0</v>
      </c>
      <c r="AA145" s="149">
        <f>Z145*K145</f>
        <v>0</v>
      </c>
      <c r="AP145" s="17" t="s">
        <v>145</v>
      </c>
      <c r="AR145" s="17" t="s">
        <v>142</v>
      </c>
      <c r="AS145" s="17" t="s">
        <v>95</v>
      </c>
      <c r="AW145" s="17" t="s">
        <v>141</v>
      </c>
      <c r="BC145" s="89">
        <f>IF(U145="základní",N145,0)</f>
        <v>0</v>
      </c>
      <c r="BD145" s="89">
        <f>IF(U145="snížená",N145,0)</f>
        <v>0</v>
      </c>
      <c r="BE145" s="89">
        <f>IF(U145="zákl. přenesená",N145,0)</f>
        <v>0</v>
      </c>
      <c r="BF145" s="89">
        <f>IF(U145="sníž. přenesená",N145,0)</f>
        <v>0</v>
      </c>
      <c r="BG145" s="89">
        <f>IF(U145="nulová",N145,0)</f>
        <v>0</v>
      </c>
      <c r="BH145" s="17" t="s">
        <v>80</v>
      </c>
      <c r="BI145" s="89">
        <f>ROUND(L145*K145,2)</f>
        <v>0</v>
      </c>
      <c r="BJ145" s="17" t="s">
        <v>145</v>
      </c>
      <c r="BK145" s="17" t="s">
        <v>195</v>
      </c>
    </row>
    <row r="146" spans="2:63" s="1" customFormat="1" ht="40.5" customHeight="1">
      <c r="B146" s="30"/>
      <c r="C146" s="373" t="s">
        <v>619</v>
      </c>
      <c r="D146" s="374"/>
      <c r="E146" s="375" t="s">
        <v>193</v>
      </c>
      <c r="F146" s="428" t="s">
        <v>622</v>
      </c>
      <c r="G146" s="428"/>
      <c r="H146" s="428"/>
      <c r="I146" s="428"/>
      <c r="J146" s="376" t="s">
        <v>194</v>
      </c>
      <c r="K146" s="377">
        <v>1</v>
      </c>
      <c r="L146" s="429"/>
      <c r="M146" s="430"/>
      <c r="N146" s="430">
        <f aca="true" t="shared" si="18" ref="N146">SUM(K146*L146)</f>
        <v>0</v>
      </c>
      <c r="O146" s="430"/>
      <c r="P146" s="430"/>
      <c r="Q146" s="430"/>
      <c r="R146" s="31"/>
      <c r="T146" s="147"/>
      <c r="U146" s="34"/>
      <c r="V146" s="372"/>
      <c r="W146" s="148">
        <f>V146*K146</f>
        <v>0</v>
      </c>
      <c r="X146" s="148"/>
      <c r="Y146" s="148"/>
      <c r="Z146" s="148"/>
      <c r="AA146" s="149"/>
      <c r="AP146" s="17"/>
      <c r="AR146" s="17"/>
      <c r="AS146" s="17"/>
      <c r="AW146" s="17"/>
      <c r="BC146" s="89"/>
      <c r="BD146" s="89"/>
      <c r="BE146" s="89"/>
      <c r="BF146" s="89"/>
      <c r="BG146" s="89"/>
      <c r="BH146" s="17"/>
      <c r="BI146" s="89"/>
      <c r="BJ146" s="17"/>
      <c r="BK146" s="17"/>
    </row>
    <row r="147" spans="2:63" s="1" customFormat="1" ht="13.5">
      <c r="B147" s="30"/>
      <c r="C147" s="133">
        <v>14</v>
      </c>
      <c r="D147" s="143" t="s">
        <v>142</v>
      </c>
      <c r="E147" s="144" t="s">
        <v>201</v>
      </c>
      <c r="F147" s="455" t="s">
        <v>202</v>
      </c>
      <c r="G147" s="455"/>
      <c r="H147" s="455"/>
      <c r="I147" s="455"/>
      <c r="J147" s="145" t="s">
        <v>196</v>
      </c>
      <c r="K147" s="146">
        <v>46.395</v>
      </c>
      <c r="L147" s="456"/>
      <c r="M147" s="457"/>
      <c r="N147" s="458">
        <f aca="true" t="shared" si="19" ref="N147:N148">SUM(K147*L147)</f>
        <v>0</v>
      </c>
      <c r="O147" s="458"/>
      <c r="P147" s="458"/>
      <c r="Q147" s="458"/>
      <c r="R147" s="31"/>
      <c r="T147" s="147" t="s">
        <v>20</v>
      </c>
      <c r="U147" s="34" t="s">
        <v>40</v>
      </c>
      <c r="V147" s="365"/>
      <c r="W147" s="148">
        <f>V147*K147</f>
        <v>0</v>
      </c>
      <c r="X147" s="148">
        <v>0.24127</v>
      </c>
      <c r="Y147" s="148">
        <f>X147*K147</f>
        <v>11.19372165</v>
      </c>
      <c r="Z147" s="148">
        <v>0</v>
      </c>
      <c r="AA147" s="149">
        <f>Z147*K147</f>
        <v>0</v>
      </c>
      <c r="AP147" s="17" t="s">
        <v>145</v>
      </c>
      <c r="AR147" s="17" t="s">
        <v>142</v>
      </c>
      <c r="AS147" s="17" t="s">
        <v>95</v>
      </c>
      <c r="AW147" s="17" t="s">
        <v>141</v>
      </c>
      <c r="BC147" s="89">
        <f>IF(U147="základní",N147,0)</f>
        <v>0</v>
      </c>
      <c r="BD147" s="89">
        <f>IF(U147="snížená",N147,0)</f>
        <v>0</v>
      </c>
      <c r="BE147" s="89">
        <f>IF(U147="zákl. přenesená",N147,0)</f>
        <v>0</v>
      </c>
      <c r="BF147" s="89">
        <f>IF(U147="sníž. přenesená",N147,0)</f>
        <v>0</v>
      </c>
      <c r="BG147" s="89">
        <f>IF(U147="nulová",N147,0)</f>
        <v>0</v>
      </c>
      <c r="BH147" s="17" t="s">
        <v>80</v>
      </c>
      <c r="BI147" s="89">
        <f>ROUND(L147*K147,2)</f>
        <v>0</v>
      </c>
      <c r="BJ147" s="17" t="s">
        <v>145</v>
      </c>
      <c r="BK147" s="17" t="s">
        <v>203</v>
      </c>
    </row>
    <row r="148" spans="2:63" s="1" customFormat="1" ht="13.5">
      <c r="B148" s="30"/>
      <c r="C148" s="133">
        <v>15</v>
      </c>
      <c r="D148" s="150" t="s">
        <v>198</v>
      </c>
      <c r="E148" s="151" t="s">
        <v>205</v>
      </c>
      <c r="F148" s="467" t="s">
        <v>206</v>
      </c>
      <c r="G148" s="467"/>
      <c r="H148" s="467"/>
      <c r="I148" s="467"/>
      <c r="J148" s="152" t="s">
        <v>199</v>
      </c>
      <c r="K148" s="153">
        <v>292.868</v>
      </c>
      <c r="L148" s="468"/>
      <c r="M148" s="469"/>
      <c r="N148" s="458">
        <f t="shared" si="19"/>
        <v>0</v>
      </c>
      <c r="O148" s="458"/>
      <c r="P148" s="458"/>
      <c r="Q148" s="458"/>
      <c r="R148" s="31"/>
      <c r="T148" s="147" t="s">
        <v>20</v>
      </c>
      <c r="U148" s="34" t="s">
        <v>40</v>
      </c>
      <c r="V148" s="365"/>
      <c r="W148" s="148">
        <f>V148*K148</f>
        <v>0</v>
      </c>
      <c r="X148" s="148">
        <v>0.0325</v>
      </c>
      <c r="Y148" s="148">
        <f>X148*K148</f>
        <v>9.51821</v>
      </c>
      <c r="Z148" s="148">
        <v>0</v>
      </c>
      <c r="AA148" s="149">
        <f>Z148*K148</f>
        <v>0</v>
      </c>
      <c r="AP148" s="17" t="s">
        <v>167</v>
      </c>
      <c r="AR148" s="17" t="s">
        <v>198</v>
      </c>
      <c r="AS148" s="17" t="s">
        <v>95</v>
      </c>
      <c r="AW148" s="17" t="s">
        <v>141</v>
      </c>
      <c r="BC148" s="89">
        <f>IF(U148="základní",N148,0)</f>
        <v>0</v>
      </c>
      <c r="BD148" s="89">
        <f>IF(U148="snížená",N148,0)</f>
        <v>0</v>
      </c>
      <c r="BE148" s="89">
        <f>IF(U148="zákl. přenesená",N148,0)</f>
        <v>0</v>
      </c>
      <c r="BF148" s="89">
        <f>IF(U148="sníž. přenesená",N148,0)</f>
        <v>0</v>
      </c>
      <c r="BG148" s="89">
        <f>IF(U148="nulová",N148,0)</f>
        <v>0</v>
      </c>
      <c r="BH148" s="17" t="s">
        <v>80</v>
      </c>
      <c r="BI148" s="89">
        <f>ROUND(L148*K148,2)</f>
        <v>0</v>
      </c>
      <c r="BJ148" s="17" t="s">
        <v>145</v>
      </c>
      <c r="BK148" s="17" t="s">
        <v>207</v>
      </c>
    </row>
    <row r="149" spans="2:63" s="1" customFormat="1" ht="13.5">
      <c r="B149" s="30"/>
      <c r="C149" s="133">
        <v>16</v>
      </c>
      <c r="D149" s="150" t="s">
        <v>198</v>
      </c>
      <c r="E149" s="151" t="s">
        <v>617</v>
      </c>
      <c r="F149" s="467" t="s">
        <v>618</v>
      </c>
      <c r="G149" s="467"/>
      <c r="H149" s="467"/>
      <c r="I149" s="467"/>
      <c r="J149" s="152" t="s">
        <v>144</v>
      </c>
      <c r="K149" s="153">
        <v>34</v>
      </c>
      <c r="L149" s="468"/>
      <c r="M149" s="469"/>
      <c r="N149" s="458">
        <f aca="true" t="shared" si="20" ref="N149">SUM(K149*L149)</f>
        <v>0</v>
      </c>
      <c r="O149" s="458"/>
      <c r="P149" s="458"/>
      <c r="Q149" s="458"/>
      <c r="R149" s="31"/>
      <c r="T149" s="371"/>
      <c r="U149" s="34"/>
      <c r="V149" s="370"/>
      <c r="W149" s="148"/>
      <c r="X149" s="148"/>
      <c r="Y149" s="148"/>
      <c r="Z149" s="148"/>
      <c r="AA149" s="149"/>
      <c r="AP149" s="17"/>
      <c r="AR149" s="17"/>
      <c r="AS149" s="17"/>
      <c r="AW149" s="17"/>
      <c r="BC149" s="89"/>
      <c r="BD149" s="89"/>
      <c r="BE149" s="89"/>
      <c r="BF149" s="89"/>
      <c r="BG149" s="89"/>
      <c r="BH149" s="17"/>
      <c r="BI149" s="89"/>
      <c r="BJ149" s="17"/>
      <c r="BK149" s="17"/>
    </row>
    <row r="150" spans="2:61" s="9" customFormat="1" ht="15">
      <c r="B150" s="132"/>
      <c r="C150" s="143" t="s">
        <v>34</v>
      </c>
      <c r="D150" s="142" t="s">
        <v>107</v>
      </c>
      <c r="E150" s="142"/>
      <c r="F150" s="142"/>
      <c r="G150" s="142"/>
      <c r="H150" s="142"/>
      <c r="I150" s="142"/>
      <c r="J150" s="142"/>
      <c r="K150" s="142"/>
      <c r="L150" s="142"/>
      <c r="M150" s="142"/>
      <c r="N150" s="465">
        <f>SUM(N151:Q155)</f>
        <v>0</v>
      </c>
      <c r="O150" s="466"/>
      <c r="P150" s="466"/>
      <c r="Q150" s="466"/>
      <c r="R150" s="135"/>
      <c r="T150" s="136"/>
      <c r="U150" s="133"/>
      <c r="V150" s="133"/>
      <c r="W150" s="137">
        <f>SUM(W151:W155)</f>
        <v>0</v>
      </c>
      <c r="X150" s="133"/>
      <c r="Y150" s="137">
        <f>SUM(Y151:Y155)</f>
        <v>83.79736700000001</v>
      </c>
      <c r="Z150" s="133"/>
      <c r="AA150" s="138">
        <f>SUM(AA151:AA155)</f>
        <v>0</v>
      </c>
      <c r="AP150" s="139" t="s">
        <v>80</v>
      </c>
      <c r="AR150" s="140" t="s">
        <v>74</v>
      </c>
      <c r="AS150" s="140" t="s">
        <v>80</v>
      </c>
      <c r="AW150" s="139" t="s">
        <v>141</v>
      </c>
      <c r="BI150" s="141">
        <f>SUM(BI151:BI155)</f>
        <v>0</v>
      </c>
    </row>
    <row r="151" spans="2:63" s="1" customFormat="1" ht="13.5">
      <c r="B151" s="30"/>
      <c r="C151" s="143">
        <v>17</v>
      </c>
      <c r="D151" s="143" t="s">
        <v>142</v>
      </c>
      <c r="E151" s="144" t="s">
        <v>209</v>
      </c>
      <c r="F151" s="455" t="s">
        <v>623</v>
      </c>
      <c r="G151" s="455"/>
      <c r="H151" s="455"/>
      <c r="I151" s="455"/>
      <c r="J151" s="145" t="s">
        <v>144</v>
      </c>
      <c r="K151" s="146">
        <v>386</v>
      </c>
      <c r="L151" s="456"/>
      <c r="M151" s="457"/>
      <c r="N151" s="458">
        <f aca="true" t="shared" si="21" ref="N151">SUM(K151*L151)</f>
        <v>0</v>
      </c>
      <c r="O151" s="458"/>
      <c r="P151" s="458"/>
      <c r="Q151" s="458"/>
      <c r="R151" s="31"/>
      <c r="T151" s="147" t="s">
        <v>20</v>
      </c>
      <c r="U151" s="34" t="s">
        <v>40</v>
      </c>
      <c r="V151" s="365"/>
      <c r="W151" s="148">
        <f aca="true" t="shared" si="22" ref="W151:W155">V151*K151</f>
        <v>0</v>
      </c>
      <c r="X151" s="148">
        <v>0</v>
      </c>
      <c r="Y151" s="148">
        <f aca="true" t="shared" si="23" ref="Y151:Y155">X151*K151</f>
        <v>0</v>
      </c>
      <c r="Z151" s="148">
        <v>0</v>
      </c>
      <c r="AA151" s="149">
        <f aca="true" t="shared" si="24" ref="AA151:AA155">Z151*K151</f>
        <v>0</v>
      </c>
      <c r="AP151" s="17" t="s">
        <v>145</v>
      </c>
      <c r="AR151" s="17" t="s">
        <v>142</v>
      </c>
      <c r="AS151" s="17" t="s">
        <v>95</v>
      </c>
      <c r="AW151" s="17" t="s">
        <v>141</v>
      </c>
      <c r="BC151" s="89">
        <f aca="true" t="shared" si="25" ref="BC151:BC155">IF(U151="základní",N151,0)</f>
        <v>0</v>
      </c>
      <c r="BD151" s="89">
        <f aca="true" t="shared" si="26" ref="BD151:BD155">IF(U151="snížená",N151,0)</f>
        <v>0</v>
      </c>
      <c r="BE151" s="89">
        <f aca="true" t="shared" si="27" ref="BE151:BE155">IF(U151="zákl. přenesená",N151,0)</f>
        <v>0</v>
      </c>
      <c r="BF151" s="89">
        <f aca="true" t="shared" si="28" ref="BF151:BF155">IF(U151="sníž. přenesená",N151,0)</f>
        <v>0</v>
      </c>
      <c r="BG151" s="89">
        <f aca="true" t="shared" si="29" ref="BG151:BG155">IF(U151="nulová",N151,0)</f>
        <v>0</v>
      </c>
      <c r="BH151" s="17" t="s">
        <v>80</v>
      </c>
      <c r="BI151" s="89">
        <f aca="true" t="shared" si="30" ref="BI151:BI155">ROUND(L151*K151,2)</f>
        <v>0</v>
      </c>
      <c r="BJ151" s="17" t="s">
        <v>145</v>
      </c>
      <c r="BK151" s="17" t="s">
        <v>210</v>
      </c>
    </row>
    <row r="152" spans="2:63" s="1" customFormat="1" ht="13.5">
      <c r="B152" s="30"/>
      <c r="C152" s="143">
        <v>18</v>
      </c>
      <c r="D152" s="143" t="s">
        <v>142</v>
      </c>
      <c r="E152" s="144" t="s">
        <v>212</v>
      </c>
      <c r="F152" s="455" t="s">
        <v>213</v>
      </c>
      <c r="G152" s="455"/>
      <c r="H152" s="455"/>
      <c r="I152" s="455"/>
      <c r="J152" s="145" t="s">
        <v>144</v>
      </c>
      <c r="K152" s="146">
        <v>380</v>
      </c>
      <c r="L152" s="456"/>
      <c r="M152" s="457"/>
      <c r="N152" s="458">
        <f aca="true" t="shared" si="31" ref="N152:N155">SUM(K152*L152)</f>
        <v>0</v>
      </c>
      <c r="O152" s="458"/>
      <c r="P152" s="458"/>
      <c r="Q152" s="458"/>
      <c r="R152" s="31"/>
      <c r="T152" s="147" t="s">
        <v>20</v>
      </c>
      <c r="U152" s="34" t="s">
        <v>40</v>
      </c>
      <c r="V152" s="365"/>
      <c r="W152" s="148">
        <f t="shared" si="22"/>
        <v>0</v>
      </c>
      <c r="X152" s="148">
        <v>0.08425</v>
      </c>
      <c r="Y152" s="148">
        <f t="shared" si="23"/>
        <v>32.015</v>
      </c>
      <c r="Z152" s="148">
        <v>0</v>
      </c>
      <c r="AA152" s="149">
        <f t="shared" si="24"/>
        <v>0</v>
      </c>
      <c r="AP152" s="17" t="s">
        <v>145</v>
      </c>
      <c r="AR152" s="17" t="s">
        <v>142</v>
      </c>
      <c r="AS152" s="17" t="s">
        <v>95</v>
      </c>
      <c r="AW152" s="17" t="s">
        <v>141</v>
      </c>
      <c r="BC152" s="89">
        <f t="shared" si="25"/>
        <v>0</v>
      </c>
      <c r="BD152" s="89">
        <f t="shared" si="26"/>
        <v>0</v>
      </c>
      <c r="BE152" s="89">
        <f t="shared" si="27"/>
        <v>0</v>
      </c>
      <c r="BF152" s="89">
        <f t="shared" si="28"/>
        <v>0</v>
      </c>
      <c r="BG152" s="89">
        <f t="shared" si="29"/>
        <v>0</v>
      </c>
      <c r="BH152" s="17" t="s">
        <v>80</v>
      </c>
      <c r="BI152" s="89">
        <f t="shared" si="30"/>
        <v>0</v>
      </c>
      <c r="BJ152" s="17" t="s">
        <v>145</v>
      </c>
      <c r="BK152" s="17" t="s">
        <v>214</v>
      </c>
    </row>
    <row r="153" spans="2:63" s="1" customFormat="1" ht="13.5">
      <c r="B153" s="30"/>
      <c r="C153" s="143">
        <v>19</v>
      </c>
      <c r="D153" s="150" t="s">
        <v>198</v>
      </c>
      <c r="E153" s="151" t="s">
        <v>215</v>
      </c>
      <c r="F153" s="467" t="s">
        <v>216</v>
      </c>
      <c r="G153" s="467"/>
      <c r="H153" s="467"/>
      <c r="I153" s="467"/>
      <c r="J153" s="152" t="s">
        <v>144</v>
      </c>
      <c r="K153" s="153">
        <v>394</v>
      </c>
      <c r="L153" s="468"/>
      <c r="M153" s="469"/>
      <c r="N153" s="458">
        <f t="shared" si="31"/>
        <v>0</v>
      </c>
      <c r="O153" s="458"/>
      <c r="P153" s="458"/>
      <c r="Q153" s="458"/>
      <c r="R153" s="31"/>
      <c r="T153" s="147" t="s">
        <v>20</v>
      </c>
      <c r="U153" s="34" t="s">
        <v>40</v>
      </c>
      <c r="V153" s="365"/>
      <c r="W153" s="148">
        <f t="shared" si="22"/>
        <v>0</v>
      </c>
      <c r="X153" s="148">
        <v>0.131</v>
      </c>
      <c r="Y153" s="148">
        <f t="shared" si="23"/>
        <v>51.614000000000004</v>
      </c>
      <c r="Z153" s="148">
        <v>0</v>
      </c>
      <c r="AA153" s="149">
        <f t="shared" si="24"/>
        <v>0</v>
      </c>
      <c r="AP153" s="17" t="s">
        <v>167</v>
      </c>
      <c r="AR153" s="17" t="s">
        <v>198</v>
      </c>
      <c r="AS153" s="17" t="s">
        <v>95</v>
      </c>
      <c r="AW153" s="17" t="s">
        <v>141</v>
      </c>
      <c r="BC153" s="89">
        <f t="shared" si="25"/>
        <v>0</v>
      </c>
      <c r="BD153" s="89">
        <f t="shared" si="26"/>
        <v>0</v>
      </c>
      <c r="BE153" s="89">
        <f t="shared" si="27"/>
        <v>0</v>
      </c>
      <c r="BF153" s="89">
        <f t="shared" si="28"/>
        <v>0</v>
      </c>
      <c r="BG153" s="89">
        <f t="shared" si="29"/>
        <v>0</v>
      </c>
      <c r="BH153" s="17" t="s">
        <v>80</v>
      </c>
      <c r="BI153" s="89">
        <f t="shared" si="30"/>
        <v>0</v>
      </c>
      <c r="BJ153" s="17" t="s">
        <v>145</v>
      </c>
      <c r="BK153" s="17" t="s">
        <v>217</v>
      </c>
    </row>
    <row r="154" spans="2:63" s="1" customFormat="1" ht="13.5">
      <c r="B154" s="30"/>
      <c r="C154" s="143">
        <v>20</v>
      </c>
      <c r="D154" s="143" t="s">
        <v>142</v>
      </c>
      <c r="E154" s="144" t="s">
        <v>218</v>
      </c>
      <c r="F154" s="455" t="s">
        <v>219</v>
      </c>
      <c r="G154" s="455"/>
      <c r="H154" s="455"/>
      <c r="I154" s="455"/>
      <c r="J154" s="145" t="s">
        <v>144</v>
      </c>
      <c r="K154" s="146">
        <v>1.667</v>
      </c>
      <c r="L154" s="456"/>
      <c r="M154" s="457"/>
      <c r="N154" s="458">
        <f t="shared" si="31"/>
        <v>0</v>
      </c>
      <c r="O154" s="458"/>
      <c r="P154" s="458"/>
      <c r="Q154" s="458"/>
      <c r="R154" s="31"/>
      <c r="T154" s="147" t="s">
        <v>20</v>
      </c>
      <c r="U154" s="34" t="s">
        <v>40</v>
      </c>
      <c r="V154" s="365"/>
      <c r="W154" s="148">
        <f t="shared" si="22"/>
        <v>0</v>
      </c>
      <c r="X154" s="148">
        <v>0.101</v>
      </c>
      <c r="Y154" s="148">
        <f t="shared" si="23"/>
        <v>0.16836700000000002</v>
      </c>
      <c r="Z154" s="148">
        <v>0</v>
      </c>
      <c r="AA154" s="149">
        <f t="shared" si="24"/>
        <v>0</v>
      </c>
      <c r="AP154" s="17" t="s">
        <v>145</v>
      </c>
      <c r="AR154" s="17" t="s">
        <v>142</v>
      </c>
      <c r="AS154" s="17" t="s">
        <v>95</v>
      </c>
      <c r="AW154" s="17" t="s">
        <v>141</v>
      </c>
      <c r="BC154" s="89">
        <f t="shared" si="25"/>
        <v>0</v>
      </c>
      <c r="BD154" s="89">
        <f t="shared" si="26"/>
        <v>0</v>
      </c>
      <c r="BE154" s="89">
        <f t="shared" si="27"/>
        <v>0</v>
      </c>
      <c r="BF154" s="89">
        <f t="shared" si="28"/>
        <v>0</v>
      </c>
      <c r="BG154" s="89">
        <f t="shared" si="29"/>
        <v>0</v>
      </c>
      <c r="BH154" s="17" t="s">
        <v>80</v>
      </c>
      <c r="BI154" s="89">
        <f t="shared" si="30"/>
        <v>0</v>
      </c>
      <c r="BJ154" s="17" t="s">
        <v>145</v>
      </c>
      <c r="BK154" s="17" t="s">
        <v>220</v>
      </c>
    </row>
    <row r="155" spans="2:63" s="1" customFormat="1" ht="13.5">
      <c r="B155" s="30"/>
      <c r="C155" s="143">
        <v>21</v>
      </c>
      <c r="D155" s="150" t="s">
        <v>198</v>
      </c>
      <c r="E155" s="151" t="s">
        <v>221</v>
      </c>
      <c r="F155" s="467" t="s">
        <v>222</v>
      </c>
      <c r="G155" s="467"/>
      <c r="H155" s="467"/>
      <c r="I155" s="467"/>
      <c r="J155" s="152" t="s">
        <v>199</v>
      </c>
      <c r="K155" s="153">
        <v>19</v>
      </c>
      <c r="L155" s="468"/>
      <c r="M155" s="469"/>
      <c r="N155" s="458">
        <f t="shared" si="31"/>
        <v>0</v>
      </c>
      <c r="O155" s="458"/>
      <c r="P155" s="458"/>
      <c r="Q155" s="458"/>
      <c r="R155" s="31"/>
      <c r="T155" s="147" t="s">
        <v>20</v>
      </c>
      <c r="U155" s="34" t="s">
        <v>40</v>
      </c>
      <c r="V155" s="365"/>
      <c r="W155" s="148">
        <f t="shared" si="22"/>
        <v>0</v>
      </c>
      <c r="X155" s="148">
        <v>0</v>
      </c>
      <c r="Y155" s="148">
        <f t="shared" si="23"/>
        <v>0</v>
      </c>
      <c r="Z155" s="148">
        <v>0</v>
      </c>
      <c r="AA155" s="149">
        <f t="shared" si="24"/>
        <v>0</v>
      </c>
      <c r="AP155" s="17" t="s">
        <v>167</v>
      </c>
      <c r="AR155" s="17" t="s">
        <v>198</v>
      </c>
      <c r="AS155" s="17" t="s">
        <v>95</v>
      </c>
      <c r="AW155" s="17" t="s">
        <v>141</v>
      </c>
      <c r="BC155" s="89">
        <f t="shared" si="25"/>
        <v>0</v>
      </c>
      <c r="BD155" s="89">
        <f t="shared" si="26"/>
        <v>0</v>
      </c>
      <c r="BE155" s="89">
        <f t="shared" si="27"/>
        <v>0</v>
      </c>
      <c r="BF155" s="89">
        <f t="shared" si="28"/>
        <v>0</v>
      </c>
      <c r="BG155" s="89">
        <f t="shared" si="29"/>
        <v>0</v>
      </c>
      <c r="BH155" s="17" t="s">
        <v>80</v>
      </c>
      <c r="BI155" s="89">
        <f t="shared" si="30"/>
        <v>0</v>
      </c>
      <c r="BJ155" s="17" t="s">
        <v>145</v>
      </c>
      <c r="BK155" s="17" t="s">
        <v>223</v>
      </c>
    </row>
    <row r="156" spans="2:61" s="9" customFormat="1" ht="15">
      <c r="B156" s="132"/>
      <c r="C156" s="150" t="s">
        <v>34</v>
      </c>
      <c r="D156" s="142" t="s">
        <v>108</v>
      </c>
      <c r="E156" s="142"/>
      <c r="F156" s="142"/>
      <c r="G156" s="142"/>
      <c r="H156" s="142"/>
      <c r="I156" s="142"/>
      <c r="J156" s="142"/>
      <c r="K156" s="142"/>
      <c r="L156" s="142"/>
      <c r="M156" s="142"/>
      <c r="N156" s="465">
        <f>SUM(N157:Q158)</f>
        <v>0</v>
      </c>
      <c r="O156" s="466"/>
      <c r="P156" s="466"/>
      <c r="Q156" s="466"/>
      <c r="R156" s="135"/>
      <c r="T156" s="136"/>
      <c r="U156" s="133"/>
      <c r="V156" s="133"/>
      <c r="W156" s="137">
        <f>SUM(W157:W158)</f>
        <v>0</v>
      </c>
      <c r="X156" s="133"/>
      <c r="Y156" s="137">
        <f>SUM(Y157:Y158)</f>
        <v>52.39548</v>
      </c>
      <c r="Z156" s="133"/>
      <c r="AA156" s="138">
        <f>SUM(AA157:AA158)</f>
        <v>0</v>
      </c>
      <c r="AP156" s="139" t="s">
        <v>80</v>
      </c>
      <c r="AR156" s="140" t="s">
        <v>74</v>
      </c>
      <c r="AS156" s="140" t="s">
        <v>80</v>
      </c>
      <c r="AW156" s="139" t="s">
        <v>141</v>
      </c>
      <c r="BI156" s="141">
        <f>SUM(BI157:BI158)</f>
        <v>0</v>
      </c>
    </row>
    <row r="157" spans="2:63" s="1" customFormat="1" ht="13.5">
      <c r="B157" s="30"/>
      <c r="C157" s="133">
        <v>22</v>
      </c>
      <c r="D157" s="143" t="s">
        <v>142</v>
      </c>
      <c r="E157" s="144" t="s">
        <v>224</v>
      </c>
      <c r="F157" s="455" t="s">
        <v>225</v>
      </c>
      <c r="G157" s="455"/>
      <c r="H157" s="455"/>
      <c r="I157" s="455"/>
      <c r="J157" s="145" t="s">
        <v>150</v>
      </c>
      <c r="K157" s="146">
        <v>12.118</v>
      </c>
      <c r="L157" s="456"/>
      <c r="M157" s="457"/>
      <c r="N157" s="458">
        <f aca="true" t="shared" si="32" ref="N157">SUM(K157*L157)</f>
        <v>0</v>
      </c>
      <c r="O157" s="458"/>
      <c r="P157" s="458"/>
      <c r="Q157" s="458"/>
      <c r="R157" s="31"/>
      <c r="T157" s="147" t="s">
        <v>20</v>
      </c>
      <c r="U157" s="34" t="s">
        <v>40</v>
      </c>
      <c r="V157" s="365"/>
      <c r="W157" s="148">
        <f>V157*K157</f>
        <v>0</v>
      </c>
      <c r="X157" s="148">
        <v>1.98</v>
      </c>
      <c r="Y157" s="148">
        <f>X157*K157</f>
        <v>23.99364</v>
      </c>
      <c r="Z157" s="148">
        <v>0</v>
      </c>
      <c r="AA157" s="149">
        <f>Z157*K157</f>
        <v>0</v>
      </c>
      <c r="AP157" s="17" t="s">
        <v>145</v>
      </c>
      <c r="AR157" s="17" t="s">
        <v>142</v>
      </c>
      <c r="AS157" s="17" t="s">
        <v>95</v>
      </c>
      <c r="AW157" s="17" t="s">
        <v>141</v>
      </c>
      <c r="BC157" s="89">
        <f>IF(U157="základní",N157,0)</f>
        <v>0</v>
      </c>
      <c r="BD157" s="89">
        <f>IF(U157="snížená",N157,0)</f>
        <v>0</v>
      </c>
      <c r="BE157" s="89">
        <f>IF(U157="zákl. přenesená",N157,0)</f>
        <v>0</v>
      </c>
      <c r="BF157" s="89">
        <f>IF(U157="sníž. přenesená",N157,0)</f>
        <v>0</v>
      </c>
      <c r="BG157" s="89">
        <f>IF(U157="nulová",N157,0)</f>
        <v>0</v>
      </c>
      <c r="BH157" s="17" t="s">
        <v>80</v>
      </c>
      <c r="BI157" s="89">
        <f>ROUND(L157*K157,2)</f>
        <v>0</v>
      </c>
      <c r="BJ157" s="17" t="s">
        <v>145</v>
      </c>
      <c r="BK157" s="17" t="s">
        <v>226</v>
      </c>
    </row>
    <row r="158" spans="2:63" s="1" customFormat="1" ht="13.5">
      <c r="B158" s="30"/>
      <c r="C158" s="143">
        <v>23</v>
      </c>
      <c r="D158" s="143" t="s">
        <v>142</v>
      </c>
      <c r="E158" s="144" t="s">
        <v>227</v>
      </c>
      <c r="F158" s="455" t="s">
        <v>228</v>
      </c>
      <c r="G158" s="455"/>
      <c r="H158" s="455"/>
      <c r="I158" s="455"/>
      <c r="J158" s="145" t="s">
        <v>150</v>
      </c>
      <c r="K158" s="146">
        <v>13.149</v>
      </c>
      <c r="L158" s="456"/>
      <c r="M158" s="457"/>
      <c r="N158" s="458">
        <f aca="true" t="shared" si="33" ref="N158">SUM(K158*L158)</f>
        <v>0</v>
      </c>
      <c r="O158" s="458"/>
      <c r="P158" s="458"/>
      <c r="Q158" s="458"/>
      <c r="R158" s="31"/>
      <c r="T158" s="147" t="s">
        <v>20</v>
      </c>
      <c r="U158" s="34" t="s">
        <v>40</v>
      </c>
      <c r="V158" s="365"/>
      <c r="W158" s="148">
        <f>V158*K158</f>
        <v>0</v>
      </c>
      <c r="X158" s="148">
        <v>2.16</v>
      </c>
      <c r="Y158" s="148">
        <f>X158*K158</f>
        <v>28.40184</v>
      </c>
      <c r="Z158" s="148">
        <v>0</v>
      </c>
      <c r="AA158" s="149">
        <f>Z158*K158</f>
        <v>0</v>
      </c>
      <c r="AP158" s="17" t="s">
        <v>145</v>
      </c>
      <c r="AR158" s="17" t="s">
        <v>142</v>
      </c>
      <c r="AS158" s="17" t="s">
        <v>95</v>
      </c>
      <c r="AW158" s="17" t="s">
        <v>141</v>
      </c>
      <c r="BC158" s="89">
        <f>IF(U158="základní",N158,0)</f>
        <v>0</v>
      </c>
      <c r="BD158" s="89">
        <f>IF(U158="snížená",N158,0)</f>
        <v>0</v>
      </c>
      <c r="BE158" s="89">
        <f>IF(U158="zákl. přenesená",N158,0)</f>
        <v>0</v>
      </c>
      <c r="BF158" s="89">
        <f>IF(U158="sníž. přenesená",N158,0)</f>
        <v>0</v>
      </c>
      <c r="BG158" s="89">
        <f>IF(U158="nulová",N158,0)</f>
        <v>0</v>
      </c>
      <c r="BH158" s="17" t="s">
        <v>80</v>
      </c>
      <c r="BI158" s="89">
        <f>ROUND(L158*K158,2)</f>
        <v>0</v>
      </c>
      <c r="BJ158" s="17" t="s">
        <v>145</v>
      </c>
      <c r="BK158" s="17" t="s">
        <v>229</v>
      </c>
    </row>
    <row r="159" spans="2:61" s="9" customFormat="1" ht="15">
      <c r="B159" s="132"/>
      <c r="C159" s="143" t="s">
        <v>34</v>
      </c>
      <c r="D159" s="142" t="s">
        <v>109</v>
      </c>
      <c r="E159" s="142"/>
      <c r="F159" s="142"/>
      <c r="G159" s="142"/>
      <c r="H159" s="142"/>
      <c r="I159" s="142"/>
      <c r="J159" s="142"/>
      <c r="K159" s="142"/>
      <c r="L159" s="142"/>
      <c r="M159" s="142"/>
      <c r="N159" s="465">
        <f>SUM(N160)</f>
        <v>0</v>
      </c>
      <c r="O159" s="466"/>
      <c r="P159" s="466"/>
      <c r="Q159" s="466"/>
      <c r="R159" s="135"/>
      <c r="T159" s="136"/>
      <c r="U159" s="133"/>
      <c r="V159" s="133"/>
      <c r="W159" s="137">
        <f>W160</f>
        <v>0</v>
      </c>
      <c r="X159" s="133"/>
      <c r="Y159" s="137">
        <f>Y160</f>
        <v>0</v>
      </c>
      <c r="Z159" s="133"/>
      <c r="AA159" s="138">
        <f>AA160</f>
        <v>0</v>
      </c>
      <c r="AP159" s="139" t="s">
        <v>80</v>
      </c>
      <c r="AR159" s="140" t="s">
        <v>74</v>
      </c>
      <c r="AS159" s="140" t="s">
        <v>80</v>
      </c>
      <c r="AW159" s="139" t="s">
        <v>141</v>
      </c>
      <c r="BI159" s="141">
        <f>BI160</f>
        <v>0</v>
      </c>
    </row>
    <row r="160" spans="2:63" s="1" customFormat="1" ht="13.5">
      <c r="B160" s="30"/>
      <c r="C160" s="150">
        <v>24</v>
      </c>
      <c r="D160" s="143" t="s">
        <v>142</v>
      </c>
      <c r="E160" s="144" t="s">
        <v>230</v>
      </c>
      <c r="F160" s="455" t="s">
        <v>231</v>
      </c>
      <c r="G160" s="455"/>
      <c r="H160" s="455"/>
      <c r="I160" s="455"/>
      <c r="J160" s="145" t="s">
        <v>194</v>
      </c>
      <c r="K160" s="146">
        <v>1</v>
      </c>
      <c r="L160" s="456"/>
      <c r="M160" s="457"/>
      <c r="N160" s="458">
        <f>ROUND(L160*K160,2)</f>
        <v>0</v>
      </c>
      <c r="O160" s="458"/>
      <c r="P160" s="458"/>
      <c r="Q160" s="458"/>
      <c r="R160" s="31"/>
      <c r="T160" s="147" t="s">
        <v>20</v>
      </c>
      <c r="U160" s="34" t="s">
        <v>40</v>
      </c>
      <c r="V160" s="365"/>
      <c r="W160" s="148">
        <f>V160*K160</f>
        <v>0</v>
      </c>
      <c r="X160" s="148">
        <v>0</v>
      </c>
      <c r="Y160" s="148">
        <f>X160*K160</f>
        <v>0</v>
      </c>
      <c r="Z160" s="148">
        <v>0</v>
      </c>
      <c r="AA160" s="149">
        <f>Z160*K160</f>
        <v>0</v>
      </c>
      <c r="AC160" s="355"/>
      <c r="AP160" s="17" t="s">
        <v>145</v>
      </c>
      <c r="AR160" s="17" t="s">
        <v>142</v>
      </c>
      <c r="AS160" s="17" t="s">
        <v>95</v>
      </c>
      <c r="AW160" s="17" t="s">
        <v>141</v>
      </c>
      <c r="BC160" s="89">
        <f>IF(U160="základní",N160,0)</f>
        <v>0</v>
      </c>
      <c r="BD160" s="89">
        <f>IF(U160="snížená",N160,0)</f>
        <v>0</v>
      </c>
      <c r="BE160" s="89">
        <f>IF(U160="zákl. přenesená",N160,0)</f>
        <v>0</v>
      </c>
      <c r="BF160" s="89">
        <f>IF(U160="sníž. přenesená",N160,0)</f>
        <v>0</v>
      </c>
      <c r="BG160" s="89">
        <f>IF(U160="nulová",N160,0)</f>
        <v>0</v>
      </c>
      <c r="BH160" s="17" t="s">
        <v>80</v>
      </c>
      <c r="BI160" s="89">
        <f>ROUND(L160*K160,2)</f>
        <v>0</v>
      </c>
      <c r="BJ160" s="17" t="s">
        <v>145</v>
      </c>
      <c r="BK160" s="17" t="s">
        <v>232</v>
      </c>
    </row>
    <row r="161" spans="2:61" s="9" customFormat="1" ht="15">
      <c r="B161" s="132" t="s">
        <v>34</v>
      </c>
      <c r="C161" s="143" t="s">
        <v>34</v>
      </c>
      <c r="D161" s="142" t="s">
        <v>110</v>
      </c>
      <c r="E161" s="142"/>
      <c r="F161" s="142"/>
      <c r="G161" s="142"/>
      <c r="H161" s="142"/>
      <c r="I161" s="142"/>
      <c r="J161" s="142"/>
      <c r="K161" s="142"/>
      <c r="L161" s="142"/>
      <c r="M161" s="142"/>
      <c r="N161" s="465">
        <f>SUM(N162:Q166)</f>
        <v>0</v>
      </c>
      <c r="O161" s="466"/>
      <c r="P161" s="466"/>
      <c r="Q161" s="466"/>
      <c r="R161" s="135"/>
      <c r="T161" s="136"/>
      <c r="U161" s="133"/>
      <c r="V161" s="133"/>
      <c r="W161" s="137">
        <f>SUM(W162:W166)</f>
        <v>0</v>
      </c>
      <c r="X161" s="133"/>
      <c r="Y161" s="137">
        <f>SUM(Y162:Y166)</f>
        <v>11.14457026</v>
      </c>
      <c r="Z161" s="133"/>
      <c r="AA161" s="138">
        <f>SUM(AA162:AA166)</f>
        <v>0</v>
      </c>
      <c r="AP161" s="139" t="s">
        <v>80</v>
      </c>
      <c r="AR161" s="140" t="s">
        <v>74</v>
      </c>
      <c r="AS161" s="140" t="s">
        <v>80</v>
      </c>
      <c r="AW161" s="139" t="s">
        <v>141</v>
      </c>
      <c r="BI161" s="141">
        <f>SUM(BI162:BI166)</f>
        <v>0</v>
      </c>
    </row>
    <row r="162" spans="2:63" s="1" customFormat="1" ht="13.5">
      <c r="B162" s="30"/>
      <c r="C162" s="150">
        <v>25</v>
      </c>
      <c r="D162" s="143" t="s">
        <v>142</v>
      </c>
      <c r="E162" s="144" t="s">
        <v>235</v>
      </c>
      <c r="F162" s="455" t="s">
        <v>236</v>
      </c>
      <c r="G162" s="455"/>
      <c r="H162" s="455"/>
      <c r="I162" s="455"/>
      <c r="J162" s="145" t="s">
        <v>196</v>
      </c>
      <c r="K162" s="146">
        <v>7.5</v>
      </c>
      <c r="L162" s="456"/>
      <c r="M162" s="457"/>
      <c r="N162" s="458">
        <f aca="true" t="shared" si="34" ref="N162">ROUND(L162*K162,2)</f>
        <v>0</v>
      </c>
      <c r="O162" s="458"/>
      <c r="P162" s="458"/>
      <c r="Q162" s="458"/>
      <c r="R162" s="31"/>
      <c r="T162" s="147" t="s">
        <v>20</v>
      </c>
      <c r="U162" s="34" t="s">
        <v>40</v>
      </c>
      <c r="V162" s="365"/>
      <c r="W162" s="148">
        <f aca="true" t="shared" si="35" ref="W162:W166">V162*K162</f>
        <v>0</v>
      </c>
      <c r="X162" s="148">
        <v>0.10095</v>
      </c>
      <c r="Y162" s="148">
        <f aca="true" t="shared" si="36" ref="Y162:Y166">X162*K162</f>
        <v>0.7571249999999999</v>
      </c>
      <c r="Z162" s="148">
        <v>0</v>
      </c>
      <c r="AA162" s="149">
        <f aca="true" t="shared" si="37" ref="AA162:AA166">Z162*K162</f>
        <v>0</v>
      </c>
      <c r="AP162" s="17" t="s">
        <v>145</v>
      </c>
      <c r="AR162" s="17" t="s">
        <v>142</v>
      </c>
      <c r="AS162" s="17" t="s">
        <v>95</v>
      </c>
      <c r="AW162" s="17" t="s">
        <v>141</v>
      </c>
      <c r="BC162" s="89">
        <f aca="true" t="shared" si="38" ref="BC162:BC166">IF(U162="základní",N162,0)</f>
        <v>0</v>
      </c>
      <c r="BD162" s="89">
        <f aca="true" t="shared" si="39" ref="BD162:BD166">IF(U162="snížená",N162,0)</f>
        <v>0</v>
      </c>
      <c r="BE162" s="89">
        <f aca="true" t="shared" si="40" ref="BE162:BE166">IF(U162="zákl. přenesená",N162,0)</f>
        <v>0</v>
      </c>
      <c r="BF162" s="89">
        <f aca="true" t="shared" si="41" ref="BF162:BF166">IF(U162="sníž. přenesená",N162,0)</f>
        <v>0</v>
      </c>
      <c r="BG162" s="89">
        <f aca="true" t="shared" si="42" ref="BG162:BG166">IF(U162="nulová",N162,0)</f>
        <v>0</v>
      </c>
      <c r="BH162" s="17" t="s">
        <v>80</v>
      </c>
      <c r="BI162" s="89">
        <f aca="true" t="shared" si="43" ref="BI162:BI166">ROUND(L162*K162,2)</f>
        <v>0</v>
      </c>
      <c r="BJ162" s="17" t="s">
        <v>145</v>
      </c>
      <c r="BK162" s="17" t="s">
        <v>237</v>
      </c>
    </row>
    <row r="163" spans="2:63" s="1" customFormat="1" ht="13.5">
      <c r="B163" s="30"/>
      <c r="C163" s="150">
        <v>26</v>
      </c>
      <c r="D163" s="150" t="s">
        <v>198</v>
      </c>
      <c r="E163" s="151" t="s">
        <v>238</v>
      </c>
      <c r="F163" s="467" t="s">
        <v>239</v>
      </c>
      <c r="G163" s="467"/>
      <c r="H163" s="467"/>
      <c r="I163" s="467"/>
      <c r="J163" s="152" t="s">
        <v>199</v>
      </c>
      <c r="K163" s="153">
        <v>15.15</v>
      </c>
      <c r="L163" s="468"/>
      <c r="M163" s="469"/>
      <c r="N163" s="458">
        <f aca="true" t="shared" si="44" ref="N163:N166">ROUND(L163*K163,2)</f>
        <v>0</v>
      </c>
      <c r="O163" s="458"/>
      <c r="P163" s="458"/>
      <c r="Q163" s="458"/>
      <c r="R163" s="31"/>
      <c r="T163" s="147" t="s">
        <v>20</v>
      </c>
      <c r="U163" s="34" t="s">
        <v>40</v>
      </c>
      <c r="V163" s="365"/>
      <c r="W163" s="148">
        <f t="shared" si="35"/>
        <v>0</v>
      </c>
      <c r="X163" s="148">
        <v>0.014</v>
      </c>
      <c r="Y163" s="148">
        <f t="shared" si="36"/>
        <v>0.2121</v>
      </c>
      <c r="Z163" s="148">
        <v>0</v>
      </c>
      <c r="AA163" s="149">
        <f t="shared" si="37"/>
        <v>0</v>
      </c>
      <c r="AP163" s="17" t="s">
        <v>167</v>
      </c>
      <c r="AR163" s="17" t="s">
        <v>198</v>
      </c>
      <c r="AS163" s="17" t="s">
        <v>95</v>
      </c>
      <c r="AW163" s="17" t="s">
        <v>141</v>
      </c>
      <c r="BC163" s="89">
        <f t="shared" si="38"/>
        <v>0</v>
      </c>
      <c r="BD163" s="89">
        <f t="shared" si="39"/>
        <v>0</v>
      </c>
      <c r="BE163" s="89">
        <f t="shared" si="40"/>
        <v>0</v>
      </c>
      <c r="BF163" s="89">
        <f t="shared" si="41"/>
        <v>0</v>
      </c>
      <c r="BG163" s="89">
        <f t="shared" si="42"/>
        <v>0</v>
      </c>
      <c r="BH163" s="17" t="s">
        <v>80</v>
      </c>
      <c r="BI163" s="89">
        <f t="shared" si="43"/>
        <v>0</v>
      </c>
      <c r="BJ163" s="17" t="s">
        <v>145</v>
      </c>
      <c r="BK163" s="17" t="s">
        <v>240</v>
      </c>
    </row>
    <row r="164" spans="2:63" s="1" customFormat="1" ht="13.5">
      <c r="B164" s="30"/>
      <c r="C164" s="150">
        <v>27</v>
      </c>
      <c r="D164" s="143" t="s">
        <v>142</v>
      </c>
      <c r="E164" s="144" t="s">
        <v>241</v>
      </c>
      <c r="F164" s="455" t="s">
        <v>242</v>
      </c>
      <c r="G164" s="455"/>
      <c r="H164" s="455"/>
      <c r="I164" s="455"/>
      <c r="J164" s="145" t="s">
        <v>150</v>
      </c>
      <c r="K164" s="146">
        <v>3.199</v>
      </c>
      <c r="L164" s="456"/>
      <c r="M164" s="457"/>
      <c r="N164" s="458">
        <f t="shared" si="44"/>
        <v>0</v>
      </c>
      <c r="O164" s="458"/>
      <c r="P164" s="458"/>
      <c r="Q164" s="458"/>
      <c r="R164" s="31"/>
      <c r="T164" s="147" t="s">
        <v>20</v>
      </c>
      <c r="U164" s="34" t="s">
        <v>40</v>
      </c>
      <c r="V164" s="365"/>
      <c r="W164" s="148">
        <f t="shared" si="35"/>
        <v>0</v>
      </c>
      <c r="X164" s="148">
        <v>2.25634</v>
      </c>
      <c r="Y164" s="148">
        <f t="shared" si="36"/>
        <v>7.218031659999999</v>
      </c>
      <c r="Z164" s="148">
        <v>0</v>
      </c>
      <c r="AA164" s="149">
        <f t="shared" si="37"/>
        <v>0</v>
      </c>
      <c r="AP164" s="17" t="s">
        <v>145</v>
      </c>
      <c r="AR164" s="17" t="s">
        <v>142</v>
      </c>
      <c r="AS164" s="17" t="s">
        <v>95</v>
      </c>
      <c r="AW164" s="17" t="s">
        <v>141</v>
      </c>
      <c r="BC164" s="89">
        <f t="shared" si="38"/>
        <v>0</v>
      </c>
      <c r="BD164" s="89">
        <f t="shared" si="39"/>
        <v>0</v>
      </c>
      <c r="BE164" s="89">
        <f t="shared" si="40"/>
        <v>0</v>
      </c>
      <c r="BF164" s="89">
        <f t="shared" si="41"/>
        <v>0</v>
      </c>
      <c r="BG164" s="89">
        <f t="shared" si="42"/>
        <v>0</v>
      </c>
      <c r="BH164" s="17" t="s">
        <v>80</v>
      </c>
      <c r="BI164" s="89">
        <f t="shared" si="43"/>
        <v>0</v>
      </c>
      <c r="BJ164" s="17" t="s">
        <v>145</v>
      </c>
      <c r="BK164" s="17" t="s">
        <v>243</v>
      </c>
    </row>
    <row r="165" spans="2:63" s="1" customFormat="1" ht="13.5">
      <c r="B165" s="30"/>
      <c r="C165" s="150">
        <v>28</v>
      </c>
      <c r="D165" s="143" t="s">
        <v>142</v>
      </c>
      <c r="E165" s="144" t="s">
        <v>244</v>
      </c>
      <c r="F165" s="455" t="s">
        <v>245</v>
      </c>
      <c r="G165" s="455"/>
      <c r="H165" s="455"/>
      <c r="I165" s="455"/>
      <c r="J165" s="145" t="s">
        <v>196</v>
      </c>
      <c r="K165" s="146">
        <v>25.045</v>
      </c>
      <c r="L165" s="456"/>
      <c r="M165" s="457"/>
      <c r="N165" s="458">
        <f t="shared" si="44"/>
        <v>0</v>
      </c>
      <c r="O165" s="458"/>
      <c r="P165" s="458"/>
      <c r="Q165" s="458"/>
      <c r="R165" s="31"/>
      <c r="T165" s="147" t="s">
        <v>20</v>
      </c>
      <c r="U165" s="34" t="s">
        <v>40</v>
      </c>
      <c r="V165" s="365"/>
      <c r="W165" s="148">
        <f t="shared" si="35"/>
        <v>0</v>
      </c>
      <c r="X165" s="148">
        <v>0.11808</v>
      </c>
      <c r="Y165" s="148">
        <f t="shared" si="36"/>
        <v>2.9573136000000004</v>
      </c>
      <c r="Z165" s="148">
        <v>0</v>
      </c>
      <c r="AA165" s="149">
        <f t="shared" si="37"/>
        <v>0</v>
      </c>
      <c r="AP165" s="17" t="s">
        <v>145</v>
      </c>
      <c r="AR165" s="17" t="s">
        <v>142</v>
      </c>
      <c r="AS165" s="17" t="s">
        <v>95</v>
      </c>
      <c r="AW165" s="17" t="s">
        <v>141</v>
      </c>
      <c r="BC165" s="89">
        <f t="shared" si="38"/>
        <v>0</v>
      </c>
      <c r="BD165" s="89">
        <f t="shared" si="39"/>
        <v>0</v>
      </c>
      <c r="BE165" s="89">
        <f t="shared" si="40"/>
        <v>0</v>
      </c>
      <c r="BF165" s="89">
        <f t="shared" si="41"/>
        <v>0</v>
      </c>
      <c r="BG165" s="89">
        <f t="shared" si="42"/>
        <v>0</v>
      </c>
      <c r="BH165" s="17" t="s">
        <v>80</v>
      </c>
      <c r="BI165" s="89">
        <f t="shared" si="43"/>
        <v>0</v>
      </c>
      <c r="BJ165" s="17" t="s">
        <v>145</v>
      </c>
      <c r="BK165" s="17" t="s">
        <v>246</v>
      </c>
    </row>
    <row r="166" spans="2:63" s="1" customFormat="1" ht="13.5">
      <c r="B166" s="30"/>
      <c r="C166" s="150">
        <v>29</v>
      </c>
      <c r="D166" s="150" t="s">
        <v>198</v>
      </c>
      <c r="E166" s="151" t="s">
        <v>247</v>
      </c>
      <c r="F166" s="467" t="s">
        <v>248</v>
      </c>
      <c r="G166" s="467"/>
      <c r="H166" s="467"/>
      <c r="I166" s="467"/>
      <c r="J166" s="152" t="s">
        <v>199</v>
      </c>
      <c r="K166" s="153">
        <v>5</v>
      </c>
      <c r="L166" s="468"/>
      <c r="M166" s="469"/>
      <c r="N166" s="458">
        <f t="shared" si="44"/>
        <v>0</v>
      </c>
      <c r="O166" s="458"/>
      <c r="P166" s="458"/>
      <c r="Q166" s="458"/>
      <c r="R166" s="31"/>
      <c r="T166" s="147" t="s">
        <v>20</v>
      </c>
      <c r="U166" s="34" t="s">
        <v>40</v>
      </c>
      <c r="V166" s="365"/>
      <c r="W166" s="148">
        <f t="shared" si="35"/>
        <v>0</v>
      </c>
      <c r="X166" s="148">
        <v>0</v>
      </c>
      <c r="Y166" s="148">
        <f t="shared" si="36"/>
        <v>0</v>
      </c>
      <c r="Z166" s="148">
        <v>0</v>
      </c>
      <c r="AA166" s="149">
        <f t="shared" si="37"/>
        <v>0</v>
      </c>
      <c r="AP166" s="17" t="s">
        <v>167</v>
      </c>
      <c r="AR166" s="17" t="s">
        <v>198</v>
      </c>
      <c r="AS166" s="17" t="s">
        <v>95</v>
      </c>
      <c r="AW166" s="17" t="s">
        <v>141</v>
      </c>
      <c r="BC166" s="89">
        <f t="shared" si="38"/>
        <v>0</v>
      </c>
      <c r="BD166" s="89">
        <f t="shared" si="39"/>
        <v>0</v>
      </c>
      <c r="BE166" s="89">
        <f t="shared" si="40"/>
        <v>0</v>
      </c>
      <c r="BF166" s="89">
        <f t="shared" si="41"/>
        <v>0</v>
      </c>
      <c r="BG166" s="89">
        <f t="shared" si="42"/>
        <v>0</v>
      </c>
      <c r="BH166" s="17" t="s">
        <v>80</v>
      </c>
      <c r="BI166" s="89">
        <f t="shared" si="43"/>
        <v>0</v>
      </c>
      <c r="BJ166" s="17" t="s">
        <v>145</v>
      </c>
      <c r="BK166" s="17" t="s">
        <v>249</v>
      </c>
    </row>
    <row r="167" spans="2:61" s="9" customFormat="1" ht="15">
      <c r="B167" s="132"/>
      <c r="C167" s="143" t="s">
        <v>34</v>
      </c>
      <c r="D167" s="142" t="s">
        <v>111</v>
      </c>
      <c r="E167" s="142"/>
      <c r="F167" s="142"/>
      <c r="G167" s="142"/>
      <c r="H167" s="142"/>
      <c r="I167" s="142"/>
      <c r="J167" s="142"/>
      <c r="K167" s="142"/>
      <c r="L167" s="142"/>
      <c r="M167" s="142"/>
      <c r="N167" s="465">
        <f>SUM(N168:Q171)</f>
        <v>0</v>
      </c>
      <c r="O167" s="466"/>
      <c r="P167" s="466"/>
      <c r="Q167" s="466"/>
      <c r="R167" s="135"/>
      <c r="T167" s="136"/>
      <c r="U167" s="133"/>
      <c r="V167" s="133"/>
      <c r="W167" s="137">
        <f>SUM(W168:W171)</f>
        <v>0</v>
      </c>
      <c r="X167" s="133"/>
      <c r="Y167" s="137">
        <f>SUM(Y168:Y171)</f>
        <v>0</v>
      </c>
      <c r="Z167" s="133"/>
      <c r="AA167" s="138">
        <f>SUM(AA168:AA171)</f>
        <v>0</v>
      </c>
      <c r="AP167" s="139" t="s">
        <v>80</v>
      </c>
      <c r="AR167" s="140" t="s">
        <v>74</v>
      </c>
      <c r="AS167" s="140" t="s">
        <v>80</v>
      </c>
      <c r="AW167" s="139" t="s">
        <v>141</v>
      </c>
      <c r="BI167" s="141">
        <f>SUM(BI168:BI171)</f>
        <v>0</v>
      </c>
    </row>
    <row r="168" spans="2:63" s="1" customFormat="1" ht="13.5">
      <c r="B168" s="30"/>
      <c r="C168" s="133">
        <v>30</v>
      </c>
      <c r="D168" s="143" t="s">
        <v>142</v>
      </c>
      <c r="E168" s="144" t="s">
        <v>250</v>
      </c>
      <c r="F168" s="455" t="s">
        <v>251</v>
      </c>
      <c r="G168" s="455"/>
      <c r="H168" s="455"/>
      <c r="I168" s="455"/>
      <c r="J168" s="145" t="s">
        <v>174</v>
      </c>
      <c r="K168" s="146">
        <v>26.47</v>
      </c>
      <c r="L168" s="456"/>
      <c r="M168" s="457"/>
      <c r="N168" s="458">
        <f>ROUND(L168*K168,2)</f>
        <v>0</v>
      </c>
      <c r="O168" s="458"/>
      <c r="P168" s="458"/>
      <c r="Q168" s="458"/>
      <c r="R168" s="31"/>
      <c r="T168" s="147" t="s">
        <v>20</v>
      </c>
      <c r="U168" s="34" t="s">
        <v>40</v>
      </c>
      <c r="V168" s="365"/>
      <c r="W168" s="148">
        <f>V168*K168</f>
        <v>0</v>
      </c>
      <c r="X168" s="148">
        <v>0</v>
      </c>
      <c r="Y168" s="148">
        <f>X168*K168</f>
        <v>0</v>
      </c>
      <c r="Z168" s="148">
        <v>0</v>
      </c>
      <c r="AA168" s="149">
        <f>Z168*K168</f>
        <v>0</v>
      </c>
      <c r="AP168" s="17" t="s">
        <v>145</v>
      </c>
      <c r="AR168" s="17" t="s">
        <v>142</v>
      </c>
      <c r="AS168" s="17" t="s">
        <v>95</v>
      </c>
      <c r="AW168" s="17" t="s">
        <v>141</v>
      </c>
      <c r="BC168" s="89">
        <f>IF(U168="základní",N168,0)</f>
        <v>0</v>
      </c>
      <c r="BD168" s="89">
        <f>IF(U168="snížená",N168,0)</f>
        <v>0</v>
      </c>
      <c r="BE168" s="89">
        <f>IF(U168="zákl. přenesená",N168,0)</f>
        <v>0</v>
      </c>
      <c r="BF168" s="89">
        <f>IF(U168="sníž. přenesená",N168,0)</f>
        <v>0</v>
      </c>
      <c r="BG168" s="89">
        <f>IF(U168="nulová",N168,0)</f>
        <v>0</v>
      </c>
      <c r="BH168" s="17" t="s">
        <v>80</v>
      </c>
      <c r="BI168" s="89">
        <f>ROUND(L168*K168,2)</f>
        <v>0</v>
      </c>
      <c r="BJ168" s="17" t="s">
        <v>145</v>
      </c>
      <c r="BK168" s="17" t="s">
        <v>252</v>
      </c>
    </row>
    <row r="169" spans="2:63" s="1" customFormat="1" ht="13.5">
      <c r="B169" s="30"/>
      <c r="C169" s="133">
        <v>31</v>
      </c>
      <c r="D169" s="143" t="s">
        <v>142</v>
      </c>
      <c r="E169" s="144" t="s">
        <v>253</v>
      </c>
      <c r="F169" s="455" t="s">
        <v>254</v>
      </c>
      <c r="G169" s="455"/>
      <c r="H169" s="455"/>
      <c r="I169" s="455"/>
      <c r="J169" s="145" t="s">
        <v>174</v>
      </c>
      <c r="K169" s="146">
        <v>211.76</v>
      </c>
      <c r="L169" s="456"/>
      <c r="M169" s="457"/>
      <c r="N169" s="458">
        <f aca="true" t="shared" si="45" ref="N169:N171">ROUND(L169*K169,2)</f>
        <v>0</v>
      </c>
      <c r="O169" s="458"/>
      <c r="P169" s="458"/>
      <c r="Q169" s="458"/>
      <c r="R169" s="31"/>
      <c r="T169" s="147" t="s">
        <v>20</v>
      </c>
      <c r="U169" s="34" t="s">
        <v>40</v>
      </c>
      <c r="V169" s="365"/>
      <c r="W169" s="148">
        <f>V169*K169</f>
        <v>0</v>
      </c>
      <c r="X169" s="148">
        <v>0</v>
      </c>
      <c r="Y169" s="148">
        <f>X169*K169</f>
        <v>0</v>
      </c>
      <c r="Z169" s="148">
        <v>0</v>
      </c>
      <c r="AA169" s="149">
        <f>Z169*K169</f>
        <v>0</v>
      </c>
      <c r="AP169" s="17" t="s">
        <v>145</v>
      </c>
      <c r="AR169" s="17" t="s">
        <v>142</v>
      </c>
      <c r="AS169" s="17" t="s">
        <v>95</v>
      </c>
      <c r="AW169" s="17" t="s">
        <v>141</v>
      </c>
      <c r="BC169" s="89">
        <f>IF(U169="základní",N169,0)</f>
        <v>0</v>
      </c>
      <c r="BD169" s="89">
        <f>IF(U169="snížená",N169,0)</f>
        <v>0</v>
      </c>
      <c r="BE169" s="89">
        <f>IF(U169="zákl. přenesená",N169,0)</f>
        <v>0</v>
      </c>
      <c r="BF169" s="89">
        <f>IF(U169="sníž. přenesená",N169,0)</f>
        <v>0</v>
      </c>
      <c r="BG169" s="89">
        <f>IF(U169="nulová",N169,0)</f>
        <v>0</v>
      </c>
      <c r="BH169" s="17" t="s">
        <v>80</v>
      </c>
      <c r="BI169" s="89">
        <f>ROUND(L169*K169,2)</f>
        <v>0</v>
      </c>
      <c r="BJ169" s="17" t="s">
        <v>145</v>
      </c>
      <c r="BK169" s="17" t="s">
        <v>255</v>
      </c>
    </row>
    <row r="170" spans="2:63" s="1" customFormat="1" ht="13.5">
      <c r="B170" s="30"/>
      <c r="C170" s="133">
        <v>32</v>
      </c>
      <c r="D170" s="143" t="s">
        <v>142</v>
      </c>
      <c r="E170" s="144" t="s">
        <v>256</v>
      </c>
      <c r="F170" s="455" t="s">
        <v>257</v>
      </c>
      <c r="G170" s="455"/>
      <c r="H170" s="455"/>
      <c r="I170" s="455"/>
      <c r="J170" s="145" t="s">
        <v>174</v>
      </c>
      <c r="K170" s="146">
        <v>9.071</v>
      </c>
      <c r="L170" s="456"/>
      <c r="M170" s="457"/>
      <c r="N170" s="458">
        <f t="shared" si="45"/>
        <v>0</v>
      </c>
      <c r="O170" s="458"/>
      <c r="P170" s="458"/>
      <c r="Q170" s="458"/>
      <c r="R170" s="31"/>
      <c r="T170" s="147" t="s">
        <v>20</v>
      </c>
      <c r="U170" s="34" t="s">
        <v>40</v>
      </c>
      <c r="V170" s="365"/>
      <c r="W170" s="148">
        <f>V170*K170</f>
        <v>0</v>
      </c>
      <c r="X170" s="148">
        <v>0</v>
      </c>
      <c r="Y170" s="148">
        <f>X170*K170</f>
        <v>0</v>
      </c>
      <c r="Z170" s="148">
        <v>0</v>
      </c>
      <c r="AA170" s="149">
        <f>Z170*K170</f>
        <v>0</v>
      </c>
      <c r="AP170" s="17" t="s">
        <v>145</v>
      </c>
      <c r="AR170" s="17" t="s">
        <v>142</v>
      </c>
      <c r="AS170" s="17" t="s">
        <v>95</v>
      </c>
      <c r="AW170" s="17" t="s">
        <v>141</v>
      </c>
      <c r="BC170" s="89">
        <f>IF(U170="základní",N170,0)</f>
        <v>0</v>
      </c>
      <c r="BD170" s="89">
        <f>IF(U170="snížená",N170,0)</f>
        <v>0</v>
      </c>
      <c r="BE170" s="89">
        <f>IF(U170="zákl. přenesená",N170,0)</f>
        <v>0</v>
      </c>
      <c r="BF170" s="89">
        <f>IF(U170="sníž. přenesená",N170,0)</f>
        <v>0</v>
      </c>
      <c r="BG170" s="89">
        <f>IF(U170="nulová",N170,0)</f>
        <v>0</v>
      </c>
      <c r="BH170" s="17" t="s">
        <v>80</v>
      </c>
      <c r="BI170" s="89">
        <f>ROUND(L170*K170,2)</f>
        <v>0</v>
      </c>
      <c r="BJ170" s="17" t="s">
        <v>145</v>
      </c>
      <c r="BK170" s="17" t="s">
        <v>258</v>
      </c>
    </row>
    <row r="171" spans="2:63" s="1" customFormat="1" ht="13.5">
      <c r="B171" s="30"/>
      <c r="C171" s="133">
        <v>33</v>
      </c>
      <c r="D171" s="143" t="s">
        <v>142</v>
      </c>
      <c r="E171" s="144" t="s">
        <v>259</v>
      </c>
      <c r="F171" s="455" t="s">
        <v>260</v>
      </c>
      <c r="G171" s="455"/>
      <c r="H171" s="455"/>
      <c r="I171" s="455"/>
      <c r="J171" s="145" t="s">
        <v>174</v>
      </c>
      <c r="K171" s="146">
        <v>17.399</v>
      </c>
      <c r="L171" s="456"/>
      <c r="M171" s="457"/>
      <c r="N171" s="458">
        <f t="shared" si="45"/>
        <v>0</v>
      </c>
      <c r="O171" s="458"/>
      <c r="P171" s="458"/>
      <c r="Q171" s="458"/>
      <c r="R171" s="31"/>
      <c r="T171" s="147" t="s">
        <v>20</v>
      </c>
      <c r="U171" s="34" t="s">
        <v>40</v>
      </c>
      <c r="V171" s="365"/>
      <c r="W171" s="148">
        <f>V171*K171</f>
        <v>0</v>
      </c>
      <c r="X171" s="148">
        <v>0</v>
      </c>
      <c r="Y171" s="148">
        <f>X171*K171</f>
        <v>0</v>
      </c>
      <c r="Z171" s="148">
        <v>0</v>
      </c>
      <c r="AA171" s="149">
        <f>Z171*K171</f>
        <v>0</v>
      </c>
      <c r="AP171" s="17" t="s">
        <v>145</v>
      </c>
      <c r="AR171" s="17" t="s">
        <v>142</v>
      </c>
      <c r="AS171" s="17" t="s">
        <v>95</v>
      </c>
      <c r="AW171" s="17" t="s">
        <v>141</v>
      </c>
      <c r="BC171" s="89">
        <f>IF(U171="základní",N171,0)</f>
        <v>0</v>
      </c>
      <c r="BD171" s="89">
        <f>IF(U171="snížená",N171,0)</f>
        <v>0</v>
      </c>
      <c r="BE171" s="89">
        <f>IF(U171="zákl. přenesená",N171,0)</f>
        <v>0</v>
      </c>
      <c r="BF171" s="89">
        <f>IF(U171="sníž. přenesená",N171,0)</f>
        <v>0</v>
      </c>
      <c r="BG171" s="89">
        <f>IF(U171="nulová",N171,0)</f>
        <v>0</v>
      </c>
      <c r="BH171" s="17" t="s">
        <v>80</v>
      </c>
      <c r="BI171" s="89">
        <f>ROUND(L171*K171,2)</f>
        <v>0</v>
      </c>
      <c r="BJ171" s="17" t="s">
        <v>145</v>
      </c>
      <c r="BK171" s="17" t="s">
        <v>261</v>
      </c>
    </row>
    <row r="172" spans="2:61" s="9" customFormat="1" ht="15">
      <c r="B172" s="132"/>
      <c r="C172" s="143" t="s">
        <v>34</v>
      </c>
      <c r="D172" s="142" t="s">
        <v>112</v>
      </c>
      <c r="E172" s="142"/>
      <c r="F172" s="142"/>
      <c r="G172" s="142"/>
      <c r="H172" s="142"/>
      <c r="I172" s="142"/>
      <c r="J172" s="142"/>
      <c r="K172" s="142"/>
      <c r="L172" s="142"/>
      <c r="M172" s="142"/>
      <c r="N172" s="465">
        <f>SUM(N173)</f>
        <v>0</v>
      </c>
      <c r="O172" s="466"/>
      <c r="P172" s="466"/>
      <c r="Q172" s="466"/>
      <c r="R172" s="135"/>
      <c r="T172" s="136"/>
      <c r="U172" s="133"/>
      <c r="V172" s="133"/>
      <c r="W172" s="137">
        <f>W173</f>
        <v>0</v>
      </c>
      <c r="X172" s="133"/>
      <c r="Y172" s="137">
        <f>Y173</f>
        <v>0</v>
      </c>
      <c r="Z172" s="133"/>
      <c r="AA172" s="138">
        <f>AA173</f>
        <v>0</v>
      </c>
      <c r="AP172" s="139" t="s">
        <v>80</v>
      </c>
      <c r="AR172" s="140" t="s">
        <v>74</v>
      </c>
      <c r="AS172" s="140" t="s">
        <v>80</v>
      </c>
      <c r="AW172" s="139" t="s">
        <v>141</v>
      </c>
      <c r="BI172" s="141">
        <f>BI173</f>
        <v>0</v>
      </c>
    </row>
    <row r="173" spans="2:63" s="1" customFormat="1" ht="13.5">
      <c r="B173" s="30"/>
      <c r="C173" s="150">
        <v>34</v>
      </c>
      <c r="D173" s="143" t="s">
        <v>142</v>
      </c>
      <c r="E173" s="144" t="s">
        <v>262</v>
      </c>
      <c r="F173" s="455" t="s">
        <v>263</v>
      </c>
      <c r="G173" s="455"/>
      <c r="H173" s="455"/>
      <c r="I173" s="455"/>
      <c r="J173" s="145" t="s">
        <v>174</v>
      </c>
      <c r="K173" s="146">
        <v>162.013</v>
      </c>
      <c r="L173" s="456"/>
      <c r="M173" s="457"/>
      <c r="N173" s="458">
        <f>ROUND(L173*K173,2)</f>
        <v>0</v>
      </c>
      <c r="O173" s="458"/>
      <c r="P173" s="458"/>
      <c r="Q173" s="458"/>
      <c r="R173" s="31"/>
      <c r="T173" s="147" t="s">
        <v>20</v>
      </c>
      <c r="U173" s="34" t="s">
        <v>40</v>
      </c>
      <c r="V173" s="365"/>
      <c r="W173" s="148">
        <f>V173*K173</f>
        <v>0</v>
      </c>
      <c r="X173" s="148">
        <v>0</v>
      </c>
      <c r="Y173" s="148">
        <f>X173*K173</f>
        <v>0</v>
      </c>
      <c r="Z173" s="148">
        <v>0</v>
      </c>
      <c r="AA173" s="149">
        <f>Z173*K173</f>
        <v>0</v>
      </c>
      <c r="AP173" s="17" t="s">
        <v>145</v>
      </c>
      <c r="AR173" s="17" t="s">
        <v>142</v>
      </c>
      <c r="AS173" s="17" t="s">
        <v>95</v>
      </c>
      <c r="AW173" s="17" t="s">
        <v>141</v>
      </c>
      <c r="BC173" s="89">
        <f>IF(U173="základní",N173,0)</f>
        <v>0</v>
      </c>
      <c r="BD173" s="89">
        <f>IF(U173="snížená",N173,0)</f>
        <v>0</v>
      </c>
      <c r="BE173" s="89">
        <f>IF(U173="zákl. přenesená",N173,0)</f>
        <v>0</v>
      </c>
      <c r="BF173" s="89">
        <f>IF(U173="sníž. přenesená",N173,0)</f>
        <v>0</v>
      </c>
      <c r="BG173" s="89">
        <f>IF(U173="nulová",N173,0)</f>
        <v>0</v>
      </c>
      <c r="BH173" s="17" t="s">
        <v>80</v>
      </c>
      <c r="BI173" s="89">
        <f>ROUND(L173*K173,2)</f>
        <v>0</v>
      </c>
      <c r="BJ173" s="17" t="s">
        <v>145</v>
      </c>
      <c r="BK173" s="17" t="s">
        <v>264</v>
      </c>
    </row>
    <row r="174" spans="2:61" s="9" customFormat="1" ht="18">
      <c r="B174" s="132"/>
      <c r="C174" s="143" t="s">
        <v>34</v>
      </c>
      <c r="D174" s="134" t="s">
        <v>113</v>
      </c>
      <c r="E174" s="134"/>
      <c r="F174" s="134"/>
      <c r="G174" s="134"/>
      <c r="H174" s="134"/>
      <c r="I174" s="134"/>
      <c r="J174" s="134"/>
      <c r="K174" s="134"/>
      <c r="L174" s="134"/>
      <c r="M174" s="134"/>
      <c r="N174" s="470">
        <f>SUM(N175+N177+N182+N193+N195)</f>
        <v>0</v>
      </c>
      <c r="O174" s="471"/>
      <c r="P174" s="471"/>
      <c r="Q174" s="471"/>
      <c r="R174" s="135"/>
      <c r="T174" s="136"/>
      <c r="U174" s="133"/>
      <c r="V174" s="133"/>
      <c r="W174" s="137" t="e">
        <f>W175+W177+W182+W193+W195+#REF!</f>
        <v>#REF!</v>
      </c>
      <c r="X174" s="133"/>
      <c r="Y174" s="137" t="e">
        <f>Y175+Y177+Y182+Y193+Y195+#REF!</f>
        <v>#REF!</v>
      </c>
      <c r="Z174" s="133"/>
      <c r="AA174" s="138" t="e">
        <f>AA175+AA177+AA182+AA193+AA195+#REF!</f>
        <v>#REF!</v>
      </c>
      <c r="AP174" s="139" t="s">
        <v>95</v>
      </c>
      <c r="AR174" s="140" t="s">
        <v>74</v>
      </c>
      <c r="AS174" s="140" t="s">
        <v>75</v>
      </c>
      <c r="AW174" s="139" t="s">
        <v>141</v>
      </c>
      <c r="BI174" s="141" t="e">
        <f>BI175+BI177+BI182+BI193+BI195+#REF!</f>
        <v>#REF!</v>
      </c>
    </row>
    <row r="175" spans="2:61" s="9" customFormat="1" ht="15">
      <c r="B175" s="132"/>
      <c r="C175" s="143" t="s">
        <v>34</v>
      </c>
      <c r="D175" s="142" t="s">
        <v>114</v>
      </c>
      <c r="E175" s="142"/>
      <c r="F175" s="142"/>
      <c r="G175" s="142"/>
      <c r="H175" s="142"/>
      <c r="I175" s="142"/>
      <c r="J175" s="142"/>
      <c r="K175" s="142"/>
      <c r="L175" s="142"/>
      <c r="M175" s="142"/>
      <c r="N175" s="453">
        <f>SUM(N176)</f>
        <v>0</v>
      </c>
      <c r="O175" s="454"/>
      <c r="P175" s="454"/>
      <c r="Q175" s="454"/>
      <c r="R175" s="135"/>
      <c r="T175" s="136"/>
      <c r="U175" s="133"/>
      <c r="V175" s="133"/>
      <c r="W175" s="137">
        <f>SUM(W176:W176)</f>
        <v>0</v>
      </c>
      <c r="X175" s="133"/>
      <c r="Y175" s="137">
        <f>SUM(Y176:Y176)</f>
        <v>0</v>
      </c>
      <c r="Z175" s="133"/>
      <c r="AA175" s="138">
        <f>SUM(AA176:AA176)</f>
        <v>0</v>
      </c>
      <c r="AP175" s="139" t="s">
        <v>95</v>
      </c>
      <c r="AR175" s="140" t="s">
        <v>74</v>
      </c>
      <c r="AS175" s="140" t="s">
        <v>80</v>
      </c>
      <c r="AW175" s="139" t="s">
        <v>141</v>
      </c>
      <c r="BI175" s="141">
        <f>SUM(BI176:BI176)</f>
        <v>0</v>
      </c>
    </row>
    <row r="176" spans="2:63" s="1" customFormat="1" ht="13.5">
      <c r="B176" s="30"/>
      <c r="C176" s="150">
        <v>35</v>
      </c>
      <c r="D176" s="143" t="s">
        <v>142</v>
      </c>
      <c r="E176" s="144" t="s">
        <v>265</v>
      </c>
      <c r="F176" s="455" t="s">
        <v>266</v>
      </c>
      <c r="G176" s="455"/>
      <c r="H176" s="455"/>
      <c r="I176" s="455"/>
      <c r="J176" s="145" t="s">
        <v>194</v>
      </c>
      <c r="K176" s="146">
        <v>1</v>
      </c>
      <c r="L176" s="456"/>
      <c r="M176" s="457"/>
      <c r="N176" s="458">
        <f aca="true" t="shared" si="46" ref="N176">ROUND(L176*K176,2)</f>
        <v>0</v>
      </c>
      <c r="O176" s="458"/>
      <c r="P176" s="458"/>
      <c r="Q176" s="458"/>
      <c r="R176" s="31"/>
      <c r="T176" s="147" t="s">
        <v>20</v>
      </c>
      <c r="U176" s="34" t="s">
        <v>40</v>
      </c>
      <c r="V176" s="365"/>
      <c r="W176" s="148">
        <f aca="true" t="shared" si="47" ref="W176">V176*K176</f>
        <v>0</v>
      </c>
      <c r="X176" s="148">
        <v>0</v>
      </c>
      <c r="Y176" s="148">
        <f aca="true" t="shared" si="48" ref="Y176">X176*K176</f>
        <v>0</v>
      </c>
      <c r="Z176" s="148">
        <v>0</v>
      </c>
      <c r="AA176" s="149">
        <f aca="true" t="shared" si="49" ref="AA176">Z176*K176</f>
        <v>0</v>
      </c>
      <c r="AD176" s="355"/>
      <c r="AP176" s="17" t="s">
        <v>197</v>
      </c>
      <c r="AR176" s="17" t="s">
        <v>142</v>
      </c>
      <c r="AS176" s="17" t="s">
        <v>95</v>
      </c>
      <c r="AW176" s="17" t="s">
        <v>141</v>
      </c>
      <c r="BC176" s="89">
        <f aca="true" t="shared" si="50" ref="BC176">IF(U176="základní",N176,0)</f>
        <v>0</v>
      </c>
      <c r="BD176" s="89">
        <f aca="true" t="shared" si="51" ref="BD176">IF(U176="snížená",N176,0)</f>
        <v>0</v>
      </c>
      <c r="BE176" s="89">
        <f aca="true" t="shared" si="52" ref="BE176">IF(U176="zákl. přenesená",N176,0)</f>
        <v>0</v>
      </c>
      <c r="BF176" s="89">
        <f aca="true" t="shared" si="53" ref="BF176">IF(U176="sníž. přenesená",N176,0)</f>
        <v>0</v>
      </c>
      <c r="BG176" s="89">
        <f aca="true" t="shared" si="54" ref="BG176">IF(U176="nulová",N176,0)</f>
        <v>0</v>
      </c>
      <c r="BH176" s="17" t="s">
        <v>80</v>
      </c>
      <c r="BI176" s="89">
        <f aca="true" t="shared" si="55" ref="BI176">ROUND(L176*K176,2)</f>
        <v>0</v>
      </c>
      <c r="BJ176" s="17" t="s">
        <v>197</v>
      </c>
      <c r="BK176" s="17" t="s">
        <v>267</v>
      </c>
    </row>
    <row r="177" spans="2:61" s="9" customFormat="1" ht="15">
      <c r="B177" s="132"/>
      <c r="C177" s="133"/>
      <c r="D177" s="142" t="s">
        <v>115</v>
      </c>
      <c r="E177" s="142"/>
      <c r="F177" s="142"/>
      <c r="G177" s="142"/>
      <c r="H177" s="142"/>
      <c r="I177" s="142"/>
      <c r="J177" s="142"/>
      <c r="K177" s="142"/>
      <c r="L177" s="142"/>
      <c r="M177" s="142"/>
      <c r="N177" s="465">
        <f>SUM(N178:Q181)</f>
        <v>0</v>
      </c>
      <c r="O177" s="466"/>
      <c r="P177" s="466"/>
      <c r="Q177" s="466"/>
      <c r="R177" s="135"/>
      <c r="T177" s="136"/>
      <c r="U177" s="133"/>
      <c r="V177" s="133"/>
      <c r="W177" s="137">
        <f>SUM(W178:W181)</f>
        <v>0</v>
      </c>
      <c r="X177" s="133"/>
      <c r="Y177" s="137">
        <f>SUM(Y178:Y181)</f>
        <v>0.097886</v>
      </c>
      <c r="Z177" s="133"/>
      <c r="AA177" s="138">
        <f>SUM(AA178:AA181)</f>
        <v>0</v>
      </c>
      <c r="AP177" s="139" t="s">
        <v>95</v>
      </c>
      <c r="AR177" s="140" t="s">
        <v>74</v>
      </c>
      <c r="AS177" s="140" t="s">
        <v>80</v>
      </c>
      <c r="AW177" s="139" t="s">
        <v>141</v>
      </c>
      <c r="BI177" s="141">
        <f>SUM(BI178:BI181)</f>
        <v>0</v>
      </c>
    </row>
    <row r="178" spans="2:63" s="1" customFormat="1" ht="13.5">
      <c r="B178" s="30"/>
      <c r="C178" s="143">
        <v>36</v>
      </c>
      <c r="D178" s="143" t="s">
        <v>142</v>
      </c>
      <c r="E178" s="144" t="s">
        <v>268</v>
      </c>
      <c r="F178" s="455" t="s">
        <v>269</v>
      </c>
      <c r="G178" s="455"/>
      <c r="H178" s="455"/>
      <c r="I178" s="455"/>
      <c r="J178" s="145" t="s">
        <v>196</v>
      </c>
      <c r="K178" s="146">
        <v>21</v>
      </c>
      <c r="L178" s="456"/>
      <c r="M178" s="457"/>
      <c r="N178" s="458">
        <f>ROUND(L178*K178,2)</f>
        <v>0</v>
      </c>
      <c r="O178" s="458"/>
      <c r="P178" s="458"/>
      <c r="Q178" s="458"/>
      <c r="R178" s="31"/>
      <c r="T178" s="147" t="s">
        <v>20</v>
      </c>
      <c r="U178" s="34" t="s">
        <v>40</v>
      </c>
      <c r="V178" s="365"/>
      <c r="W178" s="148">
        <f>V178*K178</f>
        <v>0</v>
      </c>
      <c r="X178" s="148">
        <v>0.00291</v>
      </c>
      <c r="Y178" s="148">
        <f>X178*K178</f>
        <v>0.06111</v>
      </c>
      <c r="Z178" s="148">
        <v>0</v>
      </c>
      <c r="AA178" s="149">
        <f>Z178*K178</f>
        <v>0</v>
      </c>
      <c r="AP178" s="17" t="s">
        <v>197</v>
      </c>
      <c r="AR178" s="17" t="s">
        <v>142</v>
      </c>
      <c r="AS178" s="17" t="s">
        <v>95</v>
      </c>
      <c r="AW178" s="17" t="s">
        <v>141</v>
      </c>
      <c r="BC178" s="89">
        <f>IF(U178="základní",N178,0)</f>
        <v>0</v>
      </c>
      <c r="BD178" s="89">
        <f>IF(U178="snížená",N178,0)</f>
        <v>0</v>
      </c>
      <c r="BE178" s="89">
        <f>IF(U178="zákl. přenesená",N178,0)</f>
        <v>0</v>
      </c>
      <c r="BF178" s="89">
        <f>IF(U178="sníž. přenesená",N178,0)</f>
        <v>0</v>
      </c>
      <c r="BG178" s="89">
        <f>IF(U178="nulová",N178,0)</f>
        <v>0</v>
      </c>
      <c r="BH178" s="17" t="s">
        <v>80</v>
      </c>
      <c r="BI178" s="89">
        <f>ROUND(L178*K178,2)</f>
        <v>0</v>
      </c>
      <c r="BJ178" s="17" t="s">
        <v>197</v>
      </c>
      <c r="BK178" s="17" t="s">
        <v>270</v>
      </c>
    </row>
    <row r="179" spans="2:63" s="1" customFormat="1" ht="13.5">
      <c r="B179" s="30"/>
      <c r="C179" s="143">
        <v>37</v>
      </c>
      <c r="D179" s="143" t="s">
        <v>142</v>
      </c>
      <c r="E179" s="144" t="s">
        <v>271</v>
      </c>
      <c r="F179" s="455" t="s">
        <v>272</v>
      </c>
      <c r="G179" s="455"/>
      <c r="H179" s="455"/>
      <c r="I179" s="455"/>
      <c r="J179" s="145" t="s">
        <v>196</v>
      </c>
      <c r="K179" s="146">
        <v>15</v>
      </c>
      <c r="L179" s="456"/>
      <c r="M179" s="457"/>
      <c r="N179" s="458">
        <f>ROUND(L179*K179,2)</f>
        <v>0</v>
      </c>
      <c r="O179" s="458"/>
      <c r="P179" s="458"/>
      <c r="Q179" s="458"/>
      <c r="R179" s="31"/>
      <c r="T179" s="147" t="s">
        <v>20</v>
      </c>
      <c r="U179" s="34" t="s">
        <v>40</v>
      </c>
      <c r="V179" s="365"/>
      <c r="W179" s="148">
        <f>V179*K179</f>
        <v>0</v>
      </c>
      <c r="X179" s="148">
        <v>0.00174</v>
      </c>
      <c r="Y179" s="148">
        <f>X179*K179</f>
        <v>0.0261</v>
      </c>
      <c r="Z179" s="148">
        <v>0</v>
      </c>
      <c r="AA179" s="149">
        <f>Z179*K179</f>
        <v>0</v>
      </c>
      <c r="AP179" s="17" t="s">
        <v>197</v>
      </c>
      <c r="AR179" s="17" t="s">
        <v>142</v>
      </c>
      <c r="AS179" s="17" t="s">
        <v>95</v>
      </c>
      <c r="AW179" s="17" t="s">
        <v>141</v>
      </c>
      <c r="BC179" s="89">
        <f>IF(U179="základní",N179,0)</f>
        <v>0</v>
      </c>
      <c r="BD179" s="89">
        <f>IF(U179="snížená",N179,0)</f>
        <v>0</v>
      </c>
      <c r="BE179" s="89">
        <f>IF(U179="zákl. přenesená",N179,0)</f>
        <v>0</v>
      </c>
      <c r="BF179" s="89">
        <f>IF(U179="sníž. přenesená",N179,0)</f>
        <v>0</v>
      </c>
      <c r="BG179" s="89">
        <f>IF(U179="nulová",N179,0)</f>
        <v>0</v>
      </c>
      <c r="BH179" s="17" t="s">
        <v>80</v>
      </c>
      <c r="BI179" s="89">
        <f>ROUND(L179*K179,2)</f>
        <v>0</v>
      </c>
      <c r="BJ179" s="17" t="s">
        <v>197</v>
      </c>
      <c r="BK179" s="17" t="s">
        <v>273</v>
      </c>
    </row>
    <row r="180" spans="2:63" s="1" customFormat="1" ht="13.5">
      <c r="B180" s="30"/>
      <c r="C180" s="143">
        <v>38</v>
      </c>
      <c r="D180" s="143" t="s">
        <v>142</v>
      </c>
      <c r="E180" s="144" t="s">
        <v>274</v>
      </c>
      <c r="F180" s="455" t="s">
        <v>275</v>
      </c>
      <c r="G180" s="455"/>
      <c r="H180" s="455"/>
      <c r="I180" s="455"/>
      <c r="J180" s="145" t="s">
        <v>233</v>
      </c>
      <c r="K180" s="146">
        <v>2</v>
      </c>
      <c r="L180" s="456"/>
      <c r="M180" s="457"/>
      <c r="N180" s="458">
        <f>ROUND(L180*K180,2)</f>
        <v>0</v>
      </c>
      <c r="O180" s="458"/>
      <c r="P180" s="458"/>
      <c r="Q180" s="458"/>
      <c r="R180" s="31"/>
      <c r="T180" s="147" t="s">
        <v>20</v>
      </c>
      <c r="U180" s="34" t="s">
        <v>40</v>
      </c>
      <c r="V180" s="365"/>
      <c r="W180" s="148">
        <f>V180*K180</f>
        <v>0</v>
      </c>
      <c r="X180" s="148">
        <v>0.00025</v>
      </c>
      <c r="Y180" s="148">
        <f>X180*K180</f>
        <v>0.0005</v>
      </c>
      <c r="Z180" s="148">
        <v>0</v>
      </c>
      <c r="AA180" s="149">
        <f>Z180*K180</f>
        <v>0</v>
      </c>
      <c r="AP180" s="17" t="s">
        <v>197</v>
      </c>
      <c r="AR180" s="17" t="s">
        <v>142</v>
      </c>
      <c r="AS180" s="17" t="s">
        <v>95</v>
      </c>
      <c r="AW180" s="17" t="s">
        <v>141</v>
      </c>
      <c r="BC180" s="89">
        <f>IF(U180="základní",N180,0)</f>
        <v>0</v>
      </c>
      <c r="BD180" s="89">
        <f>IF(U180="snížená",N180,0)</f>
        <v>0</v>
      </c>
      <c r="BE180" s="89">
        <f>IF(U180="zákl. přenesená",N180,0)</f>
        <v>0</v>
      </c>
      <c r="BF180" s="89">
        <f>IF(U180="sníž. přenesená",N180,0)</f>
        <v>0</v>
      </c>
      <c r="BG180" s="89">
        <f>IF(U180="nulová",N180,0)</f>
        <v>0</v>
      </c>
      <c r="BH180" s="17" t="s">
        <v>80</v>
      </c>
      <c r="BI180" s="89">
        <f>ROUND(L180*K180,2)</f>
        <v>0</v>
      </c>
      <c r="BJ180" s="17" t="s">
        <v>197</v>
      </c>
      <c r="BK180" s="17" t="s">
        <v>276</v>
      </c>
    </row>
    <row r="181" spans="2:63" s="1" customFormat="1" ht="13.5">
      <c r="B181" s="30"/>
      <c r="C181" s="143">
        <v>39</v>
      </c>
      <c r="D181" s="143" t="s">
        <v>142</v>
      </c>
      <c r="E181" s="144" t="s">
        <v>277</v>
      </c>
      <c r="F181" s="455" t="s">
        <v>278</v>
      </c>
      <c r="G181" s="455"/>
      <c r="H181" s="455"/>
      <c r="I181" s="455"/>
      <c r="J181" s="145" t="s">
        <v>196</v>
      </c>
      <c r="K181" s="146">
        <v>4.8</v>
      </c>
      <c r="L181" s="456"/>
      <c r="M181" s="457"/>
      <c r="N181" s="458">
        <f>ROUND(L181*K181,2)</f>
        <v>0</v>
      </c>
      <c r="O181" s="458"/>
      <c r="P181" s="458"/>
      <c r="Q181" s="458"/>
      <c r="R181" s="31"/>
      <c r="T181" s="147" t="s">
        <v>20</v>
      </c>
      <c r="U181" s="34" t="s">
        <v>40</v>
      </c>
      <c r="V181" s="365"/>
      <c r="W181" s="148">
        <f>V181*K181</f>
        <v>0</v>
      </c>
      <c r="X181" s="148">
        <v>0.00212</v>
      </c>
      <c r="Y181" s="148">
        <f>X181*K181</f>
        <v>0.010176</v>
      </c>
      <c r="Z181" s="148">
        <v>0</v>
      </c>
      <c r="AA181" s="149">
        <f>Z181*K181</f>
        <v>0</v>
      </c>
      <c r="AP181" s="17" t="s">
        <v>197</v>
      </c>
      <c r="AR181" s="17" t="s">
        <v>142</v>
      </c>
      <c r="AS181" s="17" t="s">
        <v>95</v>
      </c>
      <c r="AW181" s="17" t="s">
        <v>141</v>
      </c>
      <c r="BC181" s="89">
        <f>IF(U181="základní",N181,0)</f>
        <v>0</v>
      </c>
      <c r="BD181" s="89">
        <f>IF(U181="snížená",N181,0)</f>
        <v>0</v>
      </c>
      <c r="BE181" s="89">
        <f>IF(U181="zákl. přenesená",N181,0)</f>
        <v>0</v>
      </c>
      <c r="BF181" s="89">
        <f>IF(U181="sníž. přenesená",N181,0)</f>
        <v>0</v>
      </c>
      <c r="BG181" s="89">
        <f>IF(U181="nulová",N181,0)</f>
        <v>0</v>
      </c>
      <c r="BH181" s="17" t="s">
        <v>80</v>
      </c>
      <c r="BI181" s="89">
        <f>ROUND(L181*K181,2)</f>
        <v>0</v>
      </c>
      <c r="BJ181" s="17" t="s">
        <v>197</v>
      </c>
      <c r="BK181" s="17" t="s">
        <v>279</v>
      </c>
    </row>
    <row r="182" spans="2:61" s="9" customFormat="1" ht="15">
      <c r="B182" s="132"/>
      <c r="C182" s="133"/>
      <c r="D182" s="142" t="s">
        <v>116</v>
      </c>
      <c r="E182" s="142"/>
      <c r="F182" s="142"/>
      <c r="G182" s="142"/>
      <c r="H182" s="142"/>
      <c r="I182" s="142"/>
      <c r="J182" s="142"/>
      <c r="K182" s="142"/>
      <c r="L182" s="142"/>
      <c r="M182" s="142"/>
      <c r="N182" s="465">
        <f>SUM(N183:Q192)</f>
        <v>0</v>
      </c>
      <c r="O182" s="466"/>
      <c r="P182" s="466"/>
      <c r="Q182" s="466"/>
      <c r="R182" s="135"/>
      <c r="T182" s="136"/>
      <c r="U182" s="133"/>
      <c r="V182" s="133"/>
      <c r="W182" s="137">
        <f>SUM(W183:W192)</f>
        <v>0</v>
      </c>
      <c r="X182" s="133"/>
      <c r="Y182" s="137">
        <f>SUM(Y183:Y192)</f>
        <v>0.012484499999999999</v>
      </c>
      <c r="Z182" s="133"/>
      <c r="AA182" s="138">
        <f>SUM(AA183:AA192)</f>
        <v>0</v>
      </c>
      <c r="AP182" s="139" t="s">
        <v>95</v>
      </c>
      <c r="AR182" s="140" t="s">
        <v>74</v>
      </c>
      <c r="AS182" s="140" t="s">
        <v>80</v>
      </c>
      <c r="AW182" s="139" t="s">
        <v>141</v>
      </c>
      <c r="BI182" s="141">
        <f>SUM(BI183:BI192)</f>
        <v>0</v>
      </c>
    </row>
    <row r="183" spans="2:63" s="1" customFormat="1" ht="13.5">
      <c r="B183" s="30"/>
      <c r="C183" s="143">
        <v>40</v>
      </c>
      <c r="D183" s="143" t="s">
        <v>142</v>
      </c>
      <c r="E183" s="144" t="s">
        <v>280</v>
      </c>
      <c r="F183" s="455" t="s">
        <v>281</v>
      </c>
      <c r="G183" s="455"/>
      <c r="H183" s="455"/>
      <c r="I183" s="455"/>
      <c r="J183" s="145" t="s">
        <v>144</v>
      </c>
      <c r="K183" s="146">
        <v>10.29</v>
      </c>
      <c r="L183" s="456"/>
      <c r="M183" s="457"/>
      <c r="N183" s="458">
        <f aca="true" t="shared" si="56" ref="N183:N192">ROUND(L183*K183,2)</f>
        <v>0</v>
      </c>
      <c r="O183" s="458"/>
      <c r="P183" s="458"/>
      <c r="Q183" s="458"/>
      <c r="R183" s="31"/>
      <c r="T183" s="147" t="s">
        <v>20</v>
      </c>
      <c r="U183" s="34" t="s">
        <v>40</v>
      </c>
      <c r="V183" s="365"/>
      <c r="W183" s="148">
        <f aca="true" t="shared" si="57" ref="W183:W192">V183*K183</f>
        <v>0</v>
      </c>
      <c r="X183" s="148">
        <v>5E-05</v>
      </c>
      <c r="Y183" s="148">
        <f aca="true" t="shared" si="58" ref="Y183:Y192">X183*K183</f>
        <v>0.0005145</v>
      </c>
      <c r="Z183" s="148">
        <v>0</v>
      </c>
      <c r="AA183" s="149">
        <f aca="true" t="shared" si="59" ref="AA183:AA192">Z183*K183</f>
        <v>0</v>
      </c>
      <c r="AP183" s="17" t="s">
        <v>197</v>
      </c>
      <c r="AR183" s="17" t="s">
        <v>142</v>
      </c>
      <c r="AS183" s="17" t="s">
        <v>95</v>
      </c>
      <c r="AW183" s="17" t="s">
        <v>141</v>
      </c>
      <c r="BC183" s="89">
        <f aca="true" t="shared" si="60" ref="BC183:BC192">IF(U183="základní",N183,0)</f>
        <v>0</v>
      </c>
      <c r="BD183" s="89">
        <f aca="true" t="shared" si="61" ref="BD183:BD192">IF(U183="snížená",N183,0)</f>
        <v>0</v>
      </c>
      <c r="BE183" s="89">
        <f aca="true" t="shared" si="62" ref="BE183:BE192">IF(U183="zákl. přenesená",N183,0)</f>
        <v>0</v>
      </c>
      <c r="BF183" s="89">
        <f aca="true" t="shared" si="63" ref="BF183:BF192">IF(U183="sníž. přenesená",N183,0)</f>
        <v>0</v>
      </c>
      <c r="BG183" s="89">
        <f aca="true" t="shared" si="64" ref="BG183:BG192">IF(U183="nulová",N183,0)</f>
        <v>0</v>
      </c>
      <c r="BH183" s="17" t="s">
        <v>80</v>
      </c>
      <c r="BI183" s="89">
        <f aca="true" t="shared" si="65" ref="BI183:BI192">ROUND(L183*K183,2)</f>
        <v>0</v>
      </c>
      <c r="BJ183" s="17" t="s">
        <v>197</v>
      </c>
      <c r="BK183" s="17" t="s">
        <v>282</v>
      </c>
    </row>
    <row r="184" spans="2:63" s="1" customFormat="1" ht="13.5">
      <c r="B184" s="30"/>
      <c r="C184" s="143">
        <v>41</v>
      </c>
      <c r="D184" s="150" t="s">
        <v>198</v>
      </c>
      <c r="E184" s="151" t="s">
        <v>283</v>
      </c>
      <c r="F184" s="467" t="s">
        <v>284</v>
      </c>
      <c r="G184" s="467"/>
      <c r="H184" s="467"/>
      <c r="I184" s="467"/>
      <c r="J184" s="152" t="s">
        <v>144</v>
      </c>
      <c r="K184" s="153">
        <v>10.29</v>
      </c>
      <c r="L184" s="468"/>
      <c r="M184" s="469"/>
      <c r="N184" s="472">
        <f t="shared" si="56"/>
        <v>0</v>
      </c>
      <c r="O184" s="458"/>
      <c r="P184" s="458"/>
      <c r="Q184" s="458"/>
      <c r="R184" s="31"/>
      <c r="T184" s="147" t="s">
        <v>20</v>
      </c>
      <c r="U184" s="34" t="s">
        <v>40</v>
      </c>
      <c r="V184" s="365"/>
      <c r="W184" s="148">
        <f t="shared" si="57"/>
        <v>0</v>
      </c>
      <c r="X184" s="148">
        <v>0</v>
      </c>
      <c r="Y184" s="148">
        <f t="shared" si="58"/>
        <v>0</v>
      </c>
      <c r="Z184" s="148">
        <v>0</v>
      </c>
      <c r="AA184" s="149">
        <f t="shared" si="59"/>
        <v>0</v>
      </c>
      <c r="AP184" s="17" t="s">
        <v>234</v>
      </c>
      <c r="AR184" s="17" t="s">
        <v>198</v>
      </c>
      <c r="AS184" s="17" t="s">
        <v>95</v>
      </c>
      <c r="AW184" s="17" t="s">
        <v>141</v>
      </c>
      <c r="BC184" s="89">
        <f t="shared" si="60"/>
        <v>0</v>
      </c>
      <c r="BD184" s="89">
        <f t="shared" si="61"/>
        <v>0</v>
      </c>
      <c r="BE184" s="89">
        <f t="shared" si="62"/>
        <v>0</v>
      </c>
      <c r="BF184" s="89">
        <f t="shared" si="63"/>
        <v>0</v>
      </c>
      <c r="BG184" s="89">
        <f t="shared" si="64"/>
        <v>0</v>
      </c>
      <c r="BH184" s="17" t="s">
        <v>80</v>
      </c>
      <c r="BI184" s="89">
        <f t="shared" si="65"/>
        <v>0</v>
      </c>
      <c r="BJ184" s="17" t="s">
        <v>197</v>
      </c>
      <c r="BK184" s="17" t="s">
        <v>285</v>
      </c>
    </row>
    <row r="185" spans="2:63" s="1" customFormat="1" ht="13.5">
      <c r="B185" s="30"/>
      <c r="C185" s="143">
        <v>42</v>
      </c>
      <c r="D185" s="143" t="s">
        <v>142</v>
      </c>
      <c r="E185" s="144" t="s">
        <v>286</v>
      </c>
      <c r="F185" s="455" t="s">
        <v>287</v>
      </c>
      <c r="G185" s="455"/>
      <c r="H185" s="455"/>
      <c r="I185" s="455"/>
      <c r="J185" s="145" t="s">
        <v>144</v>
      </c>
      <c r="K185" s="146">
        <v>42.75</v>
      </c>
      <c r="L185" s="456"/>
      <c r="M185" s="457"/>
      <c r="N185" s="458">
        <f t="shared" si="56"/>
        <v>0</v>
      </c>
      <c r="O185" s="458"/>
      <c r="P185" s="458"/>
      <c r="Q185" s="458"/>
      <c r="R185" s="31"/>
      <c r="T185" s="147" t="s">
        <v>20</v>
      </c>
      <c r="U185" s="34" t="s">
        <v>40</v>
      </c>
      <c r="V185" s="365"/>
      <c r="W185" s="148">
        <f t="shared" si="57"/>
        <v>0</v>
      </c>
      <c r="X185" s="148">
        <v>0.00028</v>
      </c>
      <c r="Y185" s="148">
        <f t="shared" si="58"/>
        <v>0.01197</v>
      </c>
      <c r="Z185" s="148">
        <v>0</v>
      </c>
      <c r="AA185" s="149">
        <f t="shared" si="59"/>
        <v>0</v>
      </c>
      <c r="AP185" s="17" t="s">
        <v>197</v>
      </c>
      <c r="AR185" s="17" t="s">
        <v>142</v>
      </c>
      <c r="AS185" s="17" t="s">
        <v>95</v>
      </c>
      <c r="AW185" s="17" t="s">
        <v>141</v>
      </c>
      <c r="BC185" s="89">
        <f t="shared" si="60"/>
        <v>0</v>
      </c>
      <c r="BD185" s="89">
        <f t="shared" si="61"/>
        <v>0</v>
      </c>
      <c r="BE185" s="89">
        <f t="shared" si="62"/>
        <v>0</v>
      </c>
      <c r="BF185" s="89">
        <f t="shared" si="63"/>
        <v>0</v>
      </c>
      <c r="BG185" s="89">
        <f t="shared" si="64"/>
        <v>0</v>
      </c>
      <c r="BH185" s="17" t="s">
        <v>80</v>
      </c>
      <c r="BI185" s="89">
        <f t="shared" si="65"/>
        <v>0</v>
      </c>
      <c r="BJ185" s="17" t="s">
        <v>197</v>
      </c>
      <c r="BK185" s="17" t="s">
        <v>288</v>
      </c>
    </row>
    <row r="186" spans="2:63" s="1" customFormat="1" ht="13.5">
      <c r="B186" s="30"/>
      <c r="C186" s="143">
        <v>43</v>
      </c>
      <c r="D186" s="150" t="s">
        <v>198</v>
      </c>
      <c r="E186" s="151" t="s">
        <v>289</v>
      </c>
      <c r="F186" s="467" t="s">
        <v>290</v>
      </c>
      <c r="G186" s="467"/>
      <c r="H186" s="467"/>
      <c r="I186" s="467"/>
      <c r="J186" s="152" t="s">
        <v>144</v>
      </c>
      <c r="K186" s="153">
        <v>42.75</v>
      </c>
      <c r="L186" s="468"/>
      <c r="M186" s="469"/>
      <c r="N186" s="472">
        <f t="shared" si="56"/>
        <v>0</v>
      </c>
      <c r="O186" s="458"/>
      <c r="P186" s="458"/>
      <c r="Q186" s="458"/>
      <c r="R186" s="31"/>
      <c r="T186" s="147" t="s">
        <v>20</v>
      </c>
      <c r="U186" s="34" t="s">
        <v>40</v>
      </c>
      <c r="V186" s="365"/>
      <c r="W186" s="148">
        <f t="shared" si="57"/>
        <v>0</v>
      </c>
      <c r="X186" s="148">
        <v>0</v>
      </c>
      <c r="Y186" s="148">
        <f t="shared" si="58"/>
        <v>0</v>
      </c>
      <c r="Z186" s="148">
        <v>0</v>
      </c>
      <c r="AA186" s="149">
        <f t="shared" si="59"/>
        <v>0</v>
      </c>
      <c r="AP186" s="17" t="s">
        <v>234</v>
      </c>
      <c r="AR186" s="17" t="s">
        <v>198</v>
      </c>
      <c r="AS186" s="17" t="s">
        <v>95</v>
      </c>
      <c r="AW186" s="17" t="s">
        <v>141</v>
      </c>
      <c r="BC186" s="89">
        <f t="shared" si="60"/>
        <v>0</v>
      </c>
      <c r="BD186" s="89">
        <f t="shared" si="61"/>
        <v>0</v>
      </c>
      <c r="BE186" s="89">
        <f t="shared" si="62"/>
        <v>0</v>
      </c>
      <c r="BF186" s="89">
        <f t="shared" si="63"/>
        <v>0</v>
      </c>
      <c r="BG186" s="89">
        <f t="shared" si="64"/>
        <v>0</v>
      </c>
      <c r="BH186" s="17" t="s">
        <v>80</v>
      </c>
      <c r="BI186" s="89">
        <f t="shared" si="65"/>
        <v>0</v>
      </c>
      <c r="BJ186" s="17" t="s">
        <v>197</v>
      </c>
      <c r="BK186" s="17" t="s">
        <v>291</v>
      </c>
    </row>
    <row r="187" spans="2:63" s="1" customFormat="1" ht="13.5">
      <c r="B187" s="30"/>
      <c r="C187" s="143">
        <v>44</v>
      </c>
      <c r="D187" s="143" t="s">
        <v>142</v>
      </c>
      <c r="E187" s="144" t="s">
        <v>292</v>
      </c>
      <c r="F187" s="455" t="s">
        <v>293</v>
      </c>
      <c r="G187" s="455"/>
      <c r="H187" s="455"/>
      <c r="I187" s="455"/>
      <c r="J187" s="145" t="s">
        <v>294</v>
      </c>
      <c r="K187" s="146">
        <f>SUM(K188:K192)</f>
        <v>1443.0100000000002</v>
      </c>
      <c r="L187" s="456"/>
      <c r="M187" s="457"/>
      <c r="N187" s="458">
        <f t="shared" si="56"/>
        <v>0</v>
      </c>
      <c r="O187" s="458"/>
      <c r="P187" s="458"/>
      <c r="Q187" s="458"/>
      <c r="R187" s="31"/>
      <c r="T187" s="147" t="s">
        <v>20</v>
      </c>
      <c r="U187" s="34" t="s">
        <v>40</v>
      </c>
      <c r="V187" s="365"/>
      <c r="W187" s="148">
        <f t="shared" si="57"/>
        <v>0</v>
      </c>
      <c r="X187" s="148">
        <v>0</v>
      </c>
      <c r="Y187" s="148">
        <f t="shared" si="58"/>
        <v>0</v>
      </c>
      <c r="Z187" s="148">
        <v>0</v>
      </c>
      <c r="AA187" s="149">
        <f t="shared" si="59"/>
        <v>0</v>
      </c>
      <c r="AP187" s="17" t="s">
        <v>197</v>
      </c>
      <c r="AR187" s="17" t="s">
        <v>142</v>
      </c>
      <c r="AS187" s="17" t="s">
        <v>95</v>
      </c>
      <c r="AW187" s="17" t="s">
        <v>141</v>
      </c>
      <c r="BC187" s="89">
        <f t="shared" si="60"/>
        <v>0</v>
      </c>
      <c r="BD187" s="89">
        <f t="shared" si="61"/>
        <v>0</v>
      </c>
      <c r="BE187" s="89">
        <f t="shared" si="62"/>
        <v>0</v>
      </c>
      <c r="BF187" s="89">
        <f t="shared" si="63"/>
        <v>0</v>
      </c>
      <c r="BG187" s="89">
        <f t="shared" si="64"/>
        <v>0</v>
      </c>
      <c r="BH187" s="17" t="s">
        <v>80</v>
      </c>
      <c r="BI187" s="89">
        <f t="shared" si="65"/>
        <v>0</v>
      </c>
      <c r="BJ187" s="17" t="s">
        <v>197</v>
      </c>
      <c r="BK187" s="17" t="s">
        <v>295</v>
      </c>
    </row>
    <row r="188" spans="2:63" s="1" customFormat="1" ht="13.5">
      <c r="B188" s="30"/>
      <c r="C188" s="143">
        <v>45</v>
      </c>
      <c r="D188" s="143" t="s">
        <v>142</v>
      </c>
      <c r="E188" s="144" t="s">
        <v>296</v>
      </c>
      <c r="F188" s="455" t="s">
        <v>297</v>
      </c>
      <c r="G188" s="455"/>
      <c r="H188" s="455"/>
      <c r="I188" s="455"/>
      <c r="J188" s="145" t="s">
        <v>294</v>
      </c>
      <c r="K188" s="146">
        <v>624</v>
      </c>
      <c r="L188" s="456"/>
      <c r="M188" s="457"/>
      <c r="N188" s="458">
        <f t="shared" si="56"/>
        <v>0</v>
      </c>
      <c r="O188" s="458"/>
      <c r="P188" s="458"/>
      <c r="Q188" s="458"/>
      <c r="R188" s="31"/>
      <c r="T188" s="147" t="s">
        <v>20</v>
      </c>
      <c r="U188" s="34" t="s">
        <v>40</v>
      </c>
      <c r="V188" s="365"/>
      <c r="W188" s="148">
        <f t="shared" si="57"/>
        <v>0</v>
      </c>
      <c r="X188" s="148">
        <v>0</v>
      </c>
      <c r="Y188" s="148">
        <f t="shared" si="58"/>
        <v>0</v>
      </c>
      <c r="Z188" s="148">
        <v>0</v>
      </c>
      <c r="AA188" s="149">
        <f t="shared" si="59"/>
        <v>0</v>
      </c>
      <c r="AP188" s="17" t="s">
        <v>197</v>
      </c>
      <c r="AR188" s="17" t="s">
        <v>142</v>
      </c>
      <c r="AS188" s="17" t="s">
        <v>95</v>
      </c>
      <c r="AW188" s="17" t="s">
        <v>141</v>
      </c>
      <c r="BC188" s="89">
        <f t="shared" si="60"/>
        <v>0</v>
      </c>
      <c r="BD188" s="89">
        <f t="shared" si="61"/>
        <v>0</v>
      </c>
      <c r="BE188" s="89">
        <f t="shared" si="62"/>
        <v>0</v>
      </c>
      <c r="BF188" s="89">
        <f t="shared" si="63"/>
        <v>0</v>
      </c>
      <c r="BG188" s="89">
        <f t="shared" si="64"/>
        <v>0</v>
      </c>
      <c r="BH188" s="17" t="s">
        <v>80</v>
      </c>
      <c r="BI188" s="89">
        <f t="shared" si="65"/>
        <v>0</v>
      </c>
      <c r="BJ188" s="17" t="s">
        <v>197</v>
      </c>
      <c r="BK188" s="17" t="s">
        <v>298</v>
      </c>
    </row>
    <row r="189" spans="2:63" s="1" customFormat="1" ht="13.5">
      <c r="B189" s="30"/>
      <c r="C189" s="143">
        <v>46</v>
      </c>
      <c r="D189" s="143" t="s">
        <v>142</v>
      </c>
      <c r="E189" s="144" t="s">
        <v>299</v>
      </c>
      <c r="F189" s="455" t="s">
        <v>300</v>
      </c>
      <c r="G189" s="455"/>
      <c r="H189" s="455"/>
      <c r="I189" s="455"/>
      <c r="J189" s="145" t="s">
        <v>294</v>
      </c>
      <c r="K189" s="146">
        <v>281.61</v>
      </c>
      <c r="L189" s="456"/>
      <c r="M189" s="457"/>
      <c r="N189" s="458">
        <f t="shared" si="56"/>
        <v>0</v>
      </c>
      <c r="O189" s="458"/>
      <c r="P189" s="458"/>
      <c r="Q189" s="458"/>
      <c r="R189" s="31"/>
      <c r="T189" s="147" t="s">
        <v>20</v>
      </c>
      <c r="U189" s="34" t="s">
        <v>40</v>
      </c>
      <c r="V189" s="365"/>
      <c r="W189" s="148">
        <f t="shared" si="57"/>
        <v>0</v>
      </c>
      <c r="X189" s="148">
        <v>0</v>
      </c>
      <c r="Y189" s="148">
        <f t="shared" si="58"/>
        <v>0</v>
      </c>
      <c r="Z189" s="148">
        <v>0</v>
      </c>
      <c r="AA189" s="149">
        <f t="shared" si="59"/>
        <v>0</v>
      </c>
      <c r="AP189" s="17" t="s">
        <v>197</v>
      </c>
      <c r="AR189" s="17" t="s">
        <v>142</v>
      </c>
      <c r="AS189" s="17" t="s">
        <v>95</v>
      </c>
      <c r="AW189" s="17" t="s">
        <v>141</v>
      </c>
      <c r="BC189" s="89">
        <f t="shared" si="60"/>
        <v>0</v>
      </c>
      <c r="BD189" s="89">
        <f t="shared" si="61"/>
        <v>0</v>
      </c>
      <c r="BE189" s="89">
        <f t="shared" si="62"/>
        <v>0</v>
      </c>
      <c r="BF189" s="89">
        <f t="shared" si="63"/>
        <v>0</v>
      </c>
      <c r="BG189" s="89">
        <f t="shared" si="64"/>
        <v>0</v>
      </c>
      <c r="BH189" s="17" t="s">
        <v>80</v>
      </c>
      <c r="BI189" s="89">
        <f t="shared" si="65"/>
        <v>0</v>
      </c>
      <c r="BJ189" s="17" t="s">
        <v>197</v>
      </c>
      <c r="BK189" s="17" t="s">
        <v>301</v>
      </c>
    </row>
    <row r="190" spans="2:63" s="1" customFormat="1" ht="13.5">
      <c r="B190" s="30"/>
      <c r="C190" s="143">
        <v>47</v>
      </c>
      <c r="D190" s="143" t="s">
        <v>142</v>
      </c>
      <c r="E190" s="144" t="s">
        <v>302</v>
      </c>
      <c r="F190" s="455" t="s">
        <v>303</v>
      </c>
      <c r="G190" s="455"/>
      <c r="H190" s="455"/>
      <c r="I190" s="455"/>
      <c r="J190" s="145" t="s">
        <v>294</v>
      </c>
      <c r="K190" s="146">
        <v>422</v>
      </c>
      <c r="L190" s="456"/>
      <c r="M190" s="457"/>
      <c r="N190" s="458">
        <f t="shared" si="56"/>
        <v>0</v>
      </c>
      <c r="O190" s="458"/>
      <c r="P190" s="458"/>
      <c r="Q190" s="458"/>
      <c r="R190" s="31"/>
      <c r="T190" s="147" t="s">
        <v>20</v>
      </c>
      <c r="U190" s="34" t="s">
        <v>40</v>
      </c>
      <c r="V190" s="365"/>
      <c r="W190" s="148">
        <f t="shared" si="57"/>
        <v>0</v>
      </c>
      <c r="X190" s="148">
        <v>0</v>
      </c>
      <c r="Y190" s="148">
        <f t="shared" si="58"/>
        <v>0</v>
      </c>
      <c r="Z190" s="148">
        <v>0</v>
      </c>
      <c r="AA190" s="149">
        <f t="shared" si="59"/>
        <v>0</v>
      </c>
      <c r="AP190" s="17" t="s">
        <v>197</v>
      </c>
      <c r="AR190" s="17" t="s">
        <v>142</v>
      </c>
      <c r="AS190" s="17" t="s">
        <v>95</v>
      </c>
      <c r="AW190" s="17" t="s">
        <v>141</v>
      </c>
      <c r="BC190" s="89">
        <f t="shared" si="60"/>
        <v>0</v>
      </c>
      <c r="BD190" s="89">
        <f t="shared" si="61"/>
        <v>0</v>
      </c>
      <c r="BE190" s="89">
        <f t="shared" si="62"/>
        <v>0</v>
      </c>
      <c r="BF190" s="89">
        <f t="shared" si="63"/>
        <v>0</v>
      </c>
      <c r="BG190" s="89">
        <f t="shared" si="64"/>
        <v>0</v>
      </c>
      <c r="BH190" s="17" t="s">
        <v>80</v>
      </c>
      <c r="BI190" s="89">
        <f t="shared" si="65"/>
        <v>0</v>
      </c>
      <c r="BJ190" s="17" t="s">
        <v>197</v>
      </c>
      <c r="BK190" s="17" t="s">
        <v>304</v>
      </c>
    </row>
    <row r="191" spans="2:63" s="1" customFormat="1" ht="13.5">
      <c r="B191" s="30"/>
      <c r="C191" s="143">
        <v>48</v>
      </c>
      <c r="D191" s="143" t="s">
        <v>142</v>
      </c>
      <c r="E191" s="144" t="s">
        <v>305</v>
      </c>
      <c r="F191" s="455" t="s">
        <v>306</v>
      </c>
      <c r="G191" s="455"/>
      <c r="H191" s="455"/>
      <c r="I191" s="455"/>
      <c r="J191" s="145" t="s">
        <v>294</v>
      </c>
      <c r="K191" s="146">
        <v>31.4</v>
      </c>
      <c r="L191" s="456"/>
      <c r="M191" s="457"/>
      <c r="N191" s="458">
        <f t="shared" si="56"/>
        <v>0</v>
      </c>
      <c r="O191" s="458"/>
      <c r="P191" s="458"/>
      <c r="Q191" s="458"/>
      <c r="R191" s="31"/>
      <c r="T191" s="147" t="s">
        <v>20</v>
      </c>
      <c r="U191" s="34" t="s">
        <v>40</v>
      </c>
      <c r="V191" s="365"/>
      <c r="W191" s="148">
        <f t="shared" si="57"/>
        <v>0</v>
      </c>
      <c r="X191" s="148">
        <v>0</v>
      </c>
      <c r="Y191" s="148">
        <f t="shared" si="58"/>
        <v>0</v>
      </c>
      <c r="Z191" s="148">
        <v>0</v>
      </c>
      <c r="AA191" s="149">
        <f t="shared" si="59"/>
        <v>0</v>
      </c>
      <c r="AP191" s="17" t="s">
        <v>197</v>
      </c>
      <c r="AR191" s="17" t="s">
        <v>142</v>
      </c>
      <c r="AS191" s="17" t="s">
        <v>95</v>
      </c>
      <c r="AW191" s="17" t="s">
        <v>141</v>
      </c>
      <c r="BC191" s="89">
        <f t="shared" si="60"/>
        <v>0</v>
      </c>
      <c r="BD191" s="89">
        <f t="shared" si="61"/>
        <v>0</v>
      </c>
      <c r="BE191" s="89">
        <f t="shared" si="62"/>
        <v>0</v>
      </c>
      <c r="BF191" s="89">
        <f t="shared" si="63"/>
        <v>0</v>
      </c>
      <c r="BG191" s="89">
        <f t="shared" si="64"/>
        <v>0</v>
      </c>
      <c r="BH191" s="17" t="s">
        <v>80</v>
      </c>
      <c r="BI191" s="89">
        <f t="shared" si="65"/>
        <v>0</v>
      </c>
      <c r="BJ191" s="17" t="s">
        <v>197</v>
      </c>
      <c r="BK191" s="17" t="s">
        <v>307</v>
      </c>
    </row>
    <row r="192" spans="2:63" s="1" customFormat="1" ht="13.5">
      <c r="B192" s="30"/>
      <c r="C192" s="143">
        <v>49</v>
      </c>
      <c r="D192" s="143" t="s">
        <v>142</v>
      </c>
      <c r="E192" s="144" t="s">
        <v>308</v>
      </c>
      <c r="F192" s="455" t="s">
        <v>309</v>
      </c>
      <c r="G192" s="455"/>
      <c r="H192" s="455"/>
      <c r="I192" s="455"/>
      <c r="J192" s="145" t="s">
        <v>294</v>
      </c>
      <c r="K192" s="146">
        <v>84</v>
      </c>
      <c r="L192" s="456"/>
      <c r="M192" s="457"/>
      <c r="N192" s="458">
        <f t="shared" si="56"/>
        <v>0</v>
      </c>
      <c r="O192" s="458"/>
      <c r="P192" s="458"/>
      <c r="Q192" s="458"/>
      <c r="R192" s="31"/>
      <c r="T192" s="147" t="s">
        <v>20</v>
      </c>
      <c r="U192" s="34" t="s">
        <v>40</v>
      </c>
      <c r="V192" s="365"/>
      <c r="W192" s="148">
        <f t="shared" si="57"/>
        <v>0</v>
      </c>
      <c r="X192" s="148">
        <v>0</v>
      </c>
      <c r="Y192" s="148">
        <f t="shared" si="58"/>
        <v>0</v>
      </c>
      <c r="Z192" s="148">
        <v>0</v>
      </c>
      <c r="AA192" s="149">
        <f t="shared" si="59"/>
        <v>0</v>
      </c>
      <c r="AP192" s="17" t="s">
        <v>197</v>
      </c>
      <c r="AR192" s="17" t="s">
        <v>142</v>
      </c>
      <c r="AS192" s="17" t="s">
        <v>95</v>
      </c>
      <c r="AW192" s="17" t="s">
        <v>141</v>
      </c>
      <c r="BC192" s="89">
        <f t="shared" si="60"/>
        <v>0</v>
      </c>
      <c r="BD192" s="89">
        <f t="shared" si="61"/>
        <v>0</v>
      </c>
      <c r="BE192" s="89">
        <f t="shared" si="62"/>
        <v>0</v>
      </c>
      <c r="BF192" s="89">
        <f t="shared" si="63"/>
        <v>0</v>
      </c>
      <c r="BG192" s="89">
        <f t="shared" si="64"/>
        <v>0</v>
      </c>
      <c r="BH192" s="17" t="s">
        <v>80</v>
      </c>
      <c r="BI192" s="89">
        <f t="shared" si="65"/>
        <v>0</v>
      </c>
      <c r="BJ192" s="17" t="s">
        <v>197</v>
      </c>
      <c r="BK192" s="17" t="s">
        <v>310</v>
      </c>
    </row>
    <row r="193" spans="2:61" s="9" customFormat="1" ht="15">
      <c r="B193" s="132"/>
      <c r="C193" s="143" t="s">
        <v>34</v>
      </c>
      <c r="D193" s="142" t="s">
        <v>117</v>
      </c>
      <c r="E193" s="142"/>
      <c r="F193" s="142"/>
      <c r="G193" s="142"/>
      <c r="H193" s="142"/>
      <c r="I193" s="142"/>
      <c r="J193" s="142"/>
      <c r="K193" s="142"/>
      <c r="L193" s="142"/>
      <c r="M193" s="142"/>
      <c r="N193" s="465">
        <f>SUM(N194)</f>
        <v>0</v>
      </c>
      <c r="O193" s="466"/>
      <c r="P193" s="466"/>
      <c r="Q193" s="466"/>
      <c r="R193" s="135"/>
      <c r="T193" s="136"/>
      <c r="U193" s="133"/>
      <c r="V193" s="133"/>
      <c r="W193" s="137">
        <f>W194</f>
        <v>0</v>
      </c>
      <c r="X193" s="133"/>
      <c r="Y193" s="137">
        <f>Y194</f>
        <v>0.014620000000000001</v>
      </c>
      <c r="Z193" s="133"/>
      <c r="AA193" s="138">
        <f>AA194</f>
        <v>0</v>
      </c>
      <c r="AP193" s="139" t="s">
        <v>95</v>
      </c>
      <c r="AR193" s="140" t="s">
        <v>74</v>
      </c>
      <c r="AS193" s="140" t="s">
        <v>80</v>
      </c>
      <c r="AW193" s="139" t="s">
        <v>141</v>
      </c>
      <c r="BI193" s="141">
        <f>BI194</f>
        <v>0</v>
      </c>
    </row>
    <row r="194" spans="2:63" s="1" customFormat="1" ht="13.5">
      <c r="B194" s="30"/>
      <c r="C194" s="150">
        <v>50</v>
      </c>
      <c r="D194" s="143" t="s">
        <v>142</v>
      </c>
      <c r="E194" s="144" t="s">
        <v>311</v>
      </c>
      <c r="F194" s="455" t="s">
        <v>312</v>
      </c>
      <c r="G194" s="455"/>
      <c r="H194" s="455"/>
      <c r="I194" s="455"/>
      <c r="J194" s="145" t="s">
        <v>144</v>
      </c>
      <c r="K194" s="146">
        <v>86</v>
      </c>
      <c r="L194" s="456"/>
      <c r="M194" s="457"/>
      <c r="N194" s="458">
        <f>ROUND(L194*K194,2)</f>
        <v>0</v>
      </c>
      <c r="O194" s="458"/>
      <c r="P194" s="458"/>
      <c r="Q194" s="458"/>
      <c r="R194" s="31"/>
      <c r="T194" s="147" t="s">
        <v>20</v>
      </c>
      <c r="U194" s="34" t="s">
        <v>40</v>
      </c>
      <c r="V194" s="365"/>
      <c r="W194" s="148">
        <f>V194*K194</f>
        <v>0</v>
      </c>
      <c r="X194" s="148">
        <v>0.00017</v>
      </c>
      <c r="Y194" s="148">
        <f>X194*K194</f>
        <v>0.014620000000000001</v>
      </c>
      <c r="Z194" s="148">
        <v>0</v>
      </c>
      <c r="AA194" s="149">
        <f>Z194*K194</f>
        <v>0</v>
      </c>
      <c r="AP194" s="17" t="s">
        <v>197</v>
      </c>
      <c r="AR194" s="17" t="s">
        <v>142</v>
      </c>
      <c r="AS194" s="17" t="s">
        <v>95</v>
      </c>
      <c r="AW194" s="17" t="s">
        <v>141</v>
      </c>
      <c r="BC194" s="89">
        <f>IF(U194="základní",N194,0)</f>
        <v>0</v>
      </c>
      <c r="BD194" s="89">
        <f>IF(U194="snížená",N194,0)</f>
        <v>0</v>
      </c>
      <c r="BE194" s="89">
        <f>IF(U194="zákl. přenesená",N194,0)</f>
        <v>0</v>
      </c>
      <c r="BF194" s="89">
        <f>IF(U194="sníž. přenesená",N194,0)</f>
        <v>0</v>
      </c>
      <c r="BG194" s="89">
        <f>IF(U194="nulová",N194,0)</f>
        <v>0</v>
      </c>
      <c r="BH194" s="17" t="s">
        <v>80</v>
      </c>
      <c r="BI194" s="89">
        <f>ROUND(L194*K194,2)</f>
        <v>0</v>
      </c>
      <c r="BJ194" s="17" t="s">
        <v>197</v>
      </c>
      <c r="BK194" s="17" t="s">
        <v>313</v>
      </c>
    </row>
    <row r="195" spans="2:61" s="9" customFormat="1" ht="15">
      <c r="B195" s="132"/>
      <c r="C195" s="143" t="s">
        <v>34</v>
      </c>
      <c r="D195" s="142" t="s">
        <v>612</v>
      </c>
      <c r="E195" s="142"/>
      <c r="F195" s="142"/>
      <c r="G195" s="142"/>
      <c r="H195" s="142"/>
      <c r="I195" s="142"/>
      <c r="J195" s="142"/>
      <c r="K195" s="142"/>
      <c r="L195" s="142"/>
      <c r="M195" s="142"/>
      <c r="N195" s="465">
        <f>SUM(N196:Q200)</f>
        <v>0</v>
      </c>
      <c r="O195" s="466"/>
      <c r="P195" s="466"/>
      <c r="Q195" s="466"/>
      <c r="R195" s="135"/>
      <c r="T195" s="136"/>
      <c r="U195" s="133"/>
      <c r="V195" s="133"/>
      <c r="W195" s="137">
        <f>SUM(W196:W200)</f>
        <v>0</v>
      </c>
      <c r="X195" s="133"/>
      <c r="Y195" s="137">
        <f>SUM(Y196:Y200)</f>
        <v>0</v>
      </c>
      <c r="Z195" s="133"/>
      <c r="AA195" s="138">
        <f>SUM(AA196:AA200)</f>
        <v>0</v>
      </c>
      <c r="AP195" s="139" t="s">
        <v>95</v>
      </c>
      <c r="AR195" s="140" t="s">
        <v>74</v>
      </c>
      <c r="AS195" s="140" t="s">
        <v>80</v>
      </c>
      <c r="AW195" s="139" t="s">
        <v>141</v>
      </c>
      <c r="BI195" s="141">
        <f>SUM(BI196:BI200)</f>
        <v>0</v>
      </c>
    </row>
    <row r="196" spans="2:63" s="1" customFormat="1" ht="13.5">
      <c r="B196" s="30"/>
      <c r="C196" s="150">
        <v>51</v>
      </c>
      <c r="D196" s="143" t="s">
        <v>142</v>
      </c>
      <c r="E196" s="144" t="s">
        <v>314</v>
      </c>
      <c r="F196" s="455" t="s">
        <v>324</v>
      </c>
      <c r="G196" s="455"/>
      <c r="H196" s="455"/>
      <c r="I196" s="455"/>
      <c r="J196" s="145" t="s">
        <v>199</v>
      </c>
      <c r="K196" s="146">
        <v>12</v>
      </c>
      <c r="L196" s="456"/>
      <c r="M196" s="457"/>
      <c r="N196" s="458">
        <f aca="true" t="shared" si="66" ref="N196:N199">ROUND(L196*K196,2)</f>
        <v>0</v>
      </c>
      <c r="O196" s="458"/>
      <c r="P196" s="458"/>
      <c r="Q196" s="458"/>
      <c r="R196" s="31"/>
      <c r="T196" s="147" t="s">
        <v>20</v>
      </c>
      <c r="U196" s="34" t="s">
        <v>40</v>
      </c>
      <c r="V196" s="365"/>
      <c r="W196" s="148">
        <f aca="true" t="shared" si="67" ref="W196:W200">V196*K196</f>
        <v>0</v>
      </c>
      <c r="X196" s="148">
        <v>0</v>
      </c>
      <c r="Y196" s="148">
        <f aca="true" t="shared" si="68" ref="Y196:Y200">X196*K196</f>
        <v>0</v>
      </c>
      <c r="Z196" s="148">
        <v>0</v>
      </c>
      <c r="AA196" s="149">
        <f aca="true" t="shared" si="69" ref="AA196:AA200">Z196*K196</f>
        <v>0</v>
      </c>
      <c r="AP196" s="17" t="s">
        <v>197</v>
      </c>
      <c r="AR196" s="17" t="s">
        <v>142</v>
      </c>
      <c r="AS196" s="17" t="s">
        <v>95</v>
      </c>
      <c r="AW196" s="17" t="s">
        <v>141</v>
      </c>
      <c r="BC196" s="89">
        <f aca="true" t="shared" si="70" ref="BC196:BC200">IF(U196="základní",N196,0)</f>
        <v>0</v>
      </c>
      <c r="BD196" s="89">
        <f aca="true" t="shared" si="71" ref="BD196:BD200">IF(U196="snížená",N196,0)</f>
        <v>0</v>
      </c>
      <c r="BE196" s="89">
        <f aca="true" t="shared" si="72" ref="BE196:BE200">IF(U196="zákl. přenesená",N196,0)</f>
        <v>0</v>
      </c>
      <c r="BF196" s="89">
        <f aca="true" t="shared" si="73" ref="BF196:BF200">IF(U196="sníž. přenesená",N196,0)</f>
        <v>0</v>
      </c>
      <c r="BG196" s="89">
        <f aca="true" t="shared" si="74" ref="BG196:BG200">IF(U196="nulová",N196,0)</f>
        <v>0</v>
      </c>
      <c r="BH196" s="17" t="s">
        <v>80</v>
      </c>
      <c r="BI196" s="89">
        <f aca="true" t="shared" si="75" ref="BI196:BI200">ROUND(L196*K196,2)</f>
        <v>0</v>
      </c>
      <c r="BJ196" s="17" t="s">
        <v>197</v>
      </c>
      <c r="BK196" s="17" t="s">
        <v>315</v>
      </c>
    </row>
    <row r="197" spans="2:63" s="1" customFormat="1" ht="13.5">
      <c r="B197" s="30"/>
      <c r="C197" s="150">
        <v>52</v>
      </c>
      <c r="D197" s="143" t="s">
        <v>142</v>
      </c>
      <c r="E197" s="144" t="s">
        <v>316</v>
      </c>
      <c r="F197" s="455" t="s">
        <v>613</v>
      </c>
      <c r="G197" s="455"/>
      <c r="H197" s="455"/>
      <c r="I197" s="455"/>
      <c r="J197" s="145" t="s">
        <v>199</v>
      </c>
      <c r="K197" s="146">
        <v>8</v>
      </c>
      <c r="L197" s="456"/>
      <c r="M197" s="457"/>
      <c r="N197" s="458">
        <f t="shared" si="66"/>
        <v>0</v>
      </c>
      <c r="O197" s="458"/>
      <c r="P197" s="458"/>
      <c r="Q197" s="458"/>
      <c r="R197" s="31"/>
      <c r="T197" s="147" t="s">
        <v>20</v>
      </c>
      <c r="U197" s="34" t="s">
        <v>40</v>
      </c>
      <c r="V197" s="365"/>
      <c r="W197" s="148">
        <f t="shared" si="67"/>
        <v>0</v>
      </c>
      <c r="X197" s="148">
        <v>0</v>
      </c>
      <c r="Y197" s="148">
        <f t="shared" si="68"/>
        <v>0</v>
      </c>
      <c r="Z197" s="148">
        <v>0</v>
      </c>
      <c r="AA197" s="149">
        <f t="shared" si="69"/>
        <v>0</v>
      </c>
      <c r="AP197" s="17" t="s">
        <v>197</v>
      </c>
      <c r="AR197" s="17" t="s">
        <v>142</v>
      </c>
      <c r="AS197" s="17" t="s">
        <v>95</v>
      </c>
      <c r="AW197" s="17" t="s">
        <v>141</v>
      </c>
      <c r="BC197" s="89">
        <f t="shared" si="70"/>
        <v>0</v>
      </c>
      <c r="BD197" s="89">
        <f t="shared" si="71"/>
        <v>0</v>
      </c>
      <c r="BE197" s="89">
        <f t="shared" si="72"/>
        <v>0</v>
      </c>
      <c r="BF197" s="89">
        <f t="shared" si="73"/>
        <v>0</v>
      </c>
      <c r="BG197" s="89">
        <f t="shared" si="74"/>
        <v>0</v>
      </c>
      <c r="BH197" s="17" t="s">
        <v>80</v>
      </c>
      <c r="BI197" s="89">
        <f t="shared" si="75"/>
        <v>0</v>
      </c>
      <c r="BJ197" s="17" t="s">
        <v>197</v>
      </c>
      <c r="BK197" s="17" t="s">
        <v>317</v>
      </c>
    </row>
    <row r="198" spans="2:63" s="1" customFormat="1" ht="13.5">
      <c r="B198" s="30"/>
      <c r="C198" s="150">
        <v>53</v>
      </c>
      <c r="D198" s="143" t="s">
        <v>142</v>
      </c>
      <c r="E198" s="144" t="s">
        <v>318</v>
      </c>
      <c r="F198" s="455" t="s">
        <v>614</v>
      </c>
      <c r="G198" s="455"/>
      <c r="H198" s="455"/>
      <c r="I198" s="455"/>
      <c r="J198" s="145" t="s">
        <v>199</v>
      </c>
      <c r="K198" s="146">
        <v>4</v>
      </c>
      <c r="L198" s="456"/>
      <c r="M198" s="457"/>
      <c r="N198" s="458">
        <f t="shared" si="66"/>
        <v>0</v>
      </c>
      <c r="O198" s="458"/>
      <c r="P198" s="458"/>
      <c r="Q198" s="458"/>
      <c r="R198" s="31"/>
      <c r="T198" s="147" t="s">
        <v>20</v>
      </c>
      <c r="U198" s="34" t="s">
        <v>40</v>
      </c>
      <c r="V198" s="365"/>
      <c r="W198" s="148">
        <f t="shared" si="67"/>
        <v>0</v>
      </c>
      <c r="X198" s="148">
        <v>0</v>
      </c>
      <c r="Y198" s="148">
        <f t="shared" si="68"/>
        <v>0</v>
      </c>
      <c r="Z198" s="148">
        <v>0</v>
      </c>
      <c r="AA198" s="149">
        <f t="shared" si="69"/>
        <v>0</v>
      </c>
      <c r="AP198" s="17" t="s">
        <v>197</v>
      </c>
      <c r="AR198" s="17" t="s">
        <v>142</v>
      </c>
      <c r="AS198" s="17" t="s">
        <v>95</v>
      </c>
      <c r="AW198" s="17" t="s">
        <v>141</v>
      </c>
      <c r="BC198" s="89">
        <f t="shared" si="70"/>
        <v>0</v>
      </c>
      <c r="BD198" s="89">
        <f t="shared" si="71"/>
        <v>0</v>
      </c>
      <c r="BE198" s="89">
        <f t="shared" si="72"/>
        <v>0</v>
      </c>
      <c r="BF198" s="89">
        <f t="shared" si="73"/>
        <v>0</v>
      </c>
      <c r="BG198" s="89">
        <f t="shared" si="74"/>
        <v>0</v>
      </c>
      <c r="BH198" s="17" t="s">
        <v>80</v>
      </c>
      <c r="BI198" s="89">
        <f t="shared" si="75"/>
        <v>0</v>
      </c>
      <c r="BJ198" s="17" t="s">
        <v>197</v>
      </c>
      <c r="BK198" s="17" t="s">
        <v>319</v>
      </c>
    </row>
    <row r="199" spans="2:63" s="1" customFormat="1" ht="13.5">
      <c r="B199" s="30"/>
      <c r="C199" s="150">
        <v>54</v>
      </c>
      <c r="D199" s="143" t="s">
        <v>142</v>
      </c>
      <c r="E199" s="144" t="s">
        <v>320</v>
      </c>
      <c r="F199" s="455" t="s">
        <v>615</v>
      </c>
      <c r="G199" s="455"/>
      <c r="H199" s="455"/>
      <c r="I199" s="455"/>
      <c r="J199" s="145" t="s">
        <v>199</v>
      </c>
      <c r="K199" s="146">
        <v>6</v>
      </c>
      <c r="L199" s="456"/>
      <c r="M199" s="457"/>
      <c r="N199" s="458">
        <f t="shared" si="66"/>
        <v>0</v>
      </c>
      <c r="O199" s="458"/>
      <c r="P199" s="458"/>
      <c r="Q199" s="458"/>
      <c r="R199" s="31"/>
      <c r="T199" s="147" t="s">
        <v>20</v>
      </c>
      <c r="U199" s="34" t="s">
        <v>40</v>
      </c>
      <c r="V199" s="365"/>
      <c r="W199" s="148">
        <f t="shared" si="67"/>
        <v>0</v>
      </c>
      <c r="X199" s="148">
        <v>0</v>
      </c>
      <c r="Y199" s="148">
        <f t="shared" si="68"/>
        <v>0</v>
      </c>
      <c r="Z199" s="148">
        <v>0</v>
      </c>
      <c r="AA199" s="149">
        <f t="shared" si="69"/>
        <v>0</v>
      </c>
      <c r="AP199" s="17" t="s">
        <v>197</v>
      </c>
      <c r="AR199" s="17" t="s">
        <v>142</v>
      </c>
      <c r="AS199" s="17" t="s">
        <v>95</v>
      </c>
      <c r="AW199" s="17" t="s">
        <v>141</v>
      </c>
      <c r="BC199" s="89">
        <f t="shared" si="70"/>
        <v>0</v>
      </c>
      <c r="BD199" s="89">
        <f t="shared" si="71"/>
        <v>0</v>
      </c>
      <c r="BE199" s="89">
        <f t="shared" si="72"/>
        <v>0</v>
      </c>
      <c r="BF199" s="89">
        <f t="shared" si="73"/>
        <v>0</v>
      </c>
      <c r="BG199" s="89">
        <f t="shared" si="74"/>
        <v>0</v>
      </c>
      <c r="BH199" s="17" t="s">
        <v>80</v>
      </c>
      <c r="BI199" s="89">
        <f t="shared" si="75"/>
        <v>0</v>
      </c>
      <c r="BJ199" s="17" t="s">
        <v>197</v>
      </c>
      <c r="BK199" s="17" t="s">
        <v>321</v>
      </c>
    </row>
    <row r="200" spans="2:63" s="1" customFormat="1" ht="13.5">
      <c r="B200" s="30"/>
      <c r="C200" s="143">
        <v>55</v>
      </c>
      <c r="D200" s="143" t="s">
        <v>142</v>
      </c>
      <c r="E200" s="144" t="s">
        <v>322</v>
      </c>
      <c r="F200" s="455" t="s">
        <v>625</v>
      </c>
      <c r="G200" s="455"/>
      <c r="H200" s="455"/>
      <c r="I200" s="455"/>
      <c r="J200" s="145" t="s">
        <v>194</v>
      </c>
      <c r="K200" s="146">
        <v>4</v>
      </c>
      <c r="L200" s="456"/>
      <c r="M200" s="457"/>
      <c r="N200" s="458">
        <f aca="true" t="shared" si="76" ref="N200">ROUND(L200*K200,2)</f>
        <v>0</v>
      </c>
      <c r="O200" s="458"/>
      <c r="P200" s="458"/>
      <c r="Q200" s="458"/>
      <c r="R200" s="31"/>
      <c r="T200" s="147" t="s">
        <v>20</v>
      </c>
      <c r="U200" s="34" t="s">
        <v>40</v>
      </c>
      <c r="V200" s="365"/>
      <c r="W200" s="148">
        <f t="shared" si="67"/>
        <v>0</v>
      </c>
      <c r="X200" s="148">
        <v>0</v>
      </c>
      <c r="Y200" s="148">
        <f t="shared" si="68"/>
        <v>0</v>
      </c>
      <c r="Z200" s="148">
        <v>0</v>
      </c>
      <c r="AA200" s="149">
        <f t="shared" si="69"/>
        <v>0</v>
      </c>
      <c r="AP200" s="17" t="s">
        <v>197</v>
      </c>
      <c r="AR200" s="17" t="s">
        <v>142</v>
      </c>
      <c r="AS200" s="17" t="s">
        <v>95</v>
      </c>
      <c r="AW200" s="17" t="s">
        <v>141</v>
      </c>
      <c r="BC200" s="89">
        <f t="shared" si="70"/>
        <v>0</v>
      </c>
      <c r="BD200" s="89">
        <f t="shared" si="71"/>
        <v>0</v>
      </c>
      <c r="BE200" s="89">
        <f t="shared" si="72"/>
        <v>0</v>
      </c>
      <c r="BF200" s="89">
        <f t="shared" si="73"/>
        <v>0</v>
      </c>
      <c r="BG200" s="89">
        <f t="shared" si="74"/>
        <v>0</v>
      </c>
      <c r="BH200" s="17" t="s">
        <v>80</v>
      </c>
      <c r="BI200" s="89">
        <f t="shared" si="75"/>
        <v>0</v>
      </c>
      <c r="BJ200" s="17" t="s">
        <v>197</v>
      </c>
      <c r="BK200" s="17" t="s">
        <v>323</v>
      </c>
    </row>
    <row r="201" spans="2:18" s="1" customFormat="1" ht="14.25" thickBot="1">
      <c r="B201" s="48"/>
      <c r="C201" s="378" t="s">
        <v>34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50"/>
    </row>
  </sheetData>
  <mergeCells count="258">
    <mergeCell ref="S2:AC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N193:Q193"/>
    <mergeCell ref="F194:I194"/>
    <mergeCell ref="L194:M194"/>
    <mergeCell ref="N194:Q194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N182:Q182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N177:Q177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N172:Q172"/>
    <mergeCell ref="F173:I173"/>
    <mergeCell ref="L173:M173"/>
    <mergeCell ref="N173:Q173"/>
    <mergeCell ref="N174:Q174"/>
    <mergeCell ref="N175:Q175"/>
    <mergeCell ref="F170:I170"/>
    <mergeCell ref="L170:M170"/>
    <mergeCell ref="N170:Q170"/>
    <mergeCell ref="F171:I171"/>
    <mergeCell ref="L171:M171"/>
    <mergeCell ref="N171:Q171"/>
    <mergeCell ref="N167:Q167"/>
    <mergeCell ref="F168:I168"/>
    <mergeCell ref="L168:M168"/>
    <mergeCell ref="N168:Q168"/>
    <mergeCell ref="F169:I169"/>
    <mergeCell ref="L169:M169"/>
    <mergeCell ref="N169:Q169"/>
    <mergeCell ref="N164:Q164"/>
    <mergeCell ref="F164:I164"/>
    <mergeCell ref="L164:M164"/>
    <mergeCell ref="F163:I163"/>
    <mergeCell ref="L163:M163"/>
    <mergeCell ref="N163:Q163"/>
    <mergeCell ref="F166:I166"/>
    <mergeCell ref="L166:M166"/>
    <mergeCell ref="N166:Q166"/>
    <mergeCell ref="F165:I165"/>
    <mergeCell ref="L165:M165"/>
    <mergeCell ref="N165:Q165"/>
    <mergeCell ref="F162:I162"/>
    <mergeCell ref="L162:M162"/>
    <mergeCell ref="N162:Q162"/>
    <mergeCell ref="N159:Q159"/>
    <mergeCell ref="F160:I160"/>
    <mergeCell ref="L160:M160"/>
    <mergeCell ref="N160:Q160"/>
    <mergeCell ref="N161:Q161"/>
    <mergeCell ref="N156:Q156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3:I153"/>
    <mergeCell ref="L153:M153"/>
    <mergeCell ref="N153:Q153"/>
    <mergeCell ref="F154:I154"/>
    <mergeCell ref="L154:M154"/>
    <mergeCell ref="N154:Q154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N144:Q144"/>
    <mergeCell ref="F145:I145"/>
    <mergeCell ref="L145:M145"/>
    <mergeCell ref="N145:Q145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N130:Q130"/>
    <mergeCell ref="F131:I131"/>
    <mergeCell ref="L131:M131"/>
    <mergeCell ref="N131:Q131"/>
    <mergeCell ref="M125:Q125"/>
    <mergeCell ref="F127:I127"/>
    <mergeCell ref="L127:M127"/>
    <mergeCell ref="N127:Q127"/>
    <mergeCell ref="N128:Q128"/>
    <mergeCell ref="N129:Q129"/>
    <mergeCell ref="N110:Q110"/>
    <mergeCell ref="L112:Q112"/>
    <mergeCell ref="C118:Q118"/>
    <mergeCell ref="F120:P120"/>
    <mergeCell ref="M122:P122"/>
    <mergeCell ref="M124:Q124"/>
    <mergeCell ref="D108:H108"/>
    <mergeCell ref="N108:Q108"/>
    <mergeCell ref="D109:H109"/>
    <mergeCell ref="N109:Q109"/>
    <mergeCell ref="N105:Q105"/>
    <mergeCell ref="D106:H106"/>
    <mergeCell ref="N106:Q106"/>
    <mergeCell ref="D107:H107"/>
    <mergeCell ref="N107:Q107"/>
    <mergeCell ref="N99:Q99"/>
    <mergeCell ref="N100:Q100"/>
    <mergeCell ref="N101:Q101"/>
    <mergeCell ref="N102:Q102"/>
    <mergeCell ref="N103:Q103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H1:K1"/>
    <mergeCell ref="C2:Q2"/>
    <mergeCell ref="C4:Q4"/>
    <mergeCell ref="O8:P8"/>
    <mergeCell ref="M29:P29"/>
    <mergeCell ref="H31:J31"/>
    <mergeCell ref="M31:P31"/>
    <mergeCell ref="H32:J32"/>
    <mergeCell ref="M32:P32"/>
    <mergeCell ref="O17:P17"/>
    <mergeCell ref="O19:P19"/>
    <mergeCell ref="O20:P20"/>
    <mergeCell ref="E23:L23"/>
    <mergeCell ref="M26:P26"/>
    <mergeCell ref="M27:P27"/>
    <mergeCell ref="F6:N6"/>
    <mergeCell ref="F146:I146"/>
    <mergeCell ref="L146:M146"/>
    <mergeCell ref="N146:Q146"/>
    <mergeCell ref="O10:P10"/>
    <mergeCell ref="O11:P11"/>
    <mergeCell ref="O13:P13"/>
    <mergeCell ref="E14:L14"/>
    <mergeCell ref="O14:P14"/>
    <mergeCell ref="O16:P16"/>
    <mergeCell ref="H33:J33"/>
    <mergeCell ref="M33:P33"/>
    <mergeCell ref="F78:P78"/>
    <mergeCell ref="M80:P80"/>
    <mergeCell ref="M82:Q82"/>
    <mergeCell ref="M83:Q83"/>
    <mergeCell ref="C85:G85"/>
    <mergeCell ref="N85:Q85"/>
    <mergeCell ref="H34:J34"/>
    <mergeCell ref="M34:P34"/>
    <mergeCell ref="H35:J35"/>
    <mergeCell ref="M35:P35"/>
    <mergeCell ref="L37:P37"/>
    <mergeCell ref="C76:Q76"/>
    <mergeCell ref="N93:Q93"/>
  </mergeCells>
  <dataValidations count="2">
    <dataValidation type="list" allowBlank="1" showInputMessage="1" showErrorMessage="1" error="Povoleny jsou hodnoty základní, snížená, zákl. přenesená, sníž. přenesená, nulová." sqref="U201">
      <formula1>"základní, snížená, zákl. přenesená, sníž. přenesená, nulová"</formula1>
    </dataValidation>
    <dataValidation type="list" allowBlank="1" showInputMessage="1" showErrorMessage="1" error="Povoleny jsou hodnoty K, M." sqref="D201">
      <formula1>"K, M"</formula1>
    </dataValidation>
  </dataValidations>
  <hyperlinks>
    <hyperlink ref="F1:G1" location="C2" display="1) Krycí list rozpočtu"/>
    <hyperlink ref="H1:K1" location="C85" display="2) Rekapitulace rozpočtu"/>
    <hyperlink ref="L1" location="C130" display="3) Rozpočet"/>
    <hyperlink ref="S1:T1" location="'Rekapitulace stavby'!C2" display="Rekapitulace stavby"/>
  </hyperlink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149"/>
  <sheetViews>
    <sheetView workbookViewId="0" topLeftCell="A74">
      <selection activeCell="I89" sqref="I89:I146"/>
    </sheetView>
  </sheetViews>
  <sheetFormatPr defaultColWidth="12" defaultRowHeight="13.5"/>
  <cols>
    <col min="1" max="1" width="3" style="156" customWidth="1"/>
    <col min="2" max="2" width="2.16015625" style="156" customWidth="1"/>
    <col min="3" max="3" width="5.33203125" style="156" customWidth="1"/>
    <col min="4" max="4" width="5.5" style="156" customWidth="1"/>
    <col min="5" max="5" width="13.33203125" style="156" customWidth="1"/>
    <col min="6" max="6" width="68.33203125" style="156" customWidth="1"/>
    <col min="7" max="7" width="11.16015625" style="156" customWidth="1"/>
    <col min="8" max="8" width="14.33203125" style="156" customWidth="1"/>
    <col min="9" max="9" width="16.33203125" style="156" customWidth="1"/>
    <col min="10" max="10" width="20.33203125" style="156" customWidth="1"/>
    <col min="11" max="11" width="5.83203125" style="156" customWidth="1"/>
    <col min="12" max="18" width="12" style="156" hidden="1" customWidth="1"/>
    <col min="19" max="19" width="10.5" style="156" hidden="1" customWidth="1"/>
    <col min="20" max="20" width="38.16015625" style="156" hidden="1" customWidth="1"/>
    <col min="21" max="21" width="21" style="156" hidden="1" customWidth="1"/>
    <col min="22" max="22" width="15.83203125" style="156" hidden="1" customWidth="1"/>
    <col min="23" max="23" width="21" style="156" hidden="1" customWidth="1"/>
    <col min="24" max="24" width="15.83203125" style="156" hidden="1" customWidth="1"/>
    <col min="25" max="25" width="19.33203125" style="156" hidden="1" customWidth="1"/>
    <col min="26" max="26" width="14.16015625" style="156" hidden="1" customWidth="1"/>
    <col min="27" max="27" width="19.33203125" style="156" hidden="1" customWidth="1"/>
    <col min="28" max="28" width="21" style="156" hidden="1" customWidth="1"/>
    <col min="29" max="29" width="14.16015625" style="156" hidden="1" customWidth="1"/>
    <col min="30" max="30" width="19.33203125" style="156" hidden="1" customWidth="1"/>
    <col min="31" max="31" width="21" style="156" hidden="1" customWidth="1"/>
    <col min="32" max="70" width="12" style="156" hidden="1" customWidth="1"/>
    <col min="71" max="256" width="12" style="156" customWidth="1"/>
    <col min="257" max="257" width="10.66015625" style="156" customWidth="1"/>
    <col min="258" max="258" width="2.16015625" style="156" customWidth="1"/>
    <col min="259" max="259" width="5.33203125" style="156" customWidth="1"/>
    <col min="260" max="260" width="5.5" style="156" customWidth="1"/>
    <col min="261" max="261" width="22" style="156" customWidth="1"/>
    <col min="262" max="262" width="96.5" style="156" customWidth="1"/>
    <col min="263" max="263" width="11.16015625" style="156" customWidth="1"/>
    <col min="264" max="264" width="14.33203125" style="156" customWidth="1"/>
    <col min="265" max="265" width="16.33203125" style="156" customWidth="1"/>
    <col min="266" max="266" width="30.16015625" style="156" customWidth="1"/>
    <col min="267" max="267" width="19.83203125" style="156" customWidth="1"/>
    <col min="268" max="268" width="12" style="156" customWidth="1"/>
    <col min="269" max="277" width="12" style="156" hidden="1" customWidth="1"/>
    <col min="278" max="278" width="15.83203125" style="156" customWidth="1"/>
    <col min="279" max="279" width="21" style="156" customWidth="1"/>
    <col min="280" max="280" width="15.83203125" style="156" customWidth="1"/>
    <col min="281" max="281" width="19.33203125" style="156" customWidth="1"/>
    <col min="282" max="282" width="14.16015625" style="156" customWidth="1"/>
    <col min="283" max="283" width="19.33203125" style="156" customWidth="1"/>
    <col min="284" max="284" width="21" style="156" customWidth="1"/>
    <col min="285" max="285" width="14.16015625" style="156" customWidth="1"/>
    <col min="286" max="286" width="19.33203125" style="156" customWidth="1"/>
    <col min="287" max="287" width="21" style="156" customWidth="1"/>
    <col min="288" max="299" width="12" style="156" customWidth="1"/>
    <col min="300" max="321" width="12" style="156" hidden="1" customWidth="1"/>
    <col min="322" max="512" width="12" style="156" customWidth="1"/>
    <col min="513" max="513" width="10.66015625" style="156" customWidth="1"/>
    <col min="514" max="514" width="2.16015625" style="156" customWidth="1"/>
    <col min="515" max="515" width="5.33203125" style="156" customWidth="1"/>
    <col min="516" max="516" width="5.5" style="156" customWidth="1"/>
    <col min="517" max="517" width="22" style="156" customWidth="1"/>
    <col min="518" max="518" width="96.5" style="156" customWidth="1"/>
    <col min="519" max="519" width="11.16015625" style="156" customWidth="1"/>
    <col min="520" max="520" width="14.33203125" style="156" customWidth="1"/>
    <col min="521" max="521" width="16.33203125" style="156" customWidth="1"/>
    <col min="522" max="522" width="30.16015625" style="156" customWidth="1"/>
    <col min="523" max="523" width="19.83203125" style="156" customWidth="1"/>
    <col min="524" max="524" width="12" style="156" customWidth="1"/>
    <col min="525" max="533" width="12" style="156" hidden="1" customWidth="1"/>
    <col min="534" max="534" width="15.83203125" style="156" customWidth="1"/>
    <col min="535" max="535" width="21" style="156" customWidth="1"/>
    <col min="536" max="536" width="15.83203125" style="156" customWidth="1"/>
    <col min="537" max="537" width="19.33203125" style="156" customWidth="1"/>
    <col min="538" max="538" width="14.16015625" style="156" customWidth="1"/>
    <col min="539" max="539" width="19.33203125" style="156" customWidth="1"/>
    <col min="540" max="540" width="21" style="156" customWidth="1"/>
    <col min="541" max="541" width="14.16015625" style="156" customWidth="1"/>
    <col min="542" max="542" width="19.33203125" style="156" customWidth="1"/>
    <col min="543" max="543" width="21" style="156" customWidth="1"/>
    <col min="544" max="555" width="12" style="156" customWidth="1"/>
    <col min="556" max="577" width="12" style="156" hidden="1" customWidth="1"/>
    <col min="578" max="768" width="12" style="156" customWidth="1"/>
    <col min="769" max="769" width="10.66015625" style="156" customWidth="1"/>
    <col min="770" max="770" width="2.16015625" style="156" customWidth="1"/>
    <col min="771" max="771" width="5.33203125" style="156" customWidth="1"/>
    <col min="772" max="772" width="5.5" style="156" customWidth="1"/>
    <col min="773" max="773" width="22" style="156" customWidth="1"/>
    <col min="774" max="774" width="96.5" style="156" customWidth="1"/>
    <col min="775" max="775" width="11.16015625" style="156" customWidth="1"/>
    <col min="776" max="776" width="14.33203125" style="156" customWidth="1"/>
    <col min="777" max="777" width="16.33203125" style="156" customWidth="1"/>
    <col min="778" max="778" width="30.16015625" style="156" customWidth="1"/>
    <col min="779" max="779" width="19.83203125" style="156" customWidth="1"/>
    <col min="780" max="780" width="12" style="156" customWidth="1"/>
    <col min="781" max="789" width="12" style="156" hidden="1" customWidth="1"/>
    <col min="790" max="790" width="15.83203125" style="156" customWidth="1"/>
    <col min="791" max="791" width="21" style="156" customWidth="1"/>
    <col min="792" max="792" width="15.83203125" style="156" customWidth="1"/>
    <col min="793" max="793" width="19.33203125" style="156" customWidth="1"/>
    <col min="794" max="794" width="14.16015625" style="156" customWidth="1"/>
    <col min="795" max="795" width="19.33203125" style="156" customWidth="1"/>
    <col min="796" max="796" width="21" style="156" customWidth="1"/>
    <col min="797" max="797" width="14.16015625" style="156" customWidth="1"/>
    <col min="798" max="798" width="19.33203125" style="156" customWidth="1"/>
    <col min="799" max="799" width="21" style="156" customWidth="1"/>
    <col min="800" max="811" width="12" style="156" customWidth="1"/>
    <col min="812" max="833" width="12" style="156" hidden="1" customWidth="1"/>
    <col min="834" max="1024" width="12" style="156" customWidth="1"/>
    <col min="1025" max="1025" width="10.66015625" style="156" customWidth="1"/>
    <col min="1026" max="1026" width="2.16015625" style="156" customWidth="1"/>
    <col min="1027" max="1027" width="5.33203125" style="156" customWidth="1"/>
    <col min="1028" max="1028" width="5.5" style="156" customWidth="1"/>
    <col min="1029" max="1029" width="22" style="156" customWidth="1"/>
    <col min="1030" max="1030" width="96.5" style="156" customWidth="1"/>
    <col min="1031" max="1031" width="11.16015625" style="156" customWidth="1"/>
    <col min="1032" max="1032" width="14.33203125" style="156" customWidth="1"/>
    <col min="1033" max="1033" width="16.33203125" style="156" customWidth="1"/>
    <col min="1034" max="1034" width="30.16015625" style="156" customWidth="1"/>
    <col min="1035" max="1035" width="19.83203125" style="156" customWidth="1"/>
    <col min="1036" max="1036" width="12" style="156" customWidth="1"/>
    <col min="1037" max="1045" width="12" style="156" hidden="1" customWidth="1"/>
    <col min="1046" max="1046" width="15.83203125" style="156" customWidth="1"/>
    <col min="1047" max="1047" width="21" style="156" customWidth="1"/>
    <col min="1048" max="1048" width="15.83203125" style="156" customWidth="1"/>
    <col min="1049" max="1049" width="19.33203125" style="156" customWidth="1"/>
    <col min="1050" max="1050" width="14.16015625" style="156" customWidth="1"/>
    <col min="1051" max="1051" width="19.33203125" style="156" customWidth="1"/>
    <col min="1052" max="1052" width="21" style="156" customWidth="1"/>
    <col min="1053" max="1053" width="14.16015625" style="156" customWidth="1"/>
    <col min="1054" max="1054" width="19.33203125" style="156" customWidth="1"/>
    <col min="1055" max="1055" width="21" style="156" customWidth="1"/>
    <col min="1056" max="1067" width="12" style="156" customWidth="1"/>
    <col min="1068" max="1089" width="12" style="156" hidden="1" customWidth="1"/>
    <col min="1090" max="1280" width="12" style="156" customWidth="1"/>
    <col min="1281" max="1281" width="10.66015625" style="156" customWidth="1"/>
    <col min="1282" max="1282" width="2.16015625" style="156" customWidth="1"/>
    <col min="1283" max="1283" width="5.33203125" style="156" customWidth="1"/>
    <col min="1284" max="1284" width="5.5" style="156" customWidth="1"/>
    <col min="1285" max="1285" width="22" style="156" customWidth="1"/>
    <col min="1286" max="1286" width="96.5" style="156" customWidth="1"/>
    <col min="1287" max="1287" width="11.16015625" style="156" customWidth="1"/>
    <col min="1288" max="1288" width="14.33203125" style="156" customWidth="1"/>
    <col min="1289" max="1289" width="16.33203125" style="156" customWidth="1"/>
    <col min="1290" max="1290" width="30.16015625" style="156" customWidth="1"/>
    <col min="1291" max="1291" width="19.83203125" style="156" customWidth="1"/>
    <col min="1292" max="1292" width="12" style="156" customWidth="1"/>
    <col min="1293" max="1301" width="12" style="156" hidden="1" customWidth="1"/>
    <col min="1302" max="1302" width="15.83203125" style="156" customWidth="1"/>
    <col min="1303" max="1303" width="21" style="156" customWidth="1"/>
    <col min="1304" max="1304" width="15.83203125" style="156" customWidth="1"/>
    <col min="1305" max="1305" width="19.33203125" style="156" customWidth="1"/>
    <col min="1306" max="1306" width="14.16015625" style="156" customWidth="1"/>
    <col min="1307" max="1307" width="19.33203125" style="156" customWidth="1"/>
    <col min="1308" max="1308" width="21" style="156" customWidth="1"/>
    <col min="1309" max="1309" width="14.16015625" style="156" customWidth="1"/>
    <col min="1310" max="1310" width="19.33203125" style="156" customWidth="1"/>
    <col min="1311" max="1311" width="21" style="156" customWidth="1"/>
    <col min="1312" max="1323" width="12" style="156" customWidth="1"/>
    <col min="1324" max="1345" width="12" style="156" hidden="1" customWidth="1"/>
    <col min="1346" max="1536" width="12" style="156" customWidth="1"/>
    <col min="1537" max="1537" width="10.66015625" style="156" customWidth="1"/>
    <col min="1538" max="1538" width="2.16015625" style="156" customWidth="1"/>
    <col min="1539" max="1539" width="5.33203125" style="156" customWidth="1"/>
    <col min="1540" max="1540" width="5.5" style="156" customWidth="1"/>
    <col min="1541" max="1541" width="22" style="156" customWidth="1"/>
    <col min="1542" max="1542" width="96.5" style="156" customWidth="1"/>
    <col min="1543" max="1543" width="11.16015625" style="156" customWidth="1"/>
    <col min="1544" max="1544" width="14.33203125" style="156" customWidth="1"/>
    <col min="1545" max="1545" width="16.33203125" style="156" customWidth="1"/>
    <col min="1546" max="1546" width="30.16015625" style="156" customWidth="1"/>
    <col min="1547" max="1547" width="19.83203125" style="156" customWidth="1"/>
    <col min="1548" max="1548" width="12" style="156" customWidth="1"/>
    <col min="1549" max="1557" width="12" style="156" hidden="1" customWidth="1"/>
    <col min="1558" max="1558" width="15.83203125" style="156" customWidth="1"/>
    <col min="1559" max="1559" width="21" style="156" customWidth="1"/>
    <col min="1560" max="1560" width="15.83203125" style="156" customWidth="1"/>
    <col min="1561" max="1561" width="19.33203125" style="156" customWidth="1"/>
    <col min="1562" max="1562" width="14.16015625" style="156" customWidth="1"/>
    <col min="1563" max="1563" width="19.33203125" style="156" customWidth="1"/>
    <col min="1564" max="1564" width="21" style="156" customWidth="1"/>
    <col min="1565" max="1565" width="14.16015625" style="156" customWidth="1"/>
    <col min="1566" max="1566" width="19.33203125" style="156" customWidth="1"/>
    <col min="1567" max="1567" width="21" style="156" customWidth="1"/>
    <col min="1568" max="1579" width="12" style="156" customWidth="1"/>
    <col min="1580" max="1601" width="12" style="156" hidden="1" customWidth="1"/>
    <col min="1602" max="1792" width="12" style="156" customWidth="1"/>
    <col min="1793" max="1793" width="10.66015625" style="156" customWidth="1"/>
    <col min="1794" max="1794" width="2.16015625" style="156" customWidth="1"/>
    <col min="1795" max="1795" width="5.33203125" style="156" customWidth="1"/>
    <col min="1796" max="1796" width="5.5" style="156" customWidth="1"/>
    <col min="1797" max="1797" width="22" style="156" customWidth="1"/>
    <col min="1798" max="1798" width="96.5" style="156" customWidth="1"/>
    <col min="1799" max="1799" width="11.16015625" style="156" customWidth="1"/>
    <col min="1800" max="1800" width="14.33203125" style="156" customWidth="1"/>
    <col min="1801" max="1801" width="16.33203125" style="156" customWidth="1"/>
    <col min="1802" max="1802" width="30.16015625" style="156" customWidth="1"/>
    <col min="1803" max="1803" width="19.83203125" style="156" customWidth="1"/>
    <col min="1804" max="1804" width="12" style="156" customWidth="1"/>
    <col min="1805" max="1813" width="12" style="156" hidden="1" customWidth="1"/>
    <col min="1814" max="1814" width="15.83203125" style="156" customWidth="1"/>
    <col min="1815" max="1815" width="21" style="156" customWidth="1"/>
    <col min="1816" max="1816" width="15.83203125" style="156" customWidth="1"/>
    <col min="1817" max="1817" width="19.33203125" style="156" customWidth="1"/>
    <col min="1818" max="1818" width="14.16015625" style="156" customWidth="1"/>
    <col min="1819" max="1819" width="19.33203125" style="156" customWidth="1"/>
    <col min="1820" max="1820" width="21" style="156" customWidth="1"/>
    <col min="1821" max="1821" width="14.16015625" style="156" customWidth="1"/>
    <col min="1822" max="1822" width="19.33203125" style="156" customWidth="1"/>
    <col min="1823" max="1823" width="21" style="156" customWidth="1"/>
    <col min="1824" max="1835" width="12" style="156" customWidth="1"/>
    <col min="1836" max="1857" width="12" style="156" hidden="1" customWidth="1"/>
    <col min="1858" max="2048" width="12" style="156" customWidth="1"/>
    <col min="2049" max="2049" width="10.66015625" style="156" customWidth="1"/>
    <col min="2050" max="2050" width="2.16015625" style="156" customWidth="1"/>
    <col min="2051" max="2051" width="5.33203125" style="156" customWidth="1"/>
    <col min="2052" max="2052" width="5.5" style="156" customWidth="1"/>
    <col min="2053" max="2053" width="22" style="156" customWidth="1"/>
    <col min="2054" max="2054" width="96.5" style="156" customWidth="1"/>
    <col min="2055" max="2055" width="11.16015625" style="156" customWidth="1"/>
    <col min="2056" max="2056" width="14.33203125" style="156" customWidth="1"/>
    <col min="2057" max="2057" width="16.33203125" style="156" customWidth="1"/>
    <col min="2058" max="2058" width="30.16015625" style="156" customWidth="1"/>
    <col min="2059" max="2059" width="19.83203125" style="156" customWidth="1"/>
    <col min="2060" max="2060" width="12" style="156" customWidth="1"/>
    <col min="2061" max="2069" width="12" style="156" hidden="1" customWidth="1"/>
    <col min="2070" max="2070" width="15.83203125" style="156" customWidth="1"/>
    <col min="2071" max="2071" width="21" style="156" customWidth="1"/>
    <col min="2072" max="2072" width="15.83203125" style="156" customWidth="1"/>
    <col min="2073" max="2073" width="19.33203125" style="156" customWidth="1"/>
    <col min="2074" max="2074" width="14.16015625" style="156" customWidth="1"/>
    <col min="2075" max="2075" width="19.33203125" style="156" customWidth="1"/>
    <col min="2076" max="2076" width="21" style="156" customWidth="1"/>
    <col min="2077" max="2077" width="14.16015625" style="156" customWidth="1"/>
    <col min="2078" max="2078" width="19.33203125" style="156" customWidth="1"/>
    <col min="2079" max="2079" width="21" style="156" customWidth="1"/>
    <col min="2080" max="2091" width="12" style="156" customWidth="1"/>
    <col min="2092" max="2113" width="12" style="156" hidden="1" customWidth="1"/>
    <col min="2114" max="2304" width="12" style="156" customWidth="1"/>
    <col min="2305" max="2305" width="10.66015625" style="156" customWidth="1"/>
    <col min="2306" max="2306" width="2.16015625" style="156" customWidth="1"/>
    <col min="2307" max="2307" width="5.33203125" style="156" customWidth="1"/>
    <col min="2308" max="2308" width="5.5" style="156" customWidth="1"/>
    <col min="2309" max="2309" width="22" style="156" customWidth="1"/>
    <col min="2310" max="2310" width="96.5" style="156" customWidth="1"/>
    <col min="2311" max="2311" width="11.16015625" style="156" customWidth="1"/>
    <col min="2312" max="2312" width="14.33203125" style="156" customWidth="1"/>
    <col min="2313" max="2313" width="16.33203125" style="156" customWidth="1"/>
    <col min="2314" max="2314" width="30.16015625" style="156" customWidth="1"/>
    <col min="2315" max="2315" width="19.83203125" style="156" customWidth="1"/>
    <col min="2316" max="2316" width="12" style="156" customWidth="1"/>
    <col min="2317" max="2325" width="12" style="156" hidden="1" customWidth="1"/>
    <col min="2326" max="2326" width="15.83203125" style="156" customWidth="1"/>
    <col min="2327" max="2327" width="21" style="156" customWidth="1"/>
    <col min="2328" max="2328" width="15.83203125" style="156" customWidth="1"/>
    <col min="2329" max="2329" width="19.33203125" style="156" customWidth="1"/>
    <col min="2330" max="2330" width="14.16015625" style="156" customWidth="1"/>
    <col min="2331" max="2331" width="19.33203125" style="156" customWidth="1"/>
    <col min="2332" max="2332" width="21" style="156" customWidth="1"/>
    <col min="2333" max="2333" width="14.16015625" style="156" customWidth="1"/>
    <col min="2334" max="2334" width="19.33203125" style="156" customWidth="1"/>
    <col min="2335" max="2335" width="21" style="156" customWidth="1"/>
    <col min="2336" max="2347" width="12" style="156" customWidth="1"/>
    <col min="2348" max="2369" width="12" style="156" hidden="1" customWidth="1"/>
    <col min="2370" max="2560" width="12" style="156" customWidth="1"/>
    <col min="2561" max="2561" width="10.66015625" style="156" customWidth="1"/>
    <col min="2562" max="2562" width="2.16015625" style="156" customWidth="1"/>
    <col min="2563" max="2563" width="5.33203125" style="156" customWidth="1"/>
    <col min="2564" max="2564" width="5.5" style="156" customWidth="1"/>
    <col min="2565" max="2565" width="22" style="156" customWidth="1"/>
    <col min="2566" max="2566" width="96.5" style="156" customWidth="1"/>
    <col min="2567" max="2567" width="11.16015625" style="156" customWidth="1"/>
    <col min="2568" max="2568" width="14.33203125" style="156" customWidth="1"/>
    <col min="2569" max="2569" width="16.33203125" style="156" customWidth="1"/>
    <col min="2570" max="2570" width="30.16015625" style="156" customWidth="1"/>
    <col min="2571" max="2571" width="19.83203125" style="156" customWidth="1"/>
    <col min="2572" max="2572" width="12" style="156" customWidth="1"/>
    <col min="2573" max="2581" width="12" style="156" hidden="1" customWidth="1"/>
    <col min="2582" max="2582" width="15.83203125" style="156" customWidth="1"/>
    <col min="2583" max="2583" width="21" style="156" customWidth="1"/>
    <col min="2584" max="2584" width="15.83203125" style="156" customWidth="1"/>
    <col min="2585" max="2585" width="19.33203125" style="156" customWidth="1"/>
    <col min="2586" max="2586" width="14.16015625" style="156" customWidth="1"/>
    <col min="2587" max="2587" width="19.33203125" style="156" customWidth="1"/>
    <col min="2588" max="2588" width="21" style="156" customWidth="1"/>
    <col min="2589" max="2589" width="14.16015625" style="156" customWidth="1"/>
    <col min="2590" max="2590" width="19.33203125" style="156" customWidth="1"/>
    <col min="2591" max="2591" width="21" style="156" customWidth="1"/>
    <col min="2592" max="2603" width="12" style="156" customWidth="1"/>
    <col min="2604" max="2625" width="12" style="156" hidden="1" customWidth="1"/>
    <col min="2626" max="2816" width="12" style="156" customWidth="1"/>
    <col min="2817" max="2817" width="10.66015625" style="156" customWidth="1"/>
    <col min="2818" max="2818" width="2.16015625" style="156" customWidth="1"/>
    <col min="2819" max="2819" width="5.33203125" style="156" customWidth="1"/>
    <col min="2820" max="2820" width="5.5" style="156" customWidth="1"/>
    <col min="2821" max="2821" width="22" style="156" customWidth="1"/>
    <col min="2822" max="2822" width="96.5" style="156" customWidth="1"/>
    <col min="2823" max="2823" width="11.16015625" style="156" customWidth="1"/>
    <col min="2824" max="2824" width="14.33203125" style="156" customWidth="1"/>
    <col min="2825" max="2825" width="16.33203125" style="156" customWidth="1"/>
    <col min="2826" max="2826" width="30.16015625" style="156" customWidth="1"/>
    <col min="2827" max="2827" width="19.83203125" style="156" customWidth="1"/>
    <col min="2828" max="2828" width="12" style="156" customWidth="1"/>
    <col min="2829" max="2837" width="12" style="156" hidden="1" customWidth="1"/>
    <col min="2838" max="2838" width="15.83203125" style="156" customWidth="1"/>
    <col min="2839" max="2839" width="21" style="156" customWidth="1"/>
    <col min="2840" max="2840" width="15.83203125" style="156" customWidth="1"/>
    <col min="2841" max="2841" width="19.33203125" style="156" customWidth="1"/>
    <col min="2842" max="2842" width="14.16015625" style="156" customWidth="1"/>
    <col min="2843" max="2843" width="19.33203125" style="156" customWidth="1"/>
    <col min="2844" max="2844" width="21" style="156" customWidth="1"/>
    <col min="2845" max="2845" width="14.16015625" style="156" customWidth="1"/>
    <col min="2846" max="2846" width="19.33203125" style="156" customWidth="1"/>
    <col min="2847" max="2847" width="21" style="156" customWidth="1"/>
    <col min="2848" max="2859" width="12" style="156" customWidth="1"/>
    <col min="2860" max="2881" width="12" style="156" hidden="1" customWidth="1"/>
    <col min="2882" max="3072" width="12" style="156" customWidth="1"/>
    <col min="3073" max="3073" width="10.66015625" style="156" customWidth="1"/>
    <col min="3074" max="3074" width="2.16015625" style="156" customWidth="1"/>
    <col min="3075" max="3075" width="5.33203125" style="156" customWidth="1"/>
    <col min="3076" max="3076" width="5.5" style="156" customWidth="1"/>
    <col min="3077" max="3077" width="22" style="156" customWidth="1"/>
    <col min="3078" max="3078" width="96.5" style="156" customWidth="1"/>
    <col min="3079" max="3079" width="11.16015625" style="156" customWidth="1"/>
    <col min="3080" max="3080" width="14.33203125" style="156" customWidth="1"/>
    <col min="3081" max="3081" width="16.33203125" style="156" customWidth="1"/>
    <col min="3082" max="3082" width="30.16015625" style="156" customWidth="1"/>
    <col min="3083" max="3083" width="19.83203125" style="156" customWidth="1"/>
    <col min="3084" max="3084" width="12" style="156" customWidth="1"/>
    <col min="3085" max="3093" width="12" style="156" hidden="1" customWidth="1"/>
    <col min="3094" max="3094" width="15.83203125" style="156" customWidth="1"/>
    <col min="3095" max="3095" width="21" style="156" customWidth="1"/>
    <col min="3096" max="3096" width="15.83203125" style="156" customWidth="1"/>
    <col min="3097" max="3097" width="19.33203125" style="156" customWidth="1"/>
    <col min="3098" max="3098" width="14.16015625" style="156" customWidth="1"/>
    <col min="3099" max="3099" width="19.33203125" style="156" customWidth="1"/>
    <col min="3100" max="3100" width="21" style="156" customWidth="1"/>
    <col min="3101" max="3101" width="14.16015625" style="156" customWidth="1"/>
    <col min="3102" max="3102" width="19.33203125" style="156" customWidth="1"/>
    <col min="3103" max="3103" width="21" style="156" customWidth="1"/>
    <col min="3104" max="3115" width="12" style="156" customWidth="1"/>
    <col min="3116" max="3137" width="12" style="156" hidden="1" customWidth="1"/>
    <col min="3138" max="3328" width="12" style="156" customWidth="1"/>
    <col min="3329" max="3329" width="10.66015625" style="156" customWidth="1"/>
    <col min="3330" max="3330" width="2.16015625" style="156" customWidth="1"/>
    <col min="3331" max="3331" width="5.33203125" style="156" customWidth="1"/>
    <col min="3332" max="3332" width="5.5" style="156" customWidth="1"/>
    <col min="3333" max="3333" width="22" style="156" customWidth="1"/>
    <col min="3334" max="3334" width="96.5" style="156" customWidth="1"/>
    <col min="3335" max="3335" width="11.16015625" style="156" customWidth="1"/>
    <col min="3336" max="3336" width="14.33203125" style="156" customWidth="1"/>
    <col min="3337" max="3337" width="16.33203125" style="156" customWidth="1"/>
    <col min="3338" max="3338" width="30.16015625" style="156" customWidth="1"/>
    <col min="3339" max="3339" width="19.83203125" style="156" customWidth="1"/>
    <col min="3340" max="3340" width="12" style="156" customWidth="1"/>
    <col min="3341" max="3349" width="12" style="156" hidden="1" customWidth="1"/>
    <col min="3350" max="3350" width="15.83203125" style="156" customWidth="1"/>
    <col min="3351" max="3351" width="21" style="156" customWidth="1"/>
    <col min="3352" max="3352" width="15.83203125" style="156" customWidth="1"/>
    <col min="3353" max="3353" width="19.33203125" style="156" customWidth="1"/>
    <col min="3354" max="3354" width="14.16015625" style="156" customWidth="1"/>
    <col min="3355" max="3355" width="19.33203125" style="156" customWidth="1"/>
    <col min="3356" max="3356" width="21" style="156" customWidth="1"/>
    <col min="3357" max="3357" width="14.16015625" style="156" customWidth="1"/>
    <col min="3358" max="3358" width="19.33203125" style="156" customWidth="1"/>
    <col min="3359" max="3359" width="21" style="156" customWidth="1"/>
    <col min="3360" max="3371" width="12" style="156" customWidth="1"/>
    <col min="3372" max="3393" width="12" style="156" hidden="1" customWidth="1"/>
    <col min="3394" max="3584" width="12" style="156" customWidth="1"/>
    <col min="3585" max="3585" width="10.66015625" style="156" customWidth="1"/>
    <col min="3586" max="3586" width="2.16015625" style="156" customWidth="1"/>
    <col min="3587" max="3587" width="5.33203125" style="156" customWidth="1"/>
    <col min="3588" max="3588" width="5.5" style="156" customWidth="1"/>
    <col min="3589" max="3589" width="22" style="156" customWidth="1"/>
    <col min="3590" max="3590" width="96.5" style="156" customWidth="1"/>
    <col min="3591" max="3591" width="11.16015625" style="156" customWidth="1"/>
    <col min="3592" max="3592" width="14.33203125" style="156" customWidth="1"/>
    <col min="3593" max="3593" width="16.33203125" style="156" customWidth="1"/>
    <col min="3594" max="3594" width="30.16015625" style="156" customWidth="1"/>
    <col min="3595" max="3595" width="19.83203125" style="156" customWidth="1"/>
    <col min="3596" max="3596" width="12" style="156" customWidth="1"/>
    <col min="3597" max="3605" width="12" style="156" hidden="1" customWidth="1"/>
    <col min="3606" max="3606" width="15.83203125" style="156" customWidth="1"/>
    <col min="3607" max="3607" width="21" style="156" customWidth="1"/>
    <col min="3608" max="3608" width="15.83203125" style="156" customWidth="1"/>
    <col min="3609" max="3609" width="19.33203125" style="156" customWidth="1"/>
    <col min="3610" max="3610" width="14.16015625" style="156" customWidth="1"/>
    <col min="3611" max="3611" width="19.33203125" style="156" customWidth="1"/>
    <col min="3612" max="3612" width="21" style="156" customWidth="1"/>
    <col min="3613" max="3613" width="14.16015625" style="156" customWidth="1"/>
    <col min="3614" max="3614" width="19.33203125" style="156" customWidth="1"/>
    <col min="3615" max="3615" width="21" style="156" customWidth="1"/>
    <col min="3616" max="3627" width="12" style="156" customWidth="1"/>
    <col min="3628" max="3649" width="12" style="156" hidden="1" customWidth="1"/>
    <col min="3650" max="3840" width="12" style="156" customWidth="1"/>
    <col min="3841" max="3841" width="10.66015625" style="156" customWidth="1"/>
    <col min="3842" max="3842" width="2.16015625" style="156" customWidth="1"/>
    <col min="3843" max="3843" width="5.33203125" style="156" customWidth="1"/>
    <col min="3844" max="3844" width="5.5" style="156" customWidth="1"/>
    <col min="3845" max="3845" width="22" style="156" customWidth="1"/>
    <col min="3846" max="3846" width="96.5" style="156" customWidth="1"/>
    <col min="3847" max="3847" width="11.16015625" style="156" customWidth="1"/>
    <col min="3848" max="3848" width="14.33203125" style="156" customWidth="1"/>
    <col min="3849" max="3849" width="16.33203125" style="156" customWidth="1"/>
    <col min="3850" max="3850" width="30.16015625" style="156" customWidth="1"/>
    <col min="3851" max="3851" width="19.83203125" style="156" customWidth="1"/>
    <col min="3852" max="3852" width="12" style="156" customWidth="1"/>
    <col min="3853" max="3861" width="12" style="156" hidden="1" customWidth="1"/>
    <col min="3862" max="3862" width="15.83203125" style="156" customWidth="1"/>
    <col min="3863" max="3863" width="21" style="156" customWidth="1"/>
    <col min="3864" max="3864" width="15.83203125" style="156" customWidth="1"/>
    <col min="3865" max="3865" width="19.33203125" style="156" customWidth="1"/>
    <col min="3866" max="3866" width="14.16015625" style="156" customWidth="1"/>
    <col min="3867" max="3867" width="19.33203125" style="156" customWidth="1"/>
    <col min="3868" max="3868" width="21" style="156" customWidth="1"/>
    <col min="3869" max="3869" width="14.16015625" style="156" customWidth="1"/>
    <col min="3870" max="3870" width="19.33203125" style="156" customWidth="1"/>
    <col min="3871" max="3871" width="21" style="156" customWidth="1"/>
    <col min="3872" max="3883" width="12" style="156" customWidth="1"/>
    <col min="3884" max="3905" width="12" style="156" hidden="1" customWidth="1"/>
    <col min="3906" max="4096" width="12" style="156" customWidth="1"/>
    <col min="4097" max="4097" width="10.66015625" style="156" customWidth="1"/>
    <col min="4098" max="4098" width="2.16015625" style="156" customWidth="1"/>
    <col min="4099" max="4099" width="5.33203125" style="156" customWidth="1"/>
    <col min="4100" max="4100" width="5.5" style="156" customWidth="1"/>
    <col min="4101" max="4101" width="22" style="156" customWidth="1"/>
    <col min="4102" max="4102" width="96.5" style="156" customWidth="1"/>
    <col min="4103" max="4103" width="11.16015625" style="156" customWidth="1"/>
    <col min="4104" max="4104" width="14.33203125" style="156" customWidth="1"/>
    <col min="4105" max="4105" width="16.33203125" style="156" customWidth="1"/>
    <col min="4106" max="4106" width="30.16015625" style="156" customWidth="1"/>
    <col min="4107" max="4107" width="19.83203125" style="156" customWidth="1"/>
    <col min="4108" max="4108" width="12" style="156" customWidth="1"/>
    <col min="4109" max="4117" width="12" style="156" hidden="1" customWidth="1"/>
    <col min="4118" max="4118" width="15.83203125" style="156" customWidth="1"/>
    <col min="4119" max="4119" width="21" style="156" customWidth="1"/>
    <col min="4120" max="4120" width="15.83203125" style="156" customWidth="1"/>
    <col min="4121" max="4121" width="19.33203125" style="156" customWidth="1"/>
    <col min="4122" max="4122" width="14.16015625" style="156" customWidth="1"/>
    <col min="4123" max="4123" width="19.33203125" style="156" customWidth="1"/>
    <col min="4124" max="4124" width="21" style="156" customWidth="1"/>
    <col min="4125" max="4125" width="14.16015625" style="156" customWidth="1"/>
    <col min="4126" max="4126" width="19.33203125" style="156" customWidth="1"/>
    <col min="4127" max="4127" width="21" style="156" customWidth="1"/>
    <col min="4128" max="4139" width="12" style="156" customWidth="1"/>
    <col min="4140" max="4161" width="12" style="156" hidden="1" customWidth="1"/>
    <col min="4162" max="4352" width="12" style="156" customWidth="1"/>
    <col min="4353" max="4353" width="10.66015625" style="156" customWidth="1"/>
    <col min="4354" max="4354" width="2.16015625" style="156" customWidth="1"/>
    <col min="4355" max="4355" width="5.33203125" style="156" customWidth="1"/>
    <col min="4356" max="4356" width="5.5" style="156" customWidth="1"/>
    <col min="4357" max="4357" width="22" style="156" customWidth="1"/>
    <col min="4358" max="4358" width="96.5" style="156" customWidth="1"/>
    <col min="4359" max="4359" width="11.16015625" style="156" customWidth="1"/>
    <col min="4360" max="4360" width="14.33203125" style="156" customWidth="1"/>
    <col min="4361" max="4361" width="16.33203125" style="156" customWidth="1"/>
    <col min="4362" max="4362" width="30.16015625" style="156" customWidth="1"/>
    <col min="4363" max="4363" width="19.83203125" style="156" customWidth="1"/>
    <col min="4364" max="4364" width="12" style="156" customWidth="1"/>
    <col min="4365" max="4373" width="12" style="156" hidden="1" customWidth="1"/>
    <col min="4374" max="4374" width="15.83203125" style="156" customWidth="1"/>
    <col min="4375" max="4375" width="21" style="156" customWidth="1"/>
    <col min="4376" max="4376" width="15.83203125" style="156" customWidth="1"/>
    <col min="4377" max="4377" width="19.33203125" style="156" customWidth="1"/>
    <col min="4378" max="4378" width="14.16015625" style="156" customWidth="1"/>
    <col min="4379" max="4379" width="19.33203125" style="156" customWidth="1"/>
    <col min="4380" max="4380" width="21" style="156" customWidth="1"/>
    <col min="4381" max="4381" width="14.16015625" style="156" customWidth="1"/>
    <col min="4382" max="4382" width="19.33203125" style="156" customWidth="1"/>
    <col min="4383" max="4383" width="21" style="156" customWidth="1"/>
    <col min="4384" max="4395" width="12" style="156" customWidth="1"/>
    <col min="4396" max="4417" width="12" style="156" hidden="1" customWidth="1"/>
    <col min="4418" max="4608" width="12" style="156" customWidth="1"/>
    <col min="4609" max="4609" width="10.66015625" style="156" customWidth="1"/>
    <col min="4610" max="4610" width="2.16015625" style="156" customWidth="1"/>
    <col min="4611" max="4611" width="5.33203125" style="156" customWidth="1"/>
    <col min="4612" max="4612" width="5.5" style="156" customWidth="1"/>
    <col min="4613" max="4613" width="22" style="156" customWidth="1"/>
    <col min="4614" max="4614" width="96.5" style="156" customWidth="1"/>
    <col min="4615" max="4615" width="11.16015625" style="156" customWidth="1"/>
    <col min="4616" max="4616" width="14.33203125" style="156" customWidth="1"/>
    <col min="4617" max="4617" width="16.33203125" style="156" customWidth="1"/>
    <col min="4618" max="4618" width="30.16015625" style="156" customWidth="1"/>
    <col min="4619" max="4619" width="19.83203125" style="156" customWidth="1"/>
    <col min="4620" max="4620" width="12" style="156" customWidth="1"/>
    <col min="4621" max="4629" width="12" style="156" hidden="1" customWidth="1"/>
    <col min="4630" max="4630" width="15.83203125" style="156" customWidth="1"/>
    <col min="4631" max="4631" width="21" style="156" customWidth="1"/>
    <col min="4632" max="4632" width="15.83203125" style="156" customWidth="1"/>
    <col min="4633" max="4633" width="19.33203125" style="156" customWidth="1"/>
    <col min="4634" max="4634" width="14.16015625" style="156" customWidth="1"/>
    <col min="4635" max="4635" width="19.33203125" style="156" customWidth="1"/>
    <col min="4636" max="4636" width="21" style="156" customWidth="1"/>
    <col min="4637" max="4637" width="14.16015625" style="156" customWidth="1"/>
    <col min="4638" max="4638" width="19.33203125" style="156" customWidth="1"/>
    <col min="4639" max="4639" width="21" style="156" customWidth="1"/>
    <col min="4640" max="4651" width="12" style="156" customWidth="1"/>
    <col min="4652" max="4673" width="12" style="156" hidden="1" customWidth="1"/>
    <col min="4674" max="4864" width="12" style="156" customWidth="1"/>
    <col min="4865" max="4865" width="10.66015625" style="156" customWidth="1"/>
    <col min="4866" max="4866" width="2.16015625" style="156" customWidth="1"/>
    <col min="4867" max="4867" width="5.33203125" style="156" customWidth="1"/>
    <col min="4868" max="4868" width="5.5" style="156" customWidth="1"/>
    <col min="4869" max="4869" width="22" style="156" customWidth="1"/>
    <col min="4870" max="4870" width="96.5" style="156" customWidth="1"/>
    <col min="4871" max="4871" width="11.16015625" style="156" customWidth="1"/>
    <col min="4872" max="4872" width="14.33203125" style="156" customWidth="1"/>
    <col min="4873" max="4873" width="16.33203125" style="156" customWidth="1"/>
    <col min="4874" max="4874" width="30.16015625" style="156" customWidth="1"/>
    <col min="4875" max="4875" width="19.83203125" style="156" customWidth="1"/>
    <col min="4876" max="4876" width="12" style="156" customWidth="1"/>
    <col min="4877" max="4885" width="12" style="156" hidden="1" customWidth="1"/>
    <col min="4886" max="4886" width="15.83203125" style="156" customWidth="1"/>
    <col min="4887" max="4887" width="21" style="156" customWidth="1"/>
    <col min="4888" max="4888" width="15.83203125" style="156" customWidth="1"/>
    <col min="4889" max="4889" width="19.33203125" style="156" customWidth="1"/>
    <col min="4890" max="4890" width="14.16015625" style="156" customWidth="1"/>
    <col min="4891" max="4891" width="19.33203125" style="156" customWidth="1"/>
    <col min="4892" max="4892" width="21" style="156" customWidth="1"/>
    <col min="4893" max="4893" width="14.16015625" style="156" customWidth="1"/>
    <col min="4894" max="4894" width="19.33203125" style="156" customWidth="1"/>
    <col min="4895" max="4895" width="21" style="156" customWidth="1"/>
    <col min="4896" max="4907" width="12" style="156" customWidth="1"/>
    <col min="4908" max="4929" width="12" style="156" hidden="1" customWidth="1"/>
    <col min="4930" max="5120" width="12" style="156" customWidth="1"/>
    <col min="5121" max="5121" width="10.66015625" style="156" customWidth="1"/>
    <col min="5122" max="5122" width="2.16015625" style="156" customWidth="1"/>
    <col min="5123" max="5123" width="5.33203125" style="156" customWidth="1"/>
    <col min="5124" max="5124" width="5.5" style="156" customWidth="1"/>
    <col min="5125" max="5125" width="22" style="156" customWidth="1"/>
    <col min="5126" max="5126" width="96.5" style="156" customWidth="1"/>
    <col min="5127" max="5127" width="11.16015625" style="156" customWidth="1"/>
    <col min="5128" max="5128" width="14.33203125" style="156" customWidth="1"/>
    <col min="5129" max="5129" width="16.33203125" style="156" customWidth="1"/>
    <col min="5130" max="5130" width="30.16015625" style="156" customWidth="1"/>
    <col min="5131" max="5131" width="19.83203125" style="156" customWidth="1"/>
    <col min="5132" max="5132" width="12" style="156" customWidth="1"/>
    <col min="5133" max="5141" width="12" style="156" hidden="1" customWidth="1"/>
    <col min="5142" max="5142" width="15.83203125" style="156" customWidth="1"/>
    <col min="5143" max="5143" width="21" style="156" customWidth="1"/>
    <col min="5144" max="5144" width="15.83203125" style="156" customWidth="1"/>
    <col min="5145" max="5145" width="19.33203125" style="156" customWidth="1"/>
    <col min="5146" max="5146" width="14.16015625" style="156" customWidth="1"/>
    <col min="5147" max="5147" width="19.33203125" style="156" customWidth="1"/>
    <col min="5148" max="5148" width="21" style="156" customWidth="1"/>
    <col min="5149" max="5149" width="14.16015625" style="156" customWidth="1"/>
    <col min="5150" max="5150" width="19.33203125" style="156" customWidth="1"/>
    <col min="5151" max="5151" width="21" style="156" customWidth="1"/>
    <col min="5152" max="5163" width="12" style="156" customWidth="1"/>
    <col min="5164" max="5185" width="12" style="156" hidden="1" customWidth="1"/>
    <col min="5186" max="5376" width="12" style="156" customWidth="1"/>
    <col min="5377" max="5377" width="10.66015625" style="156" customWidth="1"/>
    <col min="5378" max="5378" width="2.16015625" style="156" customWidth="1"/>
    <col min="5379" max="5379" width="5.33203125" style="156" customWidth="1"/>
    <col min="5380" max="5380" width="5.5" style="156" customWidth="1"/>
    <col min="5381" max="5381" width="22" style="156" customWidth="1"/>
    <col min="5382" max="5382" width="96.5" style="156" customWidth="1"/>
    <col min="5383" max="5383" width="11.16015625" style="156" customWidth="1"/>
    <col min="5384" max="5384" width="14.33203125" style="156" customWidth="1"/>
    <col min="5385" max="5385" width="16.33203125" style="156" customWidth="1"/>
    <col min="5386" max="5386" width="30.16015625" style="156" customWidth="1"/>
    <col min="5387" max="5387" width="19.83203125" style="156" customWidth="1"/>
    <col min="5388" max="5388" width="12" style="156" customWidth="1"/>
    <col min="5389" max="5397" width="12" style="156" hidden="1" customWidth="1"/>
    <col min="5398" max="5398" width="15.83203125" style="156" customWidth="1"/>
    <col min="5399" max="5399" width="21" style="156" customWidth="1"/>
    <col min="5400" max="5400" width="15.83203125" style="156" customWidth="1"/>
    <col min="5401" max="5401" width="19.33203125" style="156" customWidth="1"/>
    <col min="5402" max="5402" width="14.16015625" style="156" customWidth="1"/>
    <col min="5403" max="5403" width="19.33203125" style="156" customWidth="1"/>
    <col min="5404" max="5404" width="21" style="156" customWidth="1"/>
    <col min="5405" max="5405" width="14.16015625" style="156" customWidth="1"/>
    <col min="5406" max="5406" width="19.33203125" style="156" customWidth="1"/>
    <col min="5407" max="5407" width="21" style="156" customWidth="1"/>
    <col min="5408" max="5419" width="12" style="156" customWidth="1"/>
    <col min="5420" max="5441" width="12" style="156" hidden="1" customWidth="1"/>
    <col min="5442" max="5632" width="12" style="156" customWidth="1"/>
    <col min="5633" max="5633" width="10.66015625" style="156" customWidth="1"/>
    <col min="5634" max="5634" width="2.16015625" style="156" customWidth="1"/>
    <col min="5635" max="5635" width="5.33203125" style="156" customWidth="1"/>
    <col min="5636" max="5636" width="5.5" style="156" customWidth="1"/>
    <col min="5637" max="5637" width="22" style="156" customWidth="1"/>
    <col min="5638" max="5638" width="96.5" style="156" customWidth="1"/>
    <col min="5639" max="5639" width="11.16015625" style="156" customWidth="1"/>
    <col min="5640" max="5640" width="14.33203125" style="156" customWidth="1"/>
    <col min="5641" max="5641" width="16.33203125" style="156" customWidth="1"/>
    <col min="5642" max="5642" width="30.16015625" style="156" customWidth="1"/>
    <col min="5643" max="5643" width="19.83203125" style="156" customWidth="1"/>
    <col min="5644" max="5644" width="12" style="156" customWidth="1"/>
    <col min="5645" max="5653" width="12" style="156" hidden="1" customWidth="1"/>
    <col min="5654" max="5654" width="15.83203125" style="156" customWidth="1"/>
    <col min="5655" max="5655" width="21" style="156" customWidth="1"/>
    <col min="5656" max="5656" width="15.83203125" style="156" customWidth="1"/>
    <col min="5657" max="5657" width="19.33203125" style="156" customWidth="1"/>
    <col min="5658" max="5658" width="14.16015625" style="156" customWidth="1"/>
    <col min="5659" max="5659" width="19.33203125" style="156" customWidth="1"/>
    <col min="5660" max="5660" width="21" style="156" customWidth="1"/>
    <col min="5661" max="5661" width="14.16015625" style="156" customWidth="1"/>
    <col min="5662" max="5662" width="19.33203125" style="156" customWidth="1"/>
    <col min="5663" max="5663" width="21" style="156" customWidth="1"/>
    <col min="5664" max="5675" width="12" style="156" customWidth="1"/>
    <col min="5676" max="5697" width="12" style="156" hidden="1" customWidth="1"/>
    <col min="5698" max="5888" width="12" style="156" customWidth="1"/>
    <col min="5889" max="5889" width="10.66015625" style="156" customWidth="1"/>
    <col min="5890" max="5890" width="2.16015625" style="156" customWidth="1"/>
    <col min="5891" max="5891" width="5.33203125" style="156" customWidth="1"/>
    <col min="5892" max="5892" width="5.5" style="156" customWidth="1"/>
    <col min="5893" max="5893" width="22" style="156" customWidth="1"/>
    <col min="5894" max="5894" width="96.5" style="156" customWidth="1"/>
    <col min="5895" max="5895" width="11.16015625" style="156" customWidth="1"/>
    <col min="5896" max="5896" width="14.33203125" style="156" customWidth="1"/>
    <col min="5897" max="5897" width="16.33203125" style="156" customWidth="1"/>
    <col min="5898" max="5898" width="30.16015625" style="156" customWidth="1"/>
    <col min="5899" max="5899" width="19.83203125" style="156" customWidth="1"/>
    <col min="5900" max="5900" width="12" style="156" customWidth="1"/>
    <col min="5901" max="5909" width="12" style="156" hidden="1" customWidth="1"/>
    <col min="5910" max="5910" width="15.83203125" style="156" customWidth="1"/>
    <col min="5911" max="5911" width="21" style="156" customWidth="1"/>
    <col min="5912" max="5912" width="15.83203125" style="156" customWidth="1"/>
    <col min="5913" max="5913" width="19.33203125" style="156" customWidth="1"/>
    <col min="5914" max="5914" width="14.16015625" style="156" customWidth="1"/>
    <col min="5915" max="5915" width="19.33203125" style="156" customWidth="1"/>
    <col min="5916" max="5916" width="21" style="156" customWidth="1"/>
    <col min="5917" max="5917" width="14.16015625" style="156" customWidth="1"/>
    <col min="5918" max="5918" width="19.33203125" style="156" customWidth="1"/>
    <col min="5919" max="5919" width="21" style="156" customWidth="1"/>
    <col min="5920" max="5931" width="12" style="156" customWidth="1"/>
    <col min="5932" max="5953" width="12" style="156" hidden="1" customWidth="1"/>
    <col min="5954" max="6144" width="12" style="156" customWidth="1"/>
    <col min="6145" max="6145" width="10.66015625" style="156" customWidth="1"/>
    <col min="6146" max="6146" width="2.16015625" style="156" customWidth="1"/>
    <col min="6147" max="6147" width="5.33203125" style="156" customWidth="1"/>
    <col min="6148" max="6148" width="5.5" style="156" customWidth="1"/>
    <col min="6149" max="6149" width="22" style="156" customWidth="1"/>
    <col min="6150" max="6150" width="96.5" style="156" customWidth="1"/>
    <col min="6151" max="6151" width="11.16015625" style="156" customWidth="1"/>
    <col min="6152" max="6152" width="14.33203125" style="156" customWidth="1"/>
    <col min="6153" max="6153" width="16.33203125" style="156" customWidth="1"/>
    <col min="6154" max="6154" width="30.16015625" style="156" customWidth="1"/>
    <col min="6155" max="6155" width="19.83203125" style="156" customWidth="1"/>
    <col min="6156" max="6156" width="12" style="156" customWidth="1"/>
    <col min="6157" max="6165" width="12" style="156" hidden="1" customWidth="1"/>
    <col min="6166" max="6166" width="15.83203125" style="156" customWidth="1"/>
    <col min="6167" max="6167" width="21" style="156" customWidth="1"/>
    <col min="6168" max="6168" width="15.83203125" style="156" customWidth="1"/>
    <col min="6169" max="6169" width="19.33203125" style="156" customWidth="1"/>
    <col min="6170" max="6170" width="14.16015625" style="156" customWidth="1"/>
    <col min="6171" max="6171" width="19.33203125" style="156" customWidth="1"/>
    <col min="6172" max="6172" width="21" style="156" customWidth="1"/>
    <col min="6173" max="6173" width="14.16015625" style="156" customWidth="1"/>
    <col min="6174" max="6174" width="19.33203125" style="156" customWidth="1"/>
    <col min="6175" max="6175" width="21" style="156" customWidth="1"/>
    <col min="6176" max="6187" width="12" style="156" customWidth="1"/>
    <col min="6188" max="6209" width="12" style="156" hidden="1" customWidth="1"/>
    <col min="6210" max="6400" width="12" style="156" customWidth="1"/>
    <col min="6401" max="6401" width="10.66015625" style="156" customWidth="1"/>
    <col min="6402" max="6402" width="2.16015625" style="156" customWidth="1"/>
    <col min="6403" max="6403" width="5.33203125" style="156" customWidth="1"/>
    <col min="6404" max="6404" width="5.5" style="156" customWidth="1"/>
    <col min="6405" max="6405" width="22" style="156" customWidth="1"/>
    <col min="6406" max="6406" width="96.5" style="156" customWidth="1"/>
    <col min="6407" max="6407" width="11.16015625" style="156" customWidth="1"/>
    <col min="6408" max="6408" width="14.33203125" style="156" customWidth="1"/>
    <col min="6409" max="6409" width="16.33203125" style="156" customWidth="1"/>
    <col min="6410" max="6410" width="30.16015625" style="156" customWidth="1"/>
    <col min="6411" max="6411" width="19.83203125" style="156" customWidth="1"/>
    <col min="6412" max="6412" width="12" style="156" customWidth="1"/>
    <col min="6413" max="6421" width="12" style="156" hidden="1" customWidth="1"/>
    <col min="6422" max="6422" width="15.83203125" style="156" customWidth="1"/>
    <col min="6423" max="6423" width="21" style="156" customWidth="1"/>
    <col min="6424" max="6424" width="15.83203125" style="156" customWidth="1"/>
    <col min="6425" max="6425" width="19.33203125" style="156" customWidth="1"/>
    <col min="6426" max="6426" width="14.16015625" style="156" customWidth="1"/>
    <col min="6427" max="6427" width="19.33203125" style="156" customWidth="1"/>
    <col min="6428" max="6428" width="21" style="156" customWidth="1"/>
    <col min="6429" max="6429" width="14.16015625" style="156" customWidth="1"/>
    <col min="6430" max="6430" width="19.33203125" style="156" customWidth="1"/>
    <col min="6431" max="6431" width="21" style="156" customWidth="1"/>
    <col min="6432" max="6443" width="12" style="156" customWidth="1"/>
    <col min="6444" max="6465" width="12" style="156" hidden="1" customWidth="1"/>
    <col min="6466" max="6656" width="12" style="156" customWidth="1"/>
    <col min="6657" max="6657" width="10.66015625" style="156" customWidth="1"/>
    <col min="6658" max="6658" width="2.16015625" style="156" customWidth="1"/>
    <col min="6659" max="6659" width="5.33203125" style="156" customWidth="1"/>
    <col min="6660" max="6660" width="5.5" style="156" customWidth="1"/>
    <col min="6661" max="6661" width="22" style="156" customWidth="1"/>
    <col min="6662" max="6662" width="96.5" style="156" customWidth="1"/>
    <col min="6663" max="6663" width="11.16015625" style="156" customWidth="1"/>
    <col min="6664" max="6664" width="14.33203125" style="156" customWidth="1"/>
    <col min="6665" max="6665" width="16.33203125" style="156" customWidth="1"/>
    <col min="6666" max="6666" width="30.16015625" style="156" customWidth="1"/>
    <col min="6667" max="6667" width="19.83203125" style="156" customWidth="1"/>
    <col min="6668" max="6668" width="12" style="156" customWidth="1"/>
    <col min="6669" max="6677" width="12" style="156" hidden="1" customWidth="1"/>
    <col min="6678" max="6678" width="15.83203125" style="156" customWidth="1"/>
    <col min="6679" max="6679" width="21" style="156" customWidth="1"/>
    <col min="6680" max="6680" width="15.83203125" style="156" customWidth="1"/>
    <col min="6681" max="6681" width="19.33203125" style="156" customWidth="1"/>
    <col min="6682" max="6682" width="14.16015625" style="156" customWidth="1"/>
    <col min="6683" max="6683" width="19.33203125" style="156" customWidth="1"/>
    <col min="6684" max="6684" width="21" style="156" customWidth="1"/>
    <col min="6685" max="6685" width="14.16015625" style="156" customWidth="1"/>
    <col min="6686" max="6686" width="19.33203125" style="156" customWidth="1"/>
    <col min="6687" max="6687" width="21" style="156" customWidth="1"/>
    <col min="6688" max="6699" width="12" style="156" customWidth="1"/>
    <col min="6700" max="6721" width="12" style="156" hidden="1" customWidth="1"/>
    <col min="6722" max="6912" width="12" style="156" customWidth="1"/>
    <col min="6913" max="6913" width="10.66015625" style="156" customWidth="1"/>
    <col min="6914" max="6914" width="2.16015625" style="156" customWidth="1"/>
    <col min="6915" max="6915" width="5.33203125" style="156" customWidth="1"/>
    <col min="6916" max="6916" width="5.5" style="156" customWidth="1"/>
    <col min="6917" max="6917" width="22" style="156" customWidth="1"/>
    <col min="6918" max="6918" width="96.5" style="156" customWidth="1"/>
    <col min="6919" max="6919" width="11.16015625" style="156" customWidth="1"/>
    <col min="6920" max="6920" width="14.33203125" style="156" customWidth="1"/>
    <col min="6921" max="6921" width="16.33203125" style="156" customWidth="1"/>
    <col min="6922" max="6922" width="30.16015625" style="156" customWidth="1"/>
    <col min="6923" max="6923" width="19.83203125" style="156" customWidth="1"/>
    <col min="6924" max="6924" width="12" style="156" customWidth="1"/>
    <col min="6925" max="6933" width="12" style="156" hidden="1" customWidth="1"/>
    <col min="6934" max="6934" width="15.83203125" style="156" customWidth="1"/>
    <col min="6935" max="6935" width="21" style="156" customWidth="1"/>
    <col min="6936" max="6936" width="15.83203125" style="156" customWidth="1"/>
    <col min="6937" max="6937" width="19.33203125" style="156" customWidth="1"/>
    <col min="6938" max="6938" width="14.16015625" style="156" customWidth="1"/>
    <col min="6939" max="6939" width="19.33203125" style="156" customWidth="1"/>
    <col min="6940" max="6940" width="21" style="156" customWidth="1"/>
    <col min="6941" max="6941" width="14.16015625" style="156" customWidth="1"/>
    <col min="6942" max="6942" width="19.33203125" style="156" customWidth="1"/>
    <col min="6943" max="6943" width="21" style="156" customWidth="1"/>
    <col min="6944" max="6955" width="12" style="156" customWidth="1"/>
    <col min="6956" max="6977" width="12" style="156" hidden="1" customWidth="1"/>
    <col min="6978" max="7168" width="12" style="156" customWidth="1"/>
    <col min="7169" max="7169" width="10.66015625" style="156" customWidth="1"/>
    <col min="7170" max="7170" width="2.16015625" style="156" customWidth="1"/>
    <col min="7171" max="7171" width="5.33203125" style="156" customWidth="1"/>
    <col min="7172" max="7172" width="5.5" style="156" customWidth="1"/>
    <col min="7173" max="7173" width="22" style="156" customWidth="1"/>
    <col min="7174" max="7174" width="96.5" style="156" customWidth="1"/>
    <col min="7175" max="7175" width="11.16015625" style="156" customWidth="1"/>
    <col min="7176" max="7176" width="14.33203125" style="156" customWidth="1"/>
    <col min="7177" max="7177" width="16.33203125" style="156" customWidth="1"/>
    <col min="7178" max="7178" width="30.16015625" style="156" customWidth="1"/>
    <col min="7179" max="7179" width="19.83203125" style="156" customWidth="1"/>
    <col min="7180" max="7180" width="12" style="156" customWidth="1"/>
    <col min="7181" max="7189" width="12" style="156" hidden="1" customWidth="1"/>
    <col min="7190" max="7190" width="15.83203125" style="156" customWidth="1"/>
    <col min="7191" max="7191" width="21" style="156" customWidth="1"/>
    <col min="7192" max="7192" width="15.83203125" style="156" customWidth="1"/>
    <col min="7193" max="7193" width="19.33203125" style="156" customWidth="1"/>
    <col min="7194" max="7194" width="14.16015625" style="156" customWidth="1"/>
    <col min="7195" max="7195" width="19.33203125" style="156" customWidth="1"/>
    <col min="7196" max="7196" width="21" style="156" customWidth="1"/>
    <col min="7197" max="7197" width="14.16015625" style="156" customWidth="1"/>
    <col min="7198" max="7198" width="19.33203125" style="156" customWidth="1"/>
    <col min="7199" max="7199" width="21" style="156" customWidth="1"/>
    <col min="7200" max="7211" width="12" style="156" customWidth="1"/>
    <col min="7212" max="7233" width="12" style="156" hidden="1" customWidth="1"/>
    <col min="7234" max="7424" width="12" style="156" customWidth="1"/>
    <col min="7425" max="7425" width="10.66015625" style="156" customWidth="1"/>
    <col min="7426" max="7426" width="2.16015625" style="156" customWidth="1"/>
    <col min="7427" max="7427" width="5.33203125" style="156" customWidth="1"/>
    <col min="7428" max="7428" width="5.5" style="156" customWidth="1"/>
    <col min="7429" max="7429" width="22" style="156" customWidth="1"/>
    <col min="7430" max="7430" width="96.5" style="156" customWidth="1"/>
    <col min="7431" max="7431" width="11.16015625" style="156" customWidth="1"/>
    <col min="7432" max="7432" width="14.33203125" style="156" customWidth="1"/>
    <col min="7433" max="7433" width="16.33203125" style="156" customWidth="1"/>
    <col min="7434" max="7434" width="30.16015625" style="156" customWidth="1"/>
    <col min="7435" max="7435" width="19.83203125" style="156" customWidth="1"/>
    <col min="7436" max="7436" width="12" style="156" customWidth="1"/>
    <col min="7437" max="7445" width="12" style="156" hidden="1" customWidth="1"/>
    <col min="7446" max="7446" width="15.83203125" style="156" customWidth="1"/>
    <col min="7447" max="7447" width="21" style="156" customWidth="1"/>
    <col min="7448" max="7448" width="15.83203125" style="156" customWidth="1"/>
    <col min="7449" max="7449" width="19.33203125" style="156" customWidth="1"/>
    <col min="7450" max="7450" width="14.16015625" style="156" customWidth="1"/>
    <col min="7451" max="7451" width="19.33203125" style="156" customWidth="1"/>
    <col min="7452" max="7452" width="21" style="156" customWidth="1"/>
    <col min="7453" max="7453" width="14.16015625" style="156" customWidth="1"/>
    <col min="7454" max="7454" width="19.33203125" style="156" customWidth="1"/>
    <col min="7455" max="7455" width="21" style="156" customWidth="1"/>
    <col min="7456" max="7467" width="12" style="156" customWidth="1"/>
    <col min="7468" max="7489" width="12" style="156" hidden="1" customWidth="1"/>
    <col min="7490" max="7680" width="12" style="156" customWidth="1"/>
    <col min="7681" max="7681" width="10.66015625" style="156" customWidth="1"/>
    <col min="7682" max="7682" width="2.16015625" style="156" customWidth="1"/>
    <col min="7683" max="7683" width="5.33203125" style="156" customWidth="1"/>
    <col min="7684" max="7684" width="5.5" style="156" customWidth="1"/>
    <col min="7685" max="7685" width="22" style="156" customWidth="1"/>
    <col min="7686" max="7686" width="96.5" style="156" customWidth="1"/>
    <col min="7687" max="7687" width="11.16015625" style="156" customWidth="1"/>
    <col min="7688" max="7688" width="14.33203125" style="156" customWidth="1"/>
    <col min="7689" max="7689" width="16.33203125" style="156" customWidth="1"/>
    <col min="7690" max="7690" width="30.16015625" style="156" customWidth="1"/>
    <col min="7691" max="7691" width="19.83203125" style="156" customWidth="1"/>
    <col min="7692" max="7692" width="12" style="156" customWidth="1"/>
    <col min="7693" max="7701" width="12" style="156" hidden="1" customWidth="1"/>
    <col min="7702" max="7702" width="15.83203125" style="156" customWidth="1"/>
    <col min="7703" max="7703" width="21" style="156" customWidth="1"/>
    <col min="7704" max="7704" width="15.83203125" style="156" customWidth="1"/>
    <col min="7705" max="7705" width="19.33203125" style="156" customWidth="1"/>
    <col min="7706" max="7706" width="14.16015625" style="156" customWidth="1"/>
    <col min="7707" max="7707" width="19.33203125" style="156" customWidth="1"/>
    <col min="7708" max="7708" width="21" style="156" customWidth="1"/>
    <col min="7709" max="7709" width="14.16015625" style="156" customWidth="1"/>
    <col min="7710" max="7710" width="19.33203125" style="156" customWidth="1"/>
    <col min="7711" max="7711" width="21" style="156" customWidth="1"/>
    <col min="7712" max="7723" width="12" style="156" customWidth="1"/>
    <col min="7724" max="7745" width="12" style="156" hidden="1" customWidth="1"/>
    <col min="7746" max="7936" width="12" style="156" customWidth="1"/>
    <col min="7937" max="7937" width="10.66015625" style="156" customWidth="1"/>
    <col min="7938" max="7938" width="2.16015625" style="156" customWidth="1"/>
    <col min="7939" max="7939" width="5.33203125" style="156" customWidth="1"/>
    <col min="7940" max="7940" width="5.5" style="156" customWidth="1"/>
    <col min="7941" max="7941" width="22" style="156" customWidth="1"/>
    <col min="7942" max="7942" width="96.5" style="156" customWidth="1"/>
    <col min="7943" max="7943" width="11.16015625" style="156" customWidth="1"/>
    <col min="7944" max="7944" width="14.33203125" style="156" customWidth="1"/>
    <col min="7945" max="7945" width="16.33203125" style="156" customWidth="1"/>
    <col min="7946" max="7946" width="30.16015625" style="156" customWidth="1"/>
    <col min="7947" max="7947" width="19.83203125" style="156" customWidth="1"/>
    <col min="7948" max="7948" width="12" style="156" customWidth="1"/>
    <col min="7949" max="7957" width="12" style="156" hidden="1" customWidth="1"/>
    <col min="7958" max="7958" width="15.83203125" style="156" customWidth="1"/>
    <col min="7959" max="7959" width="21" style="156" customWidth="1"/>
    <col min="7960" max="7960" width="15.83203125" style="156" customWidth="1"/>
    <col min="7961" max="7961" width="19.33203125" style="156" customWidth="1"/>
    <col min="7962" max="7962" width="14.16015625" style="156" customWidth="1"/>
    <col min="7963" max="7963" width="19.33203125" style="156" customWidth="1"/>
    <col min="7964" max="7964" width="21" style="156" customWidth="1"/>
    <col min="7965" max="7965" width="14.16015625" style="156" customWidth="1"/>
    <col min="7966" max="7966" width="19.33203125" style="156" customWidth="1"/>
    <col min="7967" max="7967" width="21" style="156" customWidth="1"/>
    <col min="7968" max="7979" width="12" style="156" customWidth="1"/>
    <col min="7980" max="8001" width="12" style="156" hidden="1" customWidth="1"/>
    <col min="8002" max="8192" width="12" style="156" customWidth="1"/>
    <col min="8193" max="8193" width="10.66015625" style="156" customWidth="1"/>
    <col min="8194" max="8194" width="2.16015625" style="156" customWidth="1"/>
    <col min="8195" max="8195" width="5.33203125" style="156" customWidth="1"/>
    <col min="8196" max="8196" width="5.5" style="156" customWidth="1"/>
    <col min="8197" max="8197" width="22" style="156" customWidth="1"/>
    <col min="8198" max="8198" width="96.5" style="156" customWidth="1"/>
    <col min="8199" max="8199" width="11.16015625" style="156" customWidth="1"/>
    <col min="8200" max="8200" width="14.33203125" style="156" customWidth="1"/>
    <col min="8201" max="8201" width="16.33203125" style="156" customWidth="1"/>
    <col min="8202" max="8202" width="30.16015625" style="156" customWidth="1"/>
    <col min="8203" max="8203" width="19.83203125" style="156" customWidth="1"/>
    <col min="8204" max="8204" width="12" style="156" customWidth="1"/>
    <col min="8205" max="8213" width="12" style="156" hidden="1" customWidth="1"/>
    <col min="8214" max="8214" width="15.83203125" style="156" customWidth="1"/>
    <col min="8215" max="8215" width="21" style="156" customWidth="1"/>
    <col min="8216" max="8216" width="15.83203125" style="156" customWidth="1"/>
    <col min="8217" max="8217" width="19.33203125" style="156" customWidth="1"/>
    <col min="8218" max="8218" width="14.16015625" style="156" customWidth="1"/>
    <col min="8219" max="8219" width="19.33203125" style="156" customWidth="1"/>
    <col min="8220" max="8220" width="21" style="156" customWidth="1"/>
    <col min="8221" max="8221" width="14.16015625" style="156" customWidth="1"/>
    <col min="8222" max="8222" width="19.33203125" style="156" customWidth="1"/>
    <col min="8223" max="8223" width="21" style="156" customWidth="1"/>
    <col min="8224" max="8235" width="12" style="156" customWidth="1"/>
    <col min="8236" max="8257" width="12" style="156" hidden="1" customWidth="1"/>
    <col min="8258" max="8448" width="12" style="156" customWidth="1"/>
    <col min="8449" max="8449" width="10.66015625" style="156" customWidth="1"/>
    <col min="8450" max="8450" width="2.16015625" style="156" customWidth="1"/>
    <col min="8451" max="8451" width="5.33203125" style="156" customWidth="1"/>
    <col min="8452" max="8452" width="5.5" style="156" customWidth="1"/>
    <col min="8453" max="8453" width="22" style="156" customWidth="1"/>
    <col min="8454" max="8454" width="96.5" style="156" customWidth="1"/>
    <col min="8455" max="8455" width="11.16015625" style="156" customWidth="1"/>
    <col min="8456" max="8456" width="14.33203125" style="156" customWidth="1"/>
    <col min="8457" max="8457" width="16.33203125" style="156" customWidth="1"/>
    <col min="8458" max="8458" width="30.16015625" style="156" customWidth="1"/>
    <col min="8459" max="8459" width="19.83203125" style="156" customWidth="1"/>
    <col min="8460" max="8460" width="12" style="156" customWidth="1"/>
    <col min="8461" max="8469" width="12" style="156" hidden="1" customWidth="1"/>
    <col min="8470" max="8470" width="15.83203125" style="156" customWidth="1"/>
    <col min="8471" max="8471" width="21" style="156" customWidth="1"/>
    <col min="8472" max="8472" width="15.83203125" style="156" customWidth="1"/>
    <col min="8473" max="8473" width="19.33203125" style="156" customWidth="1"/>
    <col min="8474" max="8474" width="14.16015625" style="156" customWidth="1"/>
    <col min="8475" max="8475" width="19.33203125" style="156" customWidth="1"/>
    <col min="8476" max="8476" width="21" style="156" customWidth="1"/>
    <col min="8477" max="8477" width="14.16015625" style="156" customWidth="1"/>
    <col min="8478" max="8478" width="19.33203125" style="156" customWidth="1"/>
    <col min="8479" max="8479" width="21" style="156" customWidth="1"/>
    <col min="8480" max="8491" width="12" style="156" customWidth="1"/>
    <col min="8492" max="8513" width="12" style="156" hidden="1" customWidth="1"/>
    <col min="8514" max="8704" width="12" style="156" customWidth="1"/>
    <col min="8705" max="8705" width="10.66015625" style="156" customWidth="1"/>
    <col min="8706" max="8706" width="2.16015625" style="156" customWidth="1"/>
    <col min="8707" max="8707" width="5.33203125" style="156" customWidth="1"/>
    <col min="8708" max="8708" width="5.5" style="156" customWidth="1"/>
    <col min="8709" max="8709" width="22" style="156" customWidth="1"/>
    <col min="8710" max="8710" width="96.5" style="156" customWidth="1"/>
    <col min="8711" max="8711" width="11.16015625" style="156" customWidth="1"/>
    <col min="8712" max="8712" width="14.33203125" style="156" customWidth="1"/>
    <col min="8713" max="8713" width="16.33203125" style="156" customWidth="1"/>
    <col min="8714" max="8714" width="30.16015625" style="156" customWidth="1"/>
    <col min="8715" max="8715" width="19.83203125" style="156" customWidth="1"/>
    <col min="8716" max="8716" width="12" style="156" customWidth="1"/>
    <col min="8717" max="8725" width="12" style="156" hidden="1" customWidth="1"/>
    <col min="8726" max="8726" width="15.83203125" style="156" customWidth="1"/>
    <col min="8727" max="8727" width="21" style="156" customWidth="1"/>
    <col min="8728" max="8728" width="15.83203125" style="156" customWidth="1"/>
    <col min="8729" max="8729" width="19.33203125" style="156" customWidth="1"/>
    <col min="8730" max="8730" width="14.16015625" style="156" customWidth="1"/>
    <col min="8731" max="8731" width="19.33203125" style="156" customWidth="1"/>
    <col min="8732" max="8732" width="21" style="156" customWidth="1"/>
    <col min="8733" max="8733" width="14.16015625" style="156" customWidth="1"/>
    <col min="8734" max="8734" width="19.33203125" style="156" customWidth="1"/>
    <col min="8735" max="8735" width="21" style="156" customWidth="1"/>
    <col min="8736" max="8747" width="12" style="156" customWidth="1"/>
    <col min="8748" max="8769" width="12" style="156" hidden="1" customWidth="1"/>
    <col min="8770" max="8960" width="12" style="156" customWidth="1"/>
    <col min="8961" max="8961" width="10.66015625" style="156" customWidth="1"/>
    <col min="8962" max="8962" width="2.16015625" style="156" customWidth="1"/>
    <col min="8963" max="8963" width="5.33203125" style="156" customWidth="1"/>
    <col min="8964" max="8964" width="5.5" style="156" customWidth="1"/>
    <col min="8965" max="8965" width="22" style="156" customWidth="1"/>
    <col min="8966" max="8966" width="96.5" style="156" customWidth="1"/>
    <col min="8967" max="8967" width="11.16015625" style="156" customWidth="1"/>
    <col min="8968" max="8968" width="14.33203125" style="156" customWidth="1"/>
    <col min="8969" max="8969" width="16.33203125" style="156" customWidth="1"/>
    <col min="8970" max="8970" width="30.16015625" style="156" customWidth="1"/>
    <col min="8971" max="8971" width="19.83203125" style="156" customWidth="1"/>
    <col min="8972" max="8972" width="12" style="156" customWidth="1"/>
    <col min="8973" max="8981" width="12" style="156" hidden="1" customWidth="1"/>
    <col min="8982" max="8982" width="15.83203125" style="156" customWidth="1"/>
    <col min="8983" max="8983" width="21" style="156" customWidth="1"/>
    <col min="8984" max="8984" width="15.83203125" style="156" customWidth="1"/>
    <col min="8985" max="8985" width="19.33203125" style="156" customWidth="1"/>
    <col min="8986" max="8986" width="14.16015625" style="156" customWidth="1"/>
    <col min="8987" max="8987" width="19.33203125" style="156" customWidth="1"/>
    <col min="8988" max="8988" width="21" style="156" customWidth="1"/>
    <col min="8989" max="8989" width="14.16015625" style="156" customWidth="1"/>
    <col min="8990" max="8990" width="19.33203125" style="156" customWidth="1"/>
    <col min="8991" max="8991" width="21" style="156" customWidth="1"/>
    <col min="8992" max="9003" width="12" style="156" customWidth="1"/>
    <col min="9004" max="9025" width="12" style="156" hidden="1" customWidth="1"/>
    <col min="9026" max="9216" width="12" style="156" customWidth="1"/>
    <col min="9217" max="9217" width="10.66015625" style="156" customWidth="1"/>
    <col min="9218" max="9218" width="2.16015625" style="156" customWidth="1"/>
    <col min="9219" max="9219" width="5.33203125" style="156" customWidth="1"/>
    <col min="9220" max="9220" width="5.5" style="156" customWidth="1"/>
    <col min="9221" max="9221" width="22" style="156" customWidth="1"/>
    <col min="9222" max="9222" width="96.5" style="156" customWidth="1"/>
    <col min="9223" max="9223" width="11.16015625" style="156" customWidth="1"/>
    <col min="9224" max="9224" width="14.33203125" style="156" customWidth="1"/>
    <col min="9225" max="9225" width="16.33203125" style="156" customWidth="1"/>
    <col min="9226" max="9226" width="30.16015625" style="156" customWidth="1"/>
    <col min="9227" max="9227" width="19.83203125" style="156" customWidth="1"/>
    <col min="9228" max="9228" width="12" style="156" customWidth="1"/>
    <col min="9229" max="9237" width="12" style="156" hidden="1" customWidth="1"/>
    <col min="9238" max="9238" width="15.83203125" style="156" customWidth="1"/>
    <col min="9239" max="9239" width="21" style="156" customWidth="1"/>
    <col min="9240" max="9240" width="15.83203125" style="156" customWidth="1"/>
    <col min="9241" max="9241" width="19.33203125" style="156" customWidth="1"/>
    <col min="9242" max="9242" width="14.16015625" style="156" customWidth="1"/>
    <col min="9243" max="9243" width="19.33203125" style="156" customWidth="1"/>
    <col min="9244" max="9244" width="21" style="156" customWidth="1"/>
    <col min="9245" max="9245" width="14.16015625" style="156" customWidth="1"/>
    <col min="9246" max="9246" width="19.33203125" style="156" customWidth="1"/>
    <col min="9247" max="9247" width="21" style="156" customWidth="1"/>
    <col min="9248" max="9259" width="12" style="156" customWidth="1"/>
    <col min="9260" max="9281" width="12" style="156" hidden="1" customWidth="1"/>
    <col min="9282" max="9472" width="12" style="156" customWidth="1"/>
    <col min="9473" max="9473" width="10.66015625" style="156" customWidth="1"/>
    <col min="9474" max="9474" width="2.16015625" style="156" customWidth="1"/>
    <col min="9475" max="9475" width="5.33203125" style="156" customWidth="1"/>
    <col min="9476" max="9476" width="5.5" style="156" customWidth="1"/>
    <col min="9477" max="9477" width="22" style="156" customWidth="1"/>
    <col min="9478" max="9478" width="96.5" style="156" customWidth="1"/>
    <col min="9479" max="9479" width="11.16015625" style="156" customWidth="1"/>
    <col min="9480" max="9480" width="14.33203125" style="156" customWidth="1"/>
    <col min="9481" max="9481" width="16.33203125" style="156" customWidth="1"/>
    <col min="9482" max="9482" width="30.16015625" style="156" customWidth="1"/>
    <col min="9483" max="9483" width="19.83203125" style="156" customWidth="1"/>
    <col min="9484" max="9484" width="12" style="156" customWidth="1"/>
    <col min="9485" max="9493" width="12" style="156" hidden="1" customWidth="1"/>
    <col min="9494" max="9494" width="15.83203125" style="156" customWidth="1"/>
    <col min="9495" max="9495" width="21" style="156" customWidth="1"/>
    <col min="9496" max="9496" width="15.83203125" style="156" customWidth="1"/>
    <col min="9497" max="9497" width="19.33203125" style="156" customWidth="1"/>
    <col min="9498" max="9498" width="14.16015625" style="156" customWidth="1"/>
    <col min="9499" max="9499" width="19.33203125" style="156" customWidth="1"/>
    <col min="9500" max="9500" width="21" style="156" customWidth="1"/>
    <col min="9501" max="9501" width="14.16015625" style="156" customWidth="1"/>
    <col min="9502" max="9502" width="19.33203125" style="156" customWidth="1"/>
    <col min="9503" max="9503" width="21" style="156" customWidth="1"/>
    <col min="9504" max="9515" width="12" style="156" customWidth="1"/>
    <col min="9516" max="9537" width="12" style="156" hidden="1" customWidth="1"/>
    <col min="9538" max="9728" width="12" style="156" customWidth="1"/>
    <col min="9729" max="9729" width="10.66015625" style="156" customWidth="1"/>
    <col min="9730" max="9730" width="2.16015625" style="156" customWidth="1"/>
    <col min="9731" max="9731" width="5.33203125" style="156" customWidth="1"/>
    <col min="9732" max="9732" width="5.5" style="156" customWidth="1"/>
    <col min="9733" max="9733" width="22" style="156" customWidth="1"/>
    <col min="9734" max="9734" width="96.5" style="156" customWidth="1"/>
    <col min="9735" max="9735" width="11.16015625" style="156" customWidth="1"/>
    <col min="9736" max="9736" width="14.33203125" style="156" customWidth="1"/>
    <col min="9737" max="9737" width="16.33203125" style="156" customWidth="1"/>
    <col min="9738" max="9738" width="30.16015625" style="156" customWidth="1"/>
    <col min="9739" max="9739" width="19.83203125" style="156" customWidth="1"/>
    <col min="9740" max="9740" width="12" style="156" customWidth="1"/>
    <col min="9741" max="9749" width="12" style="156" hidden="1" customWidth="1"/>
    <col min="9750" max="9750" width="15.83203125" style="156" customWidth="1"/>
    <col min="9751" max="9751" width="21" style="156" customWidth="1"/>
    <col min="9752" max="9752" width="15.83203125" style="156" customWidth="1"/>
    <col min="9753" max="9753" width="19.33203125" style="156" customWidth="1"/>
    <col min="9754" max="9754" width="14.16015625" style="156" customWidth="1"/>
    <col min="9755" max="9755" width="19.33203125" style="156" customWidth="1"/>
    <col min="9756" max="9756" width="21" style="156" customWidth="1"/>
    <col min="9757" max="9757" width="14.16015625" style="156" customWidth="1"/>
    <col min="9758" max="9758" width="19.33203125" style="156" customWidth="1"/>
    <col min="9759" max="9759" width="21" style="156" customWidth="1"/>
    <col min="9760" max="9771" width="12" style="156" customWidth="1"/>
    <col min="9772" max="9793" width="12" style="156" hidden="1" customWidth="1"/>
    <col min="9794" max="9984" width="12" style="156" customWidth="1"/>
    <col min="9985" max="9985" width="10.66015625" style="156" customWidth="1"/>
    <col min="9986" max="9986" width="2.16015625" style="156" customWidth="1"/>
    <col min="9987" max="9987" width="5.33203125" style="156" customWidth="1"/>
    <col min="9988" max="9988" width="5.5" style="156" customWidth="1"/>
    <col min="9989" max="9989" width="22" style="156" customWidth="1"/>
    <col min="9990" max="9990" width="96.5" style="156" customWidth="1"/>
    <col min="9991" max="9991" width="11.16015625" style="156" customWidth="1"/>
    <col min="9992" max="9992" width="14.33203125" style="156" customWidth="1"/>
    <col min="9993" max="9993" width="16.33203125" style="156" customWidth="1"/>
    <col min="9994" max="9994" width="30.16015625" style="156" customWidth="1"/>
    <col min="9995" max="9995" width="19.83203125" style="156" customWidth="1"/>
    <col min="9996" max="9996" width="12" style="156" customWidth="1"/>
    <col min="9997" max="10005" width="12" style="156" hidden="1" customWidth="1"/>
    <col min="10006" max="10006" width="15.83203125" style="156" customWidth="1"/>
    <col min="10007" max="10007" width="21" style="156" customWidth="1"/>
    <col min="10008" max="10008" width="15.83203125" style="156" customWidth="1"/>
    <col min="10009" max="10009" width="19.33203125" style="156" customWidth="1"/>
    <col min="10010" max="10010" width="14.16015625" style="156" customWidth="1"/>
    <col min="10011" max="10011" width="19.33203125" style="156" customWidth="1"/>
    <col min="10012" max="10012" width="21" style="156" customWidth="1"/>
    <col min="10013" max="10013" width="14.16015625" style="156" customWidth="1"/>
    <col min="10014" max="10014" width="19.33203125" style="156" customWidth="1"/>
    <col min="10015" max="10015" width="21" style="156" customWidth="1"/>
    <col min="10016" max="10027" width="12" style="156" customWidth="1"/>
    <col min="10028" max="10049" width="12" style="156" hidden="1" customWidth="1"/>
    <col min="10050" max="10240" width="12" style="156" customWidth="1"/>
    <col min="10241" max="10241" width="10.66015625" style="156" customWidth="1"/>
    <col min="10242" max="10242" width="2.16015625" style="156" customWidth="1"/>
    <col min="10243" max="10243" width="5.33203125" style="156" customWidth="1"/>
    <col min="10244" max="10244" width="5.5" style="156" customWidth="1"/>
    <col min="10245" max="10245" width="22" style="156" customWidth="1"/>
    <col min="10246" max="10246" width="96.5" style="156" customWidth="1"/>
    <col min="10247" max="10247" width="11.16015625" style="156" customWidth="1"/>
    <col min="10248" max="10248" width="14.33203125" style="156" customWidth="1"/>
    <col min="10249" max="10249" width="16.33203125" style="156" customWidth="1"/>
    <col min="10250" max="10250" width="30.16015625" style="156" customWidth="1"/>
    <col min="10251" max="10251" width="19.83203125" style="156" customWidth="1"/>
    <col min="10252" max="10252" width="12" style="156" customWidth="1"/>
    <col min="10253" max="10261" width="12" style="156" hidden="1" customWidth="1"/>
    <col min="10262" max="10262" width="15.83203125" style="156" customWidth="1"/>
    <col min="10263" max="10263" width="21" style="156" customWidth="1"/>
    <col min="10264" max="10264" width="15.83203125" style="156" customWidth="1"/>
    <col min="10265" max="10265" width="19.33203125" style="156" customWidth="1"/>
    <col min="10266" max="10266" width="14.16015625" style="156" customWidth="1"/>
    <col min="10267" max="10267" width="19.33203125" style="156" customWidth="1"/>
    <col min="10268" max="10268" width="21" style="156" customWidth="1"/>
    <col min="10269" max="10269" width="14.16015625" style="156" customWidth="1"/>
    <col min="10270" max="10270" width="19.33203125" style="156" customWidth="1"/>
    <col min="10271" max="10271" width="21" style="156" customWidth="1"/>
    <col min="10272" max="10283" width="12" style="156" customWidth="1"/>
    <col min="10284" max="10305" width="12" style="156" hidden="1" customWidth="1"/>
    <col min="10306" max="10496" width="12" style="156" customWidth="1"/>
    <col min="10497" max="10497" width="10.66015625" style="156" customWidth="1"/>
    <col min="10498" max="10498" width="2.16015625" style="156" customWidth="1"/>
    <col min="10499" max="10499" width="5.33203125" style="156" customWidth="1"/>
    <col min="10500" max="10500" width="5.5" style="156" customWidth="1"/>
    <col min="10501" max="10501" width="22" style="156" customWidth="1"/>
    <col min="10502" max="10502" width="96.5" style="156" customWidth="1"/>
    <col min="10503" max="10503" width="11.16015625" style="156" customWidth="1"/>
    <col min="10504" max="10504" width="14.33203125" style="156" customWidth="1"/>
    <col min="10505" max="10505" width="16.33203125" style="156" customWidth="1"/>
    <col min="10506" max="10506" width="30.16015625" style="156" customWidth="1"/>
    <col min="10507" max="10507" width="19.83203125" style="156" customWidth="1"/>
    <col min="10508" max="10508" width="12" style="156" customWidth="1"/>
    <col min="10509" max="10517" width="12" style="156" hidden="1" customWidth="1"/>
    <col min="10518" max="10518" width="15.83203125" style="156" customWidth="1"/>
    <col min="10519" max="10519" width="21" style="156" customWidth="1"/>
    <col min="10520" max="10520" width="15.83203125" style="156" customWidth="1"/>
    <col min="10521" max="10521" width="19.33203125" style="156" customWidth="1"/>
    <col min="10522" max="10522" width="14.16015625" style="156" customWidth="1"/>
    <col min="10523" max="10523" width="19.33203125" style="156" customWidth="1"/>
    <col min="10524" max="10524" width="21" style="156" customWidth="1"/>
    <col min="10525" max="10525" width="14.16015625" style="156" customWidth="1"/>
    <col min="10526" max="10526" width="19.33203125" style="156" customWidth="1"/>
    <col min="10527" max="10527" width="21" style="156" customWidth="1"/>
    <col min="10528" max="10539" width="12" style="156" customWidth="1"/>
    <col min="10540" max="10561" width="12" style="156" hidden="1" customWidth="1"/>
    <col min="10562" max="10752" width="12" style="156" customWidth="1"/>
    <col min="10753" max="10753" width="10.66015625" style="156" customWidth="1"/>
    <col min="10754" max="10754" width="2.16015625" style="156" customWidth="1"/>
    <col min="10755" max="10755" width="5.33203125" style="156" customWidth="1"/>
    <col min="10756" max="10756" width="5.5" style="156" customWidth="1"/>
    <col min="10757" max="10757" width="22" style="156" customWidth="1"/>
    <col min="10758" max="10758" width="96.5" style="156" customWidth="1"/>
    <col min="10759" max="10759" width="11.16015625" style="156" customWidth="1"/>
    <col min="10760" max="10760" width="14.33203125" style="156" customWidth="1"/>
    <col min="10761" max="10761" width="16.33203125" style="156" customWidth="1"/>
    <col min="10762" max="10762" width="30.16015625" style="156" customWidth="1"/>
    <col min="10763" max="10763" width="19.83203125" style="156" customWidth="1"/>
    <col min="10764" max="10764" width="12" style="156" customWidth="1"/>
    <col min="10765" max="10773" width="12" style="156" hidden="1" customWidth="1"/>
    <col min="10774" max="10774" width="15.83203125" style="156" customWidth="1"/>
    <col min="10775" max="10775" width="21" style="156" customWidth="1"/>
    <col min="10776" max="10776" width="15.83203125" style="156" customWidth="1"/>
    <col min="10777" max="10777" width="19.33203125" style="156" customWidth="1"/>
    <col min="10778" max="10778" width="14.16015625" style="156" customWidth="1"/>
    <col min="10779" max="10779" width="19.33203125" style="156" customWidth="1"/>
    <col min="10780" max="10780" width="21" style="156" customWidth="1"/>
    <col min="10781" max="10781" width="14.16015625" style="156" customWidth="1"/>
    <col min="10782" max="10782" width="19.33203125" style="156" customWidth="1"/>
    <col min="10783" max="10783" width="21" style="156" customWidth="1"/>
    <col min="10784" max="10795" width="12" style="156" customWidth="1"/>
    <col min="10796" max="10817" width="12" style="156" hidden="1" customWidth="1"/>
    <col min="10818" max="11008" width="12" style="156" customWidth="1"/>
    <col min="11009" max="11009" width="10.66015625" style="156" customWidth="1"/>
    <col min="11010" max="11010" width="2.16015625" style="156" customWidth="1"/>
    <col min="11011" max="11011" width="5.33203125" style="156" customWidth="1"/>
    <col min="11012" max="11012" width="5.5" style="156" customWidth="1"/>
    <col min="11013" max="11013" width="22" style="156" customWidth="1"/>
    <col min="11014" max="11014" width="96.5" style="156" customWidth="1"/>
    <col min="11015" max="11015" width="11.16015625" style="156" customWidth="1"/>
    <col min="11016" max="11016" width="14.33203125" style="156" customWidth="1"/>
    <col min="11017" max="11017" width="16.33203125" style="156" customWidth="1"/>
    <col min="11018" max="11018" width="30.16015625" style="156" customWidth="1"/>
    <col min="11019" max="11019" width="19.83203125" style="156" customWidth="1"/>
    <col min="11020" max="11020" width="12" style="156" customWidth="1"/>
    <col min="11021" max="11029" width="12" style="156" hidden="1" customWidth="1"/>
    <col min="11030" max="11030" width="15.83203125" style="156" customWidth="1"/>
    <col min="11031" max="11031" width="21" style="156" customWidth="1"/>
    <col min="11032" max="11032" width="15.83203125" style="156" customWidth="1"/>
    <col min="11033" max="11033" width="19.33203125" style="156" customWidth="1"/>
    <col min="11034" max="11034" width="14.16015625" style="156" customWidth="1"/>
    <col min="11035" max="11035" width="19.33203125" style="156" customWidth="1"/>
    <col min="11036" max="11036" width="21" style="156" customWidth="1"/>
    <col min="11037" max="11037" width="14.16015625" style="156" customWidth="1"/>
    <col min="11038" max="11038" width="19.33203125" style="156" customWidth="1"/>
    <col min="11039" max="11039" width="21" style="156" customWidth="1"/>
    <col min="11040" max="11051" width="12" style="156" customWidth="1"/>
    <col min="11052" max="11073" width="12" style="156" hidden="1" customWidth="1"/>
    <col min="11074" max="11264" width="12" style="156" customWidth="1"/>
    <col min="11265" max="11265" width="10.66015625" style="156" customWidth="1"/>
    <col min="11266" max="11266" width="2.16015625" style="156" customWidth="1"/>
    <col min="11267" max="11267" width="5.33203125" style="156" customWidth="1"/>
    <col min="11268" max="11268" width="5.5" style="156" customWidth="1"/>
    <col min="11269" max="11269" width="22" style="156" customWidth="1"/>
    <col min="11270" max="11270" width="96.5" style="156" customWidth="1"/>
    <col min="11271" max="11271" width="11.16015625" style="156" customWidth="1"/>
    <col min="11272" max="11272" width="14.33203125" style="156" customWidth="1"/>
    <col min="11273" max="11273" width="16.33203125" style="156" customWidth="1"/>
    <col min="11274" max="11274" width="30.16015625" style="156" customWidth="1"/>
    <col min="11275" max="11275" width="19.83203125" style="156" customWidth="1"/>
    <col min="11276" max="11276" width="12" style="156" customWidth="1"/>
    <col min="11277" max="11285" width="12" style="156" hidden="1" customWidth="1"/>
    <col min="11286" max="11286" width="15.83203125" style="156" customWidth="1"/>
    <col min="11287" max="11287" width="21" style="156" customWidth="1"/>
    <col min="11288" max="11288" width="15.83203125" style="156" customWidth="1"/>
    <col min="11289" max="11289" width="19.33203125" style="156" customWidth="1"/>
    <col min="11290" max="11290" width="14.16015625" style="156" customWidth="1"/>
    <col min="11291" max="11291" width="19.33203125" style="156" customWidth="1"/>
    <col min="11292" max="11292" width="21" style="156" customWidth="1"/>
    <col min="11293" max="11293" width="14.16015625" style="156" customWidth="1"/>
    <col min="11294" max="11294" width="19.33203125" style="156" customWidth="1"/>
    <col min="11295" max="11295" width="21" style="156" customWidth="1"/>
    <col min="11296" max="11307" width="12" style="156" customWidth="1"/>
    <col min="11308" max="11329" width="12" style="156" hidden="1" customWidth="1"/>
    <col min="11330" max="11520" width="12" style="156" customWidth="1"/>
    <col min="11521" max="11521" width="10.66015625" style="156" customWidth="1"/>
    <col min="11522" max="11522" width="2.16015625" style="156" customWidth="1"/>
    <col min="11523" max="11523" width="5.33203125" style="156" customWidth="1"/>
    <col min="11524" max="11524" width="5.5" style="156" customWidth="1"/>
    <col min="11525" max="11525" width="22" style="156" customWidth="1"/>
    <col min="11526" max="11526" width="96.5" style="156" customWidth="1"/>
    <col min="11527" max="11527" width="11.16015625" style="156" customWidth="1"/>
    <col min="11528" max="11528" width="14.33203125" style="156" customWidth="1"/>
    <col min="11529" max="11529" width="16.33203125" style="156" customWidth="1"/>
    <col min="11530" max="11530" width="30.16015625" style="156" customWidth="1"/>
    <col min="11531" max="11531" width="19.83203125" style="156" customWidth="1"/>
    <col min="11532" max="11532" width="12" style="156" customWidth="1"/>
    <col min="11533" max="11541" width="12" style="156" hidden="1" customWidth="1"/>
    <col min="11542" max="11542" width="15.83203125" style="156" customWidth="1"/>
    <col min="11543" max="11543" width="21" style="156" customWidth="1"/>
    <col min="11544" max="11544" width="15.83203125" style="156" customWidth="1"/>
    <col min="11545" max="11545" width="19.33203125" style="156" customWidth="1"/>
    <col min="11546" max="11546" width="14.16015625" style="156" customWidth="1"/>
    <col min="11547" max="11547" width="19.33203125" style="156" customWidth="1"/>
    <col min="11548" max="11548" width="21" style="156" customWidth="1"/>
    <col min="11549" max="11549" width="14.16015625" style="156" customWidth="1"/>
    <col min="11550" max="11550" width="19.33203125" style="156" customWidth="1"/>
    <col min="11551" max="11551" width="21" style="156" customWidth="1"/>
    <col min="11552" max="11563" width="12" style="156" customWidth="1"/>
    <col min="11564" max="11585" width="12" style="156" hidden="1" customWidth="1"/>
    <col min="11586" max="11776" width="12" style="156" customWidth="1"/>
    <col min="11777" max="11777" width="10.66015625" style="156" customWidth="1"/>
    <col min="11778" max="11778" width="2.16015625" style="156" customWidth="1"/>
    <col min="11779" max="11779" width="5.33203125" style="156" customWidth="1"/>
    <col min="11780" max="11780" width="5.5" style="156" customWidth="1"/>
    <col min="11781" max="11781" width="22" style="156" customWidth="1"/>
    <col min="11782" max="11782" width="96.5" style="156" customWidth="1"/>
    <col min="11783" max="11783" width="11.16015625" style="156" customWidth="1"/>
    <col min="11784" max="11784" width="14.33203125" style="156" customWidth="1"/>
    <col min="11785" max="11785" width="16.33203125" style="156" customWidth="1"/>
    <col min="11786" max="11786" width="30.16015625" style="156" customWidth="1"/>
    <col min="11787" max="11787" width="19.83203125" style="156" customWidth="1"/>
    <col min="11788" max="11788" width="12" style="156" customWidth="1"/>
    <col min="11789" max="11797" width="12" style="156" hidden="1" customWidth="1"/>
    <col min="11798" max="11798" width="15.83203125" style="156" customWidth="1"/>
    <col min="11799" max="11799" width="21" style="156" customWidth="1"/>
    <col min="11800" max="11800" width="15.83203125" style="156" customWidth="1"/>
    <col min="11801" max="11801" width="19.33203125" style="156" customWidth="1"/>
    <col min="11802" max="11802" width="14.16015625" style="156" customWidth="1"/>
    <col min="11803" max="11803" width="19.33203125" style="156" customWidth="1"/>
    <col min="11804" max="11804" width="21" style="156" customWidth="1"/>
    <col min="11805" max="11805" width="14.16015625" style="156" customWidth="1"/>
    <col min="11806" max="11806" width="19.33203125" style="156" customWidth="1"/>
    <col min="11807" max="11807" width="21" style="156" customWidth="1"/>
    <col min="11808" max="11819" width="12" style="156" customWidth="1"/>
    <col min="11820" max="11841" width="12" style="156" hidden="1" customWidth="1"/>
    <col min="11842" max="12032" width="12" style="156" customWidth="1"/>
    <col min="12033" max="12033" width="10.66015625" style="156" customWidth="1"/>
    <col min="12034" max="12034" width="2.16015625" style="156" customWidth="1"/>
    <col min="12035" max="12035" width="5.33203125" style="156" customWidth="1"/>
    <col min="12036" max="12036" width="5.5" style="156" customWidth="1"/>
    <col min="12037" max="12037" width="22" style="156" customWidth="1"/>
    <col min="12038" max="12038" width="96.5" style="156" customWidth="1"/>
    <col min="12039" max="12039" width="11.16015625" style="156" customWidth="1"/>
    <col min="12040" max="12040" width="14.33203125" style="156" customWidth="1"/>
    <col min="12041" max="12041" width="16.33203125" style="156" customWidth="1"/>
    <col min="12042" max="12042" width="30.16015625" style="156" customWidth="1"/>
    <col min="12043" max="12043" width="19.83203125" style="156" customWidth="1"/>
    <col min="12044" max="12044" width="12" style="156" customWidth="1"/>
    <col min="12045" max="12053" width="12" style="156" hidden="1" customWidth="1"/>
    <col min="12054" max="12054" width="15.83203125" style="156" customWidth="1"/>
    <col min="12055" max="12055" width="21" style="156" customWidth="1"/>
    <col min="12056" max="12056" width="15.83203125" style="156" customWidth="1"/>
    <col min="12057" max="12057" width="19.33203125" style="156" customWidth="1"/>
    <col min="12058" max="12058" width="14.16015625" style="156" customWidth="1"/>
    <col min="12059" max="12059" width="19.33203125" style="156" customWidth="1"/>
    <col min="12060" max="12060" width="21" style="156" customWidth="1"/>
    <col min="12061" max="12061" width="14.16015625" style="156" customWidth="1"/>
    <col min="12062" max="12062" width="19.33203125" style="156" customWidth="1"/>
    <col min="12063" max="12063" width="21" style="156" customWidth="1"/>
    <col min="12064" max="12075" width="12" style="156" customWidth="1"/>
    <col min="12076" max="12097" width="12" style="156" hidden="1" customWidth="1"/>
    <col min="12098" max="12288" width="12" style="156" customWidth="1"/>
    <col min="12289" max="12289" width="10.66015625" style="156" customWidth="1"/>
    <col min="12290" max="12290" width="2.16015625" style="156" customWidth="1"/>
    <col min="12291" max="12291" width="5.33203125" style="156" customWidth="1"/>
    <col min="12292" max="12292" width="5.5" style="156" customWidth="1"/>
    <col min="12293" max="12293" width="22" style="156" customWidth="1"/>
    <col min="12294" max="12294" width="96.5" style="156" customWidth="1"/>
    <col min="12295" max="12295" width="11.16015625" style="156" customWidth="1"/>
    <col min="12296" max="12296" width="14.33203125" style="156" customWidth="1"/>
    <col min="12297" max="12297" width="16.33203125" style="156" customWidth="1"/>
    <col min="12298" max="12298" width="30.16015625" style="156" customWidth="1"/>
    <col min="12299" max="12299" width="19.83203125" style="156" customWidth="1"/>
    <col min="12300" max="12300" width="12" style="156" customWidth="1"/>
    <col min="12301" max="12309" width="12" style="156" hidden="1" customWidth="1"/>
    <col min="12310" max="12310" width="15.83203125" style="156" customWidth="1"/>
    <col min="12311" max="12311" width="21" style="156" customWidth="1"/>
    <col min="12312" max="12312" width="15.83203125" style="156" customWidth="1"/>
    <col min="12313" max="12313" width="19.33203125" style="156" customWidth="1"/>
    <col min="12314" max="12314" width="14.16015625" style="156" customWidth="1"/>
    <col min="12315" max="12315" width="19.33203125" style="156" customWidth="1"/>
    <col min="12316" max="12316" width="21" style="156" customWidth="1"/>
    <col min="12317" max="12317" width="14.16015625" style="156" customWidth="1"/>
    <col min="12318" max="12318" width="19.33203125" style="156" customWidth="1"/>
    <col min="12319" max="12319" width="21" style="156" customWidth="1"/>
    <col min="12320" max="12331" width="12" style="156" customWidth="1"/>
    <col min="12332" max="12353" width="12" style="156" hidden="1" customWidth="1"/>
    <col min="12354" max="12544" width="12" style="156" customWidth="1"/>
    <col min="12545" max="12545" width="10.66015625" style="156" customWidth="1"/>
    <col min="12546" max="12546" width="2.16015625" style="156" customWidth="1"/>
    <col min="12547" max="12547" width="5.33203125" style="156" customWidth="1"/>
    <col min="12548" max="12548" width="5.5" style="156" customWidth="1"/>
    <col min="12549" max="12549" width="22" style="156" customWidth="1"/>
    <col min="12550" max="12550" width="96.5" style="156" customWidth="1"/>
    <col min="12551" max="12551" width="11.16015625" style="156" customWidth="1"/>
    <col min="12552" max="12552" width="14.33203125" style="156" customWidth="1"/>
    <col min="12553" max="12553" width="16.33203125" style="156" customWidth="1"/>
    <col min="12554" max="12554" width="30.16015625" style="156" customWidth="1"/>
    <col min="12555" max="12555" width="19.83203125" style="156" customWidth="1"/>
    <col min="12556" max="12556" width="12" style="156" customWidth="1"/>
    <col min="12557" max="12565" width="12" style="156" hidden="1" customWidth="1"/>
    <col min="12566" max="12566" width="15.83203125" style="156" customWidth="1"/>
    <col min="12567" max="12567" width="21" style="156" customWidth="1"/>
    <col min="12568" max="12568" width="15.83203125" style="156" customWidth="1"/>
    <col min="12569" max="12569" width="19.33203125" style="156" customWidth="1"/>
    <col min="12570" max="12570" width="14.16015625" style="156" customWidth="1"/>
    <col min="12571" max="12571" width="19.33203125" style="156" customWidth="1"/>
    <col min="12572" max="12572" width="21" style="156" customWidth="1"/>
    <col min="12573" max="12573" width="14.16015625" style="156" customWidth="1"/>
    <col min="12574" max="12574" width="19.33203125" style="156" customWidth="1"/>
    <col min="12575" max="12575" width="21" style="156" customWidth="1"/>
    <col min="12576" max="12587" width="12" style="156" customWidth="1"/>
    <col min="12588" max="12609" width="12" style="156" hidden="1" customWidth="1"/>
    <col min="12610" max="12800" width="12" style="156" customWidth="1"/>
    <col min="12801" max="12801" width="10.66015625" style="156" customWidth="1"/>
    <col min="12802" max="12802" width="2.16015625" style="156" customWidth="1"/>
    <col min="12803" max="12803" width="5.33203125" style="156" customWidth="1"/>
    <col min="12804" max="12804" width="5.5" style="156" customWidth="1"/>
    <col min="12805" max="12805" width="22" style="156" customWidth="1"/>
    <col min="12806" max="12806" width="96.5" style="156" customWidth="1"/>
    <col min="12807" max="12807" width="11.16015625" style="156" customWidth="1"/>
    <col min="12808" max="12808" width="14.33203125" style="156" customWidth="1"/>
    <col min="12809" max="12809" width="16.33203125" style="156" customWidth="1"/>
    <col min="12810" max="12810" width="30.16015625" style="156" customWidth="1"/>
    <col min="12811" max="12811" width="19.83203125" style="156" customWidth="1"/>
    <col min="12812" max="12812" width="12" style="156" customWidth="1"/>
    <col min="12813" max="12821" width="12" style="156" hidden="1" customWidth="1"/>
    <col min="12822" max="12822" width="15.83203125" style="156" customWidth="1"/>
    <col min="12823" max="12823" width="21" style="156" customWidth="1"/>
    <col min="12824" max="12824" width="15.83203125" style="156" customWidth="1"/>
    <col min="12825" max="12825" width="19.33203125" style="156" customWidth="1"/>
    <col min="12826" max="12826" width="14.16015625" style="156" customWidth="1"/>
    <col min="12827" max="12827" width="19.33203125" style="156" customWidth="1"/>
    <col min="12828" max="12828" width="21" style="156" customWidth="1"/>
    <col min="12829" max="12829" width="14.16015625" style="156" customWidth="1"/>
    <col min="12830" max="12830" width="19.33203125" style="156" customWidth="1"/>
    <col min="12831" max="12831" width="21" style="156" customWidth="1"/>
    <col min="12832" max="12843" width="12" style="156" customWidth="1"/>
    <col min="12844" max="12865" width="12" style="156" hidden="1" customWidth="1"/>
    <col min="12866" max="13056" width="12" style="156" customWidth="1"/>
    <col min="13057" max="13057" width="10.66015625" style="156" customWidth="1"/>
    <col min="13058" max="13058" width="2.16015625" style="156" customWidth="1"/>
    <col min="13059" max="13059" width="5.33203125" style="156" customWidth="1"/>
    <col min="13060" max="13060" width="5.5" style="156" customWidth="1"/>
    <col min="13061" max="13061" width="22" style="156" customWidth="1"/>
    <col min="13062" max="13062" width="96.5" style="156" customWidth="1"/>
    <col min="13063" max="13063" width="11.16015625" style="156" customWidth="1"/>
    <col min="13064" max="13064" width="14.33203125" style="156" customWidth="1"/>
    <col min="13065" max="13065" width="16.33203125" style="156" customWidth="1"/>
    <col min="13066" max="13066" width="30.16015625" style="156" customWidth="1"/>
    <col min="13067" max="13067" width="19.83203125" style="156" customWidth="1"/>
    <col min="13068" max="13068" width="12" style="156" customWidth="1"/>
    <col min="13069" max="13077" width="12" style="156" hidden="1" customWidth="1"/>
    <col min="13078" max="13078" width="15.83203125" style="156" customWidth="1"/>
    <col min="13079" max="13079" width="21" style="156" customWidth="1"/>
    <col min="13080" max="13080" width="15.83203125" style="156" customWidth="1"/>
    <col min="13081" max="13081" width="19.33203125" style="156" customWidth="1"/>
    <col min="13082" max="13082" width="14.16015625" style="156" customWidth="1"/>
    <col min="13083" max="13083" width="19.33203125" style="156" customWidth="1"/>
    <col min="13084" max="13084" width="21" style="156" customWidth="1"/>
    <col min="13085" max="13085" width="14.16015625" style="156" customWidth="1"/>
    <col min="13086" max="13086" width="19.33203125" style="156" customWidth="1"/>
    <col min="13087" max="13087" width="21" style="156" customWidth="1"/>
    <col min="13088" max="13099" width="12" style="156" customWidth="1"/>
    <col min="13100" max="13121" width="12" style="156" hidden="1" customWidth="1"/>
    <col min="13122" max="13312" width="12" style="156" customWidth="1"/>
    <col min="13313" max="13313" width="10.66015625" style="156" customWidth="1"/>
    <col min="13314" max="13314" width="2.16015625" style="156" customWidth="1"/>
    <col min="13315" max="13315" width="5.33203125" style="156" customWidth="1"/>
    <col min="13316" max="13316" width="5.5" style="156" customWidth="1"/>
    <col min="13317" max="13317" width="22" style="156" customWidth="1"/>
    <col min="13318" max="13318" width="96.5" style="156" customWidth="1"/>
    <col min="13319" max="13319" width="11.16015625" style="156" customWidth="1"/>
    <col min="13320" max="13320" width="14.33203125" style="156" customWidth="1"/>
    <col min="13321" max="13321" width="16.33203125" style="156" customWidth="1"/>
    <col min="13322" max="13322" width="30.16015625" style="156" customWidth="1"/>
    <col min="13323" max="13323" width="19.83203125" style="156" customWidth="1"/>
    <col min="13324" max="13324" width="12" style="156" customWidth="1"/>
    <col min="13325" max="13333" width="12" style="156" hidden="1" customWidth="1"/>
    <col min="13334" max="13334" width="15.83203125" style="156" customWidth="1"/>
    <col min="13335" max="13335" width="21" style="156" customWidth="1"/>
    <col min="13336" max="13336" width="15.83203125" style="156" customWidth="1"/>
    <col min="13337" max="13337" width="19.33203125" style="156" customWidth="1"/>
    <col min="13338" max="13338" width="14.16015625" style="156" customWidth="1"/>
    <col min="13339" max="13339" width="19.33203125" style="156" customWidth="1"/>
    <col min="13340" max="13340" width="21" style="156" customWidth="1"/>
    <col min="13341" max="13341" width="14.16015625" style="156" customWidth="1"/>
    <col min="13342" max="13342" width="19.33203125" style="156" customWidth="1"/>
    <col min="13343" max="13343" width="21" style="156" customWidth="1"/>
    <col min="13344" max="13355" width="12" style="156" customWidth="1"/>
    <col min="13356" max="13377" width="12" style="156" hidden="1" customWidth="1"/>
    <col min="13378" max="13568" width="12" style="156" customWidth="1"/>
    <col min="13569" max="13569" width="10.66015625" style="156" customWidth="1"/>
    <col min="13570" max="13570" width="2.16015625" style="156" customWidth="1"/>
    <col min="13571" max="13571" width="5.33203125" style="156" customWidth="1"/>
    <col min="13572" max="13572" width="5.5" style="156" customWidth="1"/>
    <col min="13573" max="13573" width="22" style="156" customWidth="1"/>
    <col min="13574" max="13574" width="96.5" style="156" customWidth="1"/>
    <col min="13575" max="13575" width="11.16015625" style="156" customWidth="1"/>
    <col min="13576" max="13576" width="14.33203125" style="156" customWidth="1"/>
    <col min="13577" max="13577" width="16.33203125" style="156" customWidth="1"/>
    <col min="13578" max="13578" width="30.16015625" style="156" customWidth="1"/>
    <col min="13579" max="13579" width="19.83203125" style="156" customWidth="1"/>
    <col min="13580" max="13580" width="12" style="156" customWidth="1"/>
    <col min="13581" max="13589" width="12" style="156" hidden="1" customWidth="1"/>
    <col min="13590" max="13590" width="15.83203125" style="156" customWidth="1"/>
    <col min="13591" max="13591" width="21" style="156" customWidth="1"/>
    <col min="13592" max="13592" width="15.83203125" style="156" customWidth="1"/>
    <col min="13593" max="13593" width="19.33203125" style="156" customWidth="1"/>
    <col min="13594" max="13594" width="14.16015625" style="156" customWidth="1"/>
    <col min="13595" max="13595" width="19.33203125" style="156" customWidth="1"/>
    <col min="13596" max="13596" width="21" style="156" customWidth="1"/>
    <col min="13597" max="13597" width="14.16015625" style="156" customWidth="1"/>
    <col min="13598" max="13598" width="19.33203125" style="156" customWidth="1"/>
    <col min="13599" max="13599" width="21" style="156" customWidth="1"/>
    <col min="13600" max="13611" width="12" style="156" customWidth="1"/>
    <col min="13612" max="13633" width="12" style="156" hidden="1" customWidth="1"/>
    <col min="13634" max="13824" width="12" style="156" customWidth="1"/>
    <col min="13825" max="13825" width="10.66015625" style="156" customWidth="1"/>
    <col min="13826" max="13826" width="2.16015625" style="156" customWidth="1"/>
    <col min="13827" max="13827" width="5.33203125" style="156" customWidth="1"/>
    <col min="13828" max="13828" width="5.5" style="156" customWidth="1"/>
    <col min="13829" max="13829" width="22" style="156" customWidth="1"/>
    <col min="13830" max="13830" width="96.5" style="156" customWidth="1"/>
    <col min="13831" max="13831" width="11.16015625" style="156" customWidth="1"/>
    <col min="13832" max="13832" width="14.33203125" style="156" customWidth="1"/>
    <col min="13833" max="13833" width="16.33203125" style="156" customWidth="1"/>
    <col min="13834" max="13834" width="30.16015625" style="156" customWidth="1"/>
    <col min="13835" max="13835" width="19.83203125" style="156" customWidth="1"/>
    <col min="13836" max="13836" width="12" style="156" customWidth="1"/>
    <col min="13837" max="13845" width="12" style="156" hidden="1" customWidth="1"/>
    <col min="13846" max="13846" width="15.83203125" style="156" customWidth="1"/>
    <col min="13847" max="13847" width="21" style="156" customWidth="1"/>
    <col min="13848" max="13848" width="15.83203125" style="156" customWidth="1"/>
    <col min="13849" max="13849" width="19.33203125" style="156" customWidth="1"/>
    <col min="13850" max="13850" width="14.16015625" style="156" customWidth="1"/>
    <col min="13851" max="13851" width="19.33203125" style="156" customWidth="1"/>
    <col min="13852" max="13852" width="21" style="156" customWidth="1"/>
    <col min="13853" max="13853" width="14.16015625" style="156" customWidth="1"/>
    <col min="13854" max="13854" width="19.33203125" style="156" customWidth="1"/>
    <col min="13855" max="13855" width="21" style="156" customWidth="1"/>
    <col min="13856" max="13867" width="12" style="156" customWidth="1"/>
    <col min="13868" max="13889" width="12" style="156" hidden="1" customWidth="1"/>
    <col min="13890" max="14080" width="12" style="156" customWidth="1"/>
    <col min="14081" max="14081" width="10.66015625" style="156" customWidth="1"/>
    <col min="14082" max="14082" width="2.16015625" style="156" customWidth="1"/>
    <col min="14083" max="14083" width="5.33203125" style="156" customWidth="1"/>
    <col min="14084" max="14084" width="5.5" style="156" customWidth="1"/>
    <col min="14085" max="14085" width="22" style="156" customWidth="1"/>
    <col min="14086" max="14086" width="96.5" style="156" customWidth="1"/>
    <col min="14087" max="14087" width="11.16015625" style="156" customWidth="1"/>
    <col min="14088" max="14088" width="14.33203125" style="156" customWidth="1"/>
    <col min="14089" max="14089" width="16.33203125" style="156" customWidth="1"/>
    <col min="14090" max="14090" width="30.16015625" style="156" customWidth="1"/>
    <col min="14091" max="14091" width="19.83203125" style="156" customWidth="1"/>
    <col min="14092" max="14092" width="12" style="156" customWidth="1"/>
    <col min="14093" max="14101" width="12" style="156" hidden="1" customWidth="1"/>
    <col min="14102" max="14102" width="15.83203125" style="156" customWidth="1"/>
    <col min="14103" max="14103" width="21" style="156" customWidth="1"/>
    <col min="14104" max="14104" width="15.83203125" style="156" customWidth="1"/>
    <col min="14105" max="14105" width="19.33203125" style="156" customWidth="1"/>
    <col min="14106" max="14106" width="14.16015625" style="156" customWidth="1"/>
    <col min="14107" max="14107" width="19.33203125" style="156" customWidth="1"/>
    <col min="14108" max="14108" width="21" style="156" customWidth="1"/>
    <col min="14109" max="14109" width="14.16015625" style="156" customWidth="1"/>
    <col min="14110" max="14110" width="19.33203125" style="156" customWidth="1"/>
    <col min="14111" max="14111" width="21" style="156" customWidth="1"/>
    <col min="14112" max="14123" width="12" style="156" customWidth="1"/>
    <col min="14124" max="14145" width="12" style="156" hidden="1" customWidth="1"/>
    <col min="14146" max="14336" width="12" style="156" customWidth="1"/>
    <col min="14337" max="14337" width="10.66015625" style="156" customWidth="1"/>
    <col min="14338" max="14338" width="2.16015625" style="156" customWidth="1"/>
    <col min="14339" max="14339" width="5.33203125" style="156" customWidth="1"/>
    <col min="14340" max="14340" width="5.5" style="156" customWidth="1"/>
    <col min="14341" max="14341" width="22" style="156" customWidth="1"/>
    <col min="14342" max="14342" width="96.5" style="156" customWidth="1"/>
    <col min="14343" max="14343" width="11.16015625" style="156" customWidth="1"/>
    <col min="14344" max="14344" width="14.33203125" style="156" customWidth="1"/>
    <col min="14345" max="14345" width="16.33203125" style="156" customWidth="1"/>
    <col min="14346" max="14346" width="30.16015625" style="156" customWidth="1"/>
    <col min="14347" max="14347" width="19.83203125" style="156" customWidth="1"/>
    <col min="14348" max="14348" width="12" style="156" customWidth="1"/>
    <col min="14349" max="14357" width="12" style="156" hidden="1" customWidth="1"/>
    <col min="14358" max="14358" width="15.83203125" style="156" customWidth="1"/>
    <col min="14359" max="14359" width="21" style="156" customWidth="1"/>
    <col min="14360" max="14360" width="15.83203125" style="156" customWidth="1"/>
    <col min="14361" max="14361" width="19.33203125" style="156" customWidth="1"/>
    <col min="14362" max="14362" width="14.16015625" style="156" customWidth="1"/>
    <col min="14363" max="14363" width="19.33203125" style="156" customWidth="1"/>
    <col min="14364" max="14364" width="21" style="156" customWidth="1"/>
    <col min="14365" max="14365" width="14.16015625" style="156" customWidth="1"/>
    <col min="14366" max="14366" width="19.33203125" style="156" customWidth="1"/>
    <col min="14367" max="14367" width="21" style="156" customWidth="1"/>
    <col min="14368" max="14379" width="12" style="156" customWidth="1"/>
    <col min="14380" max="14401" width="12" style="156" hidden="1" customWidth="1"/>
    <col min="14402" max="14592" width="12" style="156" customWidth="1"/>
    <col min="14593" max="14593" width="10.66015625" style="156" customWidth="1"/>
    <col min="14594" max="14594" width="2.16015625" style="156" customWidth="1"/>
    <col min="14595" max="14595" width="5.33203125" style="156" customWidth="1"/>
    <col min="14596" max="14596" width="5.5" style="156" customWidth="1"/>
    <col min="14597" max="14597" width="22" style="156" customWidth="1"/>
    <col min="14598" max="14598" width="96.5" style="156" customWidth="1"/>
    <col min="14599" max="14599" width="11.16015625" style="156" customWidth="1"/>
    <col min="14600" max="14600" width="14.33203125" style="156" customWidth="1"/>
    <col min="14601" max="14601" width="16.33203125" style="156" customWidth="1"/>
    <col min="14602" max="14602" width="30.16015625" style="156" customWidth="1"/>
    <col min="14603" max="14603" width="19.83203125" style="156" customWidth="1"/>
    <col min="14604" max="14604" width="12" style="156" customWidth="1"/>
    <col min="14605" max="14613" width="12" style="156" hidden="1" customWidth="1"/>
    <col min="14614" max="14614" width="15.83203125" style="156" customWidth="1"/>
    <col min="14615" max="14615" width="21" style="156" customWidth="1"/>
    <col min="14616" max="14616" width="15.83203125" style="156" customWidth="1"/>
    <col min="14617" max="14617" width="19.33203125" style="156" customWidth="1"/>
    <col min="14618" max="14618" width="14.16015625" style="156" customWidth="1"/>
    <col min="14619" max="14619" width="19.33203125" style="156" customWidth="1"/>
    <col min="14620" max="14620" width="21" style="156" customWidth="1"/>
    <col min="14621" max="14621" width="14.16015625" style="156" customWidth="1"/>
    <col min="14622" max="14622" width="19.33203125" style="156" customWidth="1"/>
    <col min="14623" max="14623" width="21" style="156" customWidth="1"/>
    <col min="14624" max="14635" width="12" style="156" customWidth="1"/>
    <col min="14636" max="14657" width="12" style="156" hidden="1" customWidth="1"/>
    <col min="14658" max="14848" width="12" style="156" customWidth="1"/>
    <col min="14849" max="14849" width="10.66015625" style="156" customWidth="1"/>
    <col min="14850" max="14850" width="2.16015625" style="156" customWidth="1"/>
    <col min="14851" max="14851" width="5.33203125" style="156" customWidth="1"/>
    <col min="14852" max="14852" width="5.5" style="156" customWidth="1"/>
    <col min="14853" max="14853" width="22" style="156" customWidth="1"/>
    <col min="14854" max="14854" width="96.5" style="156" customWidth="1"/>
    <col min="14855" max="14855" width="11.16015625" style="156" customWidth="1"/>
    <col min="14856" max="14856" width="14.33203125" style="156" customWidth="1"/>
    <col min="14857" max="14857" width="16.33203125" style="156" customWidth="1"/>
    <col min="14858" max="14858" width="30.16015625" style="156" customWidth="1"/>
    <col min="14859" max="14859" width="19.83203125" style="156" customWidth="1"/>
    <col min="14860" max="14860" width="12" style="156" customWidth="1"/>
    <col min="14861" max="14869" width="12" style="156" hidden="1" customWidth="1"/>
    <col min="14870" max="14870" width="15.83203125" style="156" customWidth="1"/>
    <col min="14871" max="14871" width="21" style="156" customWidth="1"/>
    <col min="14872" max="14872" width="15.83203125" style="156" customWidth="1"/>
    <col min="14873" max="14873" width="19.33203125" style="156" customWidth="1"/>
    <col min="14874" max="14874" width="14.16015625" style="156" customWidth="1"/>
    <col min="14875" max="14875" width="19.33203125" style="156" customWidth="1"/>
    <col min="14876" max="14876" width="21" style="156" customWidth="1"/>
    <col min="14877" max="14877" width="14.16015625" style="156" customWidth="1"/>
    <col min="14878" max="14878" width="19.33203125" style="156" customWidth="1"/>
    <col min="14879" max="14879" width="21" style="156" customWidth="1"/>
    <col min="14880" max="14891" width="12" style="156" customWidth="1"/>
    <col min="14892" max="14913" width="12" style="156" hidden="1" customWidth="1"/>
    <col min="14914" max="15104" width="12" style="156" customWidth="1"/>
    <col min="15105" max="15105" width="10.66015625" style="156" customWidth="1"/>
    <col min="15106" max="15106" width="2.16015625" style="156" customWidth="1"/>
    <col min="15107" max="15107" width="5.33203125" style="156" customWidth="1"/>
    <col min="15108" max="15108" width="5.5" style="156" customWidth="1"/>
    <col min="15109" max="15109" width="22" style="156" customWidth="1"/>
    <col min="15110" max="15110" width="96.5" style="156" customWidth="1"/>
    <col min="15111" max="15111" width="11.16015625" style="156" customWidth="1"/>
    <col min="15112" max="15112" width="14.33203125" style="156" customWidth="1"/>
    <col min="15113" max="15113" width="16.33203125" style="156" customWidth="1"/>
    <col min="15114" max="15114" width="30.16015625" style="156" customWidth="1"/>
    <col min="15115" max="15115" width="19.83203125" style="156" customWidth="1"/>
    <col min="15116" max="15116" width="12" style="156" customWidth="1"/>
    <col min="15117" max="15125" width="12" style="156" hidden="1" customWidth="1"/>
    <col min="15126" max="15126" width="15.83203125" style="156" customWidth="1"/>
    <col min="15127" max="15127" width="21" style="156" customWidth="1"/>
    <col min="15128" max="15128" width="15.83203125" style="156" customWidth="1"/>
    <col min="15129" max="15129" width="19.33203125" style="156" customWidth="1"/>
    <col min="15130" max="15130" width="14.16015625" style="156" customWidth="1"/>
    <col min="15131" max="15131" width="19.33203125" style="156" customWidth="1"/>
    <col min="15132" max="15132" width="21" style="156" customWidth="1"/>
    <col min="15133" max="15133" width="14.16015625" style="156" customWidth="1"/>
    <col min="15134" max="15134" width="19.33203125" style="156" customWidth="1"/>
    <col min="15135" max="15135" width="21" style="156" customWidth="1"/>
    <col min="15136" max="15147" width="12" style="156" customWidth="1"/>
    <col min="15148" max="15169" width="12" style="156" hidden="1" customWidth="1"/>
    <col min="15170" max="15360" width="12" style="156" customWidth="1"/>
    <col min="15361" max="15361" width="10.66015625" style="156" customWidth="1"/>
    <col min="15362" max="15362" width="2.16015625" style="156" customWidth="1"/>
    <col min="15363" max="15363" width="5.33203125" style="156" customWidth="1"/>
    <col min="15364" max="15364" width="5.5" style="156" customWidth="1"/>
    <col min="15365" max="15365" width="22" style="156" customWidth="1"/>
    <col min="15366" max="15366" width="96.5" style="156" customWidth="1"/>
    <col min="15367" max="15367" width="11.16015625" style="156" customWidth="1"/>
    <col min="15368" max="15368" width="14.33203125" style="156" customWidth="1"/>
    <col min="15369" max="15369" width="16.33203125" style="156" customWidth="1"/>
    <col min="15370" max="15370" width="30.16015625" style="156" customWidth="1"/>
    <col min="15371" max="15371" width="19.83203125" style="156" customWidth="1"/>
    <col min="15372" max="15372" width="12" style="156" customWidth="1"/>
    <col min="15373" max="15381" width="12" style="156" hidden="1" customWidth="1"/>
    <col min="15382" max="15382" width="15.83203125" style="156" customWidth="1"/>
    <col min="15383" max="15383" width="21" style="156" customWidth="1"/>
    <col min="15384" max="15384" width="15.83203125" style="156" customWidth="1"/>
    <col min="15385" max="15385" width="19.33203125" style="156" customWidth="1"/>
    <col min="15386" max="15386" width="14.16015625" style="156" customWidth="1"/>
    <col min="15387" max="15387" width="19.33203125" style="156" customWidth="1"/>
    <col min="15388" max="15388" width="21" style="156" customWidth="1"/>
    <col min="15389" max="15389" width="14.16015625" style="156" customWidth="1"/>
    <col min="15390" max="15390" width="19.33203125" style="156" customWidth="1"/>
    <col min="15391" max="15391" width="21" style="156" customWidth="1"/>
    <col min="15392" max="15403" width="12" style="156" customWidth="1"/>
    <col min="15404" max="15425" width="12" style="156" hidden="1" customWidth="1"/>
    <col min="15426" max="15616" width="12" style="156" customWidth="1"/>
    <col min="15617" max="15617" width="10.66015625" style="156" customWidth="1"/>
    <col min="15618" max="15618" width="2.16015625" style="156" customWidth="1"/>
    <col min="15619" max="15619" width="5.33203125" style="156" customWidth="1"/>
    <col min="15620" max="15620" width="5.5" style="156" customWidth="1"/>
    <col min="15621" max="15621" width="22" style="156" customWidth="1"/>
    <col min="15622" max="15622" width="96.5" style="156" customWidth="1"/>
    <col min="15623" max="15623" width="11.16015625" style="156" customWidth="1"/>
    <col min="15624" max="15624" width="14.33203125" style="156" customWidth="1"/>
    <col min="15625" max="15625" width="16.33203125" style="156" customWidth="1"/>
    <col min="15626" max="15626" width="30.16015625" style="156" customWidth="1"/>
    <col min="15627" max="15627" width="19.83203125" style="156" customWidth="1"/>
    <col min="15628" max="15628" width="12" style="156" customWidth="1"/>
    <col min="15629" max="15637" width="12" style="156" hidden="1" customWidth="1"/>
    <col min="15638" max="15638" width="15.83203125" style="156" customWidth="1"/>
    <col min="15639" max="15639" width="21" style="156" customWidth="1"/>
    <col min="15640" max="15640" width="15.83203125" style="156" customWidth="1"/>
    <col min="15641" max="15641" width="19.33203125" style="156" customWidth="1"/>
    <col min="15642" max="15642" width="14.16015625" style="156" customWidth="1"/>
    <col min="15643" max="15643" width="19.33203125" style="156" customWidth="1"/>
    <col min="15644" max="15644" width="21" style="156" customWidth="1"/>
    <col min="15645" max="15645" width="14.16015625" style="156" customWidth="1"/>
    <col min="15646" max="15646" width="19.33203125" style="156" customWidth="1"/>
    <col min="15647" max="15647" width="21" style="156" customWidth="1"/>
    <col min="15648" max="15659" width="12" style="156" customWidth="1"/>
    <col min="15660" max="15681" width="12" style="156" hidden="1" customWidth="1"/>
    <col min="15682" max="15872" width="12" style="156" customWidth="1"/>
    <col min="15873" max="15873" width="10.66015625" style="156" customWidth="1"/>
    <col min="15874" max="15874" width="2.16015625" style="156" customWidth="1"/>
    <col min="15875" max="15875" width="5.33203125" style="156" customWidth="1"/>
    <col min="15876" max="15876" width="5.5" style="156" customWidth="1"/>
    <col min="15877" max="15877" width="22" style="156" customWidth="1"/>
    <col min="15878" max="15878" width="96.5" style="156" customWidth="1"/>
    <col min="15879" max="15879" width="11.16015625" style="156" customWidth="1"/>
    <col min="15880" max="15880" width="14.33203125" style="156" customWidth="1"/>
    <col min="15881" max="15881" width="16.33203125" style="156" customWidth="1"/>
    <col min="15882" max="15882" width="30.16015625" style="156" customWidth="1"/>
    <col min="15883" max="15883" width="19.83203125" style="156" customWidth="1"/>
    <col min="15884" max="15884" width="12" style="156" customWidth="1"/>
    <col min="15885" max="15893" width="12" style="156" hidden="1" customWidth="1"/>
    <col min="15894" max="15894" width="15.83203125" style="156" customWidth="1"/>
    <col min="15895" max="15895" width="21" style="156" customWidth="1"/>
    <col min="15896" max="15896" width="15.83203125" style="156" customWidth="1"/>
    <col min="15897" max="15897" width="19.33203125" style="156" customWidth="1"/>
    <col min="15898" max="15898" width="14.16015625" style="156" customWidth="1"/>
    <col min="15899" max="15899" width="19.33203125" style="156" customWidth="1"/>
    <col min="15900" max="15900" width="21" style="156" customWidth="1"/>
    <col min="15901" max="15901" width="14.16015625" style="156" customWidth="1"/>
    <col min="15902" max="15902" width="19.33203125" style="156" customWidth="1"/>
    <col min="15903" max="15903" width="21" style="156" customWidth="1"/>
    <col min="15904" max="15915" width="12" style="156" customWidth="1"/>
    <col min="15916" max="15937" width="12" style="156" hidden="1" customWidth="1"/>
    <col min="15938" max="16128" width="12" style="156" customWidth="1"/>
    <col min="16129" max="16129" width="10.66015625" style="156" customWidth="1"/>
    <col min="16130" max="16130" width="2.16015625" style="156" customWidth="1"/>
    <col min="16131" max="16131" width="5.33203125" style="156" customWidth="1"/>
    <col min="16132" max="16132" width="5.5" style="156" customWidth="1"/>
    <col min="16133" max="16133" width="22" style="156" customWidth="1"/>
    <col min="16134" max="16134" width="96.5" style="156" customWidth="1"/>
    <col min="16135" max="16135" width="11.16015625" style="156" customWidth="1"/>
    <col min="16136" max="16136" width="14.33203125" style="156" customWidth="1"/>
    <col min="16137" max="16137" width="16.33203125" style="156" customWidth="1"/>
    <col min="16138" max="16138" width="30.16015625" style="156" customWidth="1"/>
    <col min="16139" max="16139" width="19.83203125" style="156" customWidth="1"/>
    <col min="16140" max="16140" width="12" style="156" customWidth="1"/>
    <col min="16141" max="16149" width="12" style="156" hidden="1" customWidth="1"/>
    <col min="16150" max="16150" width="15.83203125" style="156" customWidth="1"/>
    <col min="16151" max="16151" width="21" style="156" customWidth="1"/>
    <col min="16152" max="16152" width="15.83203125" style="156" customWidth="1"/>
    <col min="16153" max="16153" width="19.33203125" style="156" customWidth="1"/>
    <col min="16154" max="16154" width="14.16015625" style="156" customWidth="1"/>
    <col min="16155" max="16155" width="19.33203125" style="156" customWidth="1"/>
    <col min="16156" max="16156" width="21" style="156" customWidth="1"/>
    <col min="16157" max="16157" width="14.16015625" style="156" customWidth="1"/>
    <col min="16158" max="16158" width="19.33203125" style="156" customWidth="1"/>
    <col min="16159" max="16159" width="21" style="156" customWidth="1"/>
    <col min="16160" max="16171" width="12" style="156" customWidth="1"/>
    <col min="16172" max="16193" width="12" style="156" hidden="1" customWidth="1"/>
    <col min="16194" max="16384" width="12" style="156" customWidth="1"/>
  </cols>
  <sheetData>
    <row r="1" spans="1:70" ht="21.75" customHeight="1" hidden="1">
      <c r="A1" s="320"/>
      <c r="B1" s="321"/>
      <c r="C1" s="321"/>
      <c r="D1" s="322" t="s">
        <v>1</v>
      </c>
      <c r="E1" s="321"/>
      <c r="F1" s="323" t="s">
        <v>325</v>
      </c>
      <c r="G1" s="480" t="s">
        <v>326</v>
      </c>
      <c r="H1" s="480"/>
      <c r="I1" s="321"/>
      <c r="J1" s="323" t="s">
        <v>327</v>
      </c>
      <c r="K1" s="322" t="s">
        <v>93</v>
      </c>
      <c r="L1" s="323" t="s">
        <v>94</v>
      </c>
      <c r="M1" s="323"/>
      <c r="N1" s="323"/>
      <c r="O1" s="323"/>
      <c r="P1" s="323"/>
      <c r="Q1" s="323"/>
      <c r="R1" s="323"/>
      <c r="S1" s="323"/>
      <c r="T1" s="323"/>
      <c r="U1" s="324"/>
      <c r="V1" s="324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</row>
    <row r="2" spans="3:46" ht="36.95" customHeight="1" hidden="1">
      <c r="L2" s="473" t="s">
        <v>8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AT2" s="157" t="s">
        <v>580</v>
      </c>
    </row>
    <row r="3" spans="2:46" ht="6.95" customHeight="1">
      <c r="B3" s="158"/>
      <c r="C3" s="159"/>
      <c r="D3" s="159"/>
      <c r="E3" s="159"/>
      <c r="F3" s="159"/>
      <c r="G3" s="159"/>
      <c r="H3" s="159"/>
      <c r="I3" s="159"/>
      <c r="J3" s="159"/>
      <c r="K3" s="160"/>
      <c r="AT3" s="157" t="s">
        <v>95</v>
      </c>
    </row>
    <row r="4" spans="2:46" ht="36.95" customHeight="1" hidden="1">
      <c r="B4" s="161"/>
      <c r="C4" s="318"/>
      <c r="D4" s="162" t="s">
        <v>328</v>
      </c>
      <c r="E4" s="318"/>
      <c r="F4" s="318"/>
      <c r="G4" s="318"/>
      <c r="H4" s="318"/>
      <c r="I4" s="318"/>
      <c r="J4" s="318"/>
      <c r="K4" s="163"/>
      <c r="M4" s="325" t="s">
        <v>13</v>
      </c>
      <c r="AT4" s="157" t="s">
        <v>6</v>
      </c>
    </row>
    <row r="5" spans="2:11" ht="6.95" customHeight="1" hidden="1">
      <c r="B5" s="161"/>
      <c r="C5" s="318"/>
      <c r="D5" s="318"/>
      <c r="E5" s="318"/>
      <c r="F5" s="318"/>
      <c r="G5" s="318"/>
      <c r="H5" s="318"/>
      <c r="I5" s="318"/>
      <c r="J5" s="318"/>
      <c r="K5" s="163"/>
    </row>
    <row r="6" spans="2:11" ht="15" hidden="1">
      <c r="B6" s="161"/>
      <c r="C6" s="318"/>
      <c r="D6" s="164" t="s">
        <v>18</v>
      </c>
      <c r="E6" s="318"/>
      <c r="F6" s="318"/>
      <c r="G6" s="318"/>
      <c r="H6" s="318"/>
      <c r="I6" s="318"/>
      <c r="J6" s="318"/>
      <c r="K6" s="163"/>
    </row>
    <row r="7" spans="2:13" ht="22.5" customHeight="1" hidden="1">
      <c r="B7" s="161"/>
      <c r="C7" s="318"/>
      <c r="D7" s="318"/>
      <c r="E7" s="445" t="s">
        <v>609</v>
      </c>
      <c r="F7" s="446"/>
      <c r="G7" s="446"/>
      <c r="H7" s="446"/>
      <c r="I7" s="446"/>
      <c r="J7" s="446"/>
      <c r="K7" s="446"/>
      <c r="L7" s="446"/>
      <c r="M7" s="446"/>
    </row>
    <row r="8" spans="2:11" s="317" customFormat="1" ht="15" hidden="1">
      <c r="B8" s="165"/>
      <c r="C8" s="316"/>
      <c r="D8" s="164" t="s">
        <v>329</v>
      </c>
      <c r="E8" s="316"/>
      <c r="F8" s="316"/>
      <c r="G8" s="316"/>
      <c r="H8" s="316"/>
      <c r="I8" s="316"/>
      <c r="J8" s="316"/>
      <c r="K8" s="166"/>
    </row>
    <row r="9" spans="2:11" s="317" customFormat="1" ht="36.95" customHeight="1" hidden="1">
      <c r="B9" s="165"/>
      <c r="C9" s="316"/>
      <c r="D9" s="316"/>
      <c r="E9" s="475" t="s">
        <v>330</v>
      </c>
      <c r="F9" s="476"/>
      <c r="G9" s="476"/>
      <c r="H9" s="476"/>
      <c r="I9" s="316"/>
      <c r="J9" s="316"/>
      <c r="K9" s="166"/>
    </row>
    <row r="10" spans="2:11" s="317" customFormat="1" ht="13.5" hidden="1">
      <c r="B10" s="165"/>
      <c r="C10" s="316"/>
      <c r="D10" s="316"/>
      <c r="E10" s="316"/>
      <c r="F10" s="316"/>
      <c r="G10" s="316"/>
      <c r="H10" s="316"/>
      <c r="I10" s="316"/>
      <c r="J10" s="316"/>
      <c r="K10" s="166"/>
    </row>
    <row r="11" spans="2:11" s="317" customFormat="1" ht="14.45" customHeight="1" hidden="1">
      <c r="B11" s="165"/>
      <c r="C11" s="316"/>
      <c r="D11" s="164" t="s">
        <v>331</v>
      </c>
      <c r="E11" s="316"/>
      <c r="F11" s="167" t="s">
        <v>20</v>
      </c>
      <c r="G11" s="316"/>
      <c r="H11" s="316"/>
      <c r="I11" s="164" t="s">
        <v>21</v>
      </c>
      <c r="J11" s="167" t="s">
        <v>20</v>
      </c>
      <c r="K11" s="166"/>
    </row>
    <row r="12" spans="2:11" s="317" customFormat="1" ht="14.45" customHeight="1" hidden="1">
      <c r="B12" s="165"/>
      <c r="C12" s="316"/>
      <c r="D12" s="164" t="s">
        <v>22</v>
      </c>
      <c r="E12" s="316"/>
      <c r="F12" s="167" t="s">
        <v>34</v>
      </c>
      <c r="G12" s="316"/>
      <c r="H12" s="316"/>
      <c r="I12" s="164" t="s">
        <v>24</v>
      </c>
      <c r="J12" s="357">
        <v>44094</v>
      </c>
      <c r="K12" s="166"/>
    </row>
    <row r="13" spans="2:11" s="317" customFormat="1" ht="10.9" customHeight="1" hidden="1">
      <c r="B13" s="165"/>
      <c r="C13" s="316"/>
      <c r="D13" s="316"/>
      <c r="E13" s="316"/>
      <c r="F13" s="316"/>
      <c r="G13" s="316"/>
      <c r="H13" s="316"/>
      <c r="I13" s="316"/>
      <c r="J13" s="316"/>
      <c r="K13" s="166"/>
    </row>
    <row r="14" spans="2:11" s="317" customFormat="1" ht="14.45" customHeight="1" hidden="1">
      <c r="B14" s="165"/>
      <c r="C14" s="316"/>
      <c r="D14" s="164" t="s">
        <v>332</v>
      </c>
      <c r="E14" s="316"/>
      <c r="F14" s="316"/>
      <c r="G14" s="316"/>
      <c r="H14" s="316"/>
      <c r="I14" s="164" t="s">
        <v>26</v>
      </c>
      <c r="J14" s="167" t="s">
        <v>20</v>
      </c>
      <c r="K14" s="166"/>
    </row>
    <row r="15" spans="2:11" s="317" customFormat="1" ht="18" customHeight="1" hidden="1">
      <c r="B15" s="165"/>
      <c r="C15" s="316"/>
      <c r="D15" s="316"/>
      <c r="E15" s="167" t="s">
        <v>333</v>
      </c>
      <c r="F15" s="316"/>
      <c r="G15" s="316"/>
      <c r="H15" s="316"/>
      <c r="I15" s="164" t="s">
        <v>28</v>
      </c>
      <c r="J15" s="167" t="s">
        <v>20</v>
      </c>
      <c r="K15" s="166"/>
    </row>
    <row r="16" spans="2:11" s="317" customFormat="1" ht="6.95" customHeight="1" hidden="1">
      <c r="B16" s="165"/>
      <c r="C16" s="316"/>
      <c r="D16" s="316"/>
      <c r="E16" s="316"/>
      <c r="F16" s="316"/>
      <c r="G16" s="316"/>
      <c r="H16" s="316"/>
      <c r="I16" s="316"/>
      <c r="J16" s="316"/>
      <c r="K16" s="166"/>
    </row>
    <row r="17" spans="2:11" s="317" customFormat="1" ht="14.45" customHeight="1" hidden="1">
      <c r="B17" s="165"/>
      <c r="C17" s="316"/>
      <c r="D17" s="164" t="s">
        <v>334</v>
      </c>
      <c r="E17" s="316"/>
      <c r="F17" s="316"/>
      <c r="G17" s="316"/>
      <c r="H17" s="316"/>
      <c r="I17" s="164" t="s">
        <v>26</v>
      </c>
      <c r="J17" s="167">
        <f>IF('[1]Rekapitulace stavby'!AN13="Vyplň údaj","",IF('[1]Rekapitulace stavby'!AN13="","",'[1]Rekapitulace stavby'!AN13))</f>
        <v>0</v>
      </c>
      <c r="K17" s="166"/>
    </row>
    <row r="18" spans="2:11" s="317" customFormat="1" ht="18" customHeight="1" hidden="1">
      <c r="B18" s="165"/>
      <c r="C18" s="316"/>
      <c r="D18" s="316"/>
      <c r="E18" s="167" t="str">
        <f>IF('[1]Rekapitulace stavby'!E14="Vyplň údaj","",IF('[1]Rekapitulace stavby'!E14="","",'[1]Rekapitulace stavby'!E14))</f>
        <v xml:space="preserve"> </v>
      </c>
      <c r="F18" s="316"/>
      <c r="G18" s="316"/>
      <c r="H18" s="316"/>
      <c r="I18" s="164" t="s">
        <v>28</v>
      </c>
      <c r="J18" s="167">
        <f>IF('[1]Rekapitulace stavby'!AN14="Vyplň údaj","",IF('[1]Rekapitulace stavby'!AN14="","",'[1]Rekapitulace stavby'!AN14))</f>
        <v>0</v>
      </c>
      <c r="K18" s="166"/>
    </row>
    <row r="19" spans="2:11" s="317" customFormat="1" ht="6.95" customHeight="1" hidden="1">
      <c r="B19" s="165"/>
      <c r="C19" s="316"/>
      <c r="D19" s="316"/>
      <c r="E19" s="316"/>
      <c r="F19" s="316"/>
      <c r="G19" s="316"/>
      <c r="H19" s="316"/>
      <c r="I19" s="316"/>
      <c r="J19" s="316"/>
      <c r="K19" s="166"/>
    </row>
    <row r="20" spans="2:11" s="317" customFormat="1" ht="14.45" customHeight="1" hidden="1">
      <c r="B20" s="165"/>
      <c r="C20" s="316"/>
      <c r="D20" s="164" t="s">
        <v>30</v>
      </c>
      <c r="E20" s="316"/>
      <c r="F20" s="316"/>
      <c r="G20" s="316"/>
      <c r="H20" s="316"/>
      <c r="I20" s="164" t="s">
        <v>26</v>
      </c>
      <c r="J20" s="167" t="s">
        <v>20</v>
      </c>
      <c r="K20" s="166"/>
    </row>
    <row r="21" spans="2:11" s="317" customFormat="1" ht="18" customHeight="1" hidden="1">
      <c r="B21" s="165"/>
      <c r="C21" s="316"/>
      <c r="D21" s="316"/>
      <c r="E21" s="167" t="s">
        <v>34</v>
      </c>
      <c r="F21" s="316"/>
      <c r="G21" s="316"/>
      <c r="H21" s="316"/>
      <c r="I21" s="164" t="s">
        <v>28</v>
      </c>
      <c r="J21" s="167" t="s">
        <v>20</v>
      </c>
      <c r="K21" s="166"/>
    </row>
    <row r="22" spans="2:11" s="317" customFormat="1" ht="6.95" customHeight="1" hidden="1">
      <c r="B22" s="165"/>
      <c r="C22" s="316"/>
      <c r="D22" s="316"/>
      <c r="E22" s="316"/>
      <c r="F22" s="316"/>
      <c r="G22" s="316"/>
      <c r="H22" s="316"/>
      <c r="I22" s="316"/>
      <c r="J22" s="316"/>
      <c r="K22" s="166"/>
    </row>
    <row r="23" spans="2:11" s="317" customFormat="1" ht="14.45" customHeight="1" hidden="1">
      <c r="B23" s="165"/>
      <c r="C23" s="316"/>
      <c r="D23" s="164" t="s">
        <v>35</v>
      </c>
      <c r="E23" s="316"/>
      <c r="F23" s="316"/>
      <c r="G23" s="316"/>
      <c r="H23" s="316"/>
      <c r="I23" s="316"/>
      <c r="J23" s="316"/>
      <c r="K23" s="166"/>
    </row>
    <row r="24" spans="2:11" s="169" customFormat="1" ht="134.25" customHeight="1" hidden="1">
      <c r="B24" s="170"/>
      <c r="C24" s="319"/>
      <c r="D24" s="319"/>
      <c r="E24" s="481" t="s">
        <v>335</v>
      </c>
      <c r="F24" s="482"/>
      <c r="G24" s="482"/>
      <c r="H24" s="482"/>
      <c r="I24" s="319"/>
      <c r="J24" s="319"/>
      <c r="K24" s="171"/>
    </row>
    <row r="25" spans="2:11" s="317" customFormat="1" ht="6.95" customHeight="1" hidden="1">
      <c r="B25" s="165"/>
      <c r="C25" s="316"/>
      <c r="D25" s="316"/>
      <c r="E25" s="316"/>
      <c r="F25" s="316"/>
      <c r="G25" s="316"/>
      <c r="H25" s="316"/>
      <c r="I25" s="316"/>
      <c r="J25" s="316"/>
      <c r="K25" s="166"/>
    </row>
    <row r="26" spans="2:11" s="317" customFormat="1" ht="6.95" customHeight="1" hidden="1">
      <c r="B26" s="165"/>
      <c r="C26" s="316"/>
      <c r="D26" s="172"/>
      <c r="E26" s="172"/>
      <c r="F26" s="172"/>
      <c r="G26" s="172"/>
      <c r="H26" s="172"/>
      <c r="I26" s="172"/>
      <c r="J26" s="172"/>
      <c r="K26" s="173"/>
    </row>
    <row r="27" spans="2:11" s="317" customFormat="1" ht="25.35" customHeight="1" hidden="1">
      <c r="B27" s="165"/>
      <c r="C27" s="316"/>
      <c r="D27" s="174" t="s">
        <v>38</v>
      </c>
      <c r="E27" s="316"/>
      <c r="F27" s="316"/>
      <c r="G27" s="316"/>
      <c r="H27" s="316"/>
      <c r="I27" s="316"/>
      <c r="J27" s="175">
        <f>ROUND(J86,2)</f>
        <v>0</v>
      </c>
      <c r="K27" s="166"/>
    </row>
    <row r="28" spans="2:11" s="317" customFormat="1" ht="6.95" customHeight="1" hidden="1">
      <c r="B28" s="165"/>
      <c r="C28" s="316"/>
      <c r="D28" s="172"/>
      <c r="E28" s="172"/>
      <c r="F28" s="172"/>
      <c r="G28" s="172"/>
      <c r="H28" s="172"/>
      <c r="I28" s="172"/>
      <c r="J28" s="172"/>
      <c r="K28" s="173"/>
    </row>
    <row r="29" spans="2:11" s="317" customFormat="1" ht="14.45" customHeight="1" hidden="1">
      <c r="B29" s="165"/>
      <c r="C29" s="316"/>
      <c r="D29" s="316"/>
      <c r="E29" s="316"/>
      <c r="F29" s="176" t="s">
        <v>336</v>
      </c>
      <c r="G29" s="316"/>
      <c r="H29" s="316"/>
      <c r="I29" s="176" t="s">
        <v>337</v>
      </c>
      <c r="J29" s="176" t="s">
        <v>338</v>
      </c>
      <c r="K29" s="166"/>
    </row>
    <row r="30" spans="2:11" s="317" customFormat="1" ht="14.45" customHeight="1" hidden="1">
      <c r="B30" s="165"/>
      <c r="C30" s="316"/>
      <c r="D30" s="177" t="s">
        <v>39</v>
      </c>
      <c r="E30" s="177" t="s">
        <v>40</v>
      </c>
      <c r="F30" s="178">
        <f>ROUND(SUM(BE86:BE147),2)</f>
        <v>0</v>
      </c>
      <c r="G30" s="316"/>
      <c r="H30" s="316"/>
      <c r="I30" s="326">
        <v>0.21</v>
      </c>
      <c r="J30" s="178">
        <f>ROUND(ROUND((SUM(BE86:BE147)),2)*I30,2)</f>
        <v>0</v>
      </c>
      <c r="K30" s="166"/>
    </row>
    <row r="31" spans="2:11" s="317" customFormat="1" ht="14.45" customHeight="1" hidden="1">
      <c r="B31" s="165"/>
      <c r="C31" s="316"/>
      <c r="D31" s="316"/>
      <c r="E31" s="177" t="s">
        <v>42</v>
      </c>
      <c r="F31" s="178">
        <f>ROUND(SUM(BF86:BF147),2)</f>
        <v>0</v>
      </c>
      <c r="G31" s="316"/>
      <c r="H31" s="316"/>
      <c r="I31" s="326">
        <v>0.15</v>
      </c>
      <c r="J31" s="178">
        <f>ROUND(ROUND((SUM(BF86:BF147)),2)*I31,2)</f>
        <v>0</v>
      </c>
      <c r="K31" s="166"/>
    </row>
    <row r="32" spans="2:11" s="317" customFormat="1" ht="14.45" customHeight="1" hidden="1">
      <c r="B32" s="165"/>
      <c r="C32" s="316"/>
      <c r="D32" s="316"/>
      <c r="E32" s="177" t="s">
        <v>43</v>
      </c>
      <c r="F32" s="178">
        <f>ROUND(SUM(BG86:BG147),2)</f>
        <v>0</v>
      </c>
      <c r="G32" s="316"/>
      <c r="H32" s="316"/>
      <c r="I32" s="326">
        <v>0.21</v>
      </c>
      <c r="J32" s="178">
        <v>0</v>
      </c>
      <c r="K32" s="166"/>
    </row>
    <row r="33" spans="2:11" s="317" customFormat="1" ht="14.45" customHeight="1" hidden="1">
      <c r="B33" s="165"/>
      <c r="C33" s="316"/>
      <c r="D33" s="316"/>
      <c r="E33" s="177" t="s">
        <v>44</v>
      </c>
      <c r="F33" s="178">
        <f>ROUND(SUM(BH86:BH147),2)</f>
        <v>0</v>
      </c>
      <c r="G33" s="316"/>
      <c r="H33" s="316"/>
      <c r="I33" s="326">
        <v>0.15</v>
      </c>
      <c r="J33" s="178">
        <v>0</v>
      </c>
      <c r="K33" s="166"/>
    </row>
    <row r="34" spans="2:11" s="317" customFormat="1" ht="14.45" customHeight="1" hidden="1">
      <c r="B34" s="165"/>
      <c r="C34" s="316"/>
      <c r="D34" s="316"/>
      <c r="E34" s="177" t="s">
        <v>45</v>
      </c>
      <c r="F34" s="178">
        <f>ROUND(SUM(BI86:BI147),2)</f>
        <v>0</v>
      </c>
      <c r="G34" s="316"/>
      <c r="H34" s="316"/>
      <c r="I34" s="326">
        <v>0</v>
      </c>
      <c r="J34" s="178">
        <v>0</v>
      </c>
      <c r="K34" s="166"/>
    </row>
    <row r="35" spans="2:11" s="317" customFormat="1" ht="6.95" customHeight="1" hidden="1">
      <c r="B35" s="165"/>
      <c r="C35" s="316"/>
      <c r="D35" s="316"/>
      <c r="E35" s="316"/>
      <c r="F35" s="316"/>
      <c r="G35" s="316"/>
      <c r="H35" s="316"/>
      <c r="I35" s="316"/>
      <c r="J35" s="316"/>
      <c r="K35" s="166"/>
    </row>
    <row r="36" spans="2:11" s="317" customFormat="1" ht="25.35" customHeight="1" hidden="1">
      <c r="B36" s="165"/>
      <c r="C36" s="179"/>
      <c r="D36" s="180" t="s">
        <v>46</v>
      </c>
      <c r="E36" s="181"/>
      <c r="F36" s="181"/>
      <c r="G36" s="182" t="s">
        <v>47</v>
      </c>
      <c r="H36" s="183" t="s">
        <v>48</v>
      </c>
      <c r="I36" s="181"/>
      <c r="J36" s="184">
        <f>SUM(J27:J34)</f>
        <v>0</v>
      </c>
      <c r="K36" s="185"/>
    </row>
    <row r="37" spans="2:11" s="317" customFormat="1" ht="14.45" customHeight="1" hidden="1">
      <c r="B37" s="186"/>
      <c r="C37" s="187"/>
      <c r="D37" s="187"/>
      <c r="E37" s="187"/>
      <c r="F37" s="187"/>
      <c r="G37" s="187"/>
      <c r="H37" s="187"/>
      <c r="I37" s="187"/>
      <c r="J37" s="187"/>
      <c r="K37" s="188"/>
    </row>
    <row r="38" ht="13.5" hidden="1"/>
    <row r="39" ht="13.5" hidden="1"/>
    <row r="40" ht="13.5"/>
    <row r="41" spans="2:11" s="317" customFormat="1" ht="6.95" customHeight="1">
      <c r="B41" s="189"/>
      <c r="C41" s="190"/>
      <c r="D41" s="190"/>
      <c r="E41" s="190"/>
      <c r="F41" s="190"/>
      <c r="G41" s="190"/>
      <c r="H41" s="190"/>
      <c r="I41" s="190"/>
      <c r="J41" s="190"/>
      <c r="K41" s="191"/>
    </row>
    <row r="42" spans="2:11" s="317" customFormat="1" ht="36.95" customHeight="1">
      <c r="B42" s="165"/>
      <c r="C42" s="162" t="s">
        <v>339</v>
      </c>
      <c r="D42" s="316"/>
      <c r="E42" s="316"/>
      <c r="F42" s="316"/>
      <c r="G42" s="316"/>
      <c r="H42" s="316"/>
      <c r="I42" s="316"/>
      <c r="J42" s="316"/>
      <c r="K42" s="166"/>
    </row>
    <row r="43" spans="2:11" s="317" customFormat="1" ht="6.95" customHeight="1">
      <c r="B43" s="165"/>
      <c r="C43" s="316"/>
      <c r="D43" s="316"/>
      <c r="E43" s="316"/>
      <c r="F43" s="316"/>
      <c r="G43" s="316"/>
      <c r="H43" s="316"/>
      <c r="I43" s="316"/>
      <c r="J43" s="316"/>
      <c r="K43" s="166"/>
    </row>
    <row r="44" spans="2:11" s="317" customFormat="1" ht="14.45" customHeight="1">
      <c r="B44" s="165"/>
      <c r="C44" s="164" t="s">
        <v>18</v>
      </c>
      <c r="D44" s="316"/>
      <c r="E44" s="316"/>
      <c r="F44" s="316"/>
      <c r="G44" s="316"/>
      <c r="H44" s="316"/>
      <c r="I44" s="316"/>
      <c r="J44" s="316"/>
      <c r="K44" s="166"/>
    </row>
    <row r="45" spans="2:11" s="317" customFormat="1" ht="22.5" customHeight="1">
      <c r="B45" s="165"/>
      <c r="C45" s="316"/>
      <c r="D45" s="316"/>
      <c r="E45" s="483" t="str">
        <f>E7</f>
        <v>Volnočasový areál Sladovka-sociální zařízení a parkoviště</v>
      </c>
      <c r="F45" s="476"/>
      <c r="G45" s="476"/>
      <c r="H45" s="476"/>
      <c r="I45" s="316"/>
      <c r="J45" s="316"/>
      <c r="K45" s="166"/>
    </row>
    <row r="46" spans="2:11" s="317" customFormat="1" ht="14.45" customHeight="1">
      <c r="B46" s="165"/>
      <c r="C46" s="164" t="s">
        <v>329</v>
      </c>
      <c r="D46" s="316"/>
      <c r="E46" s="316"/>
      <c r="F46" s="316"/>
      <c r="G46" s="316"/>
      <c r="H46" s="316"/>
      <c r="I46" s="316"/>
      <c r="J46" s="316"/>
      <c r="K46" s="166"/>
    </row>
    <row r="47" spans="2:11" s="317" customFormat="1" ht="23.25" customHeight="1">
      <c r="B47" s="165"/>
      <c r="C47" s="316"/>
      <c r="D47" s="316"/>
      <c r="E47" s="475" t="str">
        <f>E9</f>
        <v>01 - vodovodní a kanalizační přípojka</v>
      </c>
      <c r="F47" s="476"/>
      <c r="G47" s="476"/>
      <c r="H47" s="476"/>
      <c r="I47" s="316"/>
      <c r="J47" s="316"/>
      <c r="K47" s="166"/>
    </row>
    <row r="48" spans="2:11" s="317" customFormat="1" ht="6.95" customHeight="1">
      <c r="B48" s="165"/>
      <c r="C48" s="316"/>
      <c r="D48" s="316"/>
      <c r="E48" s="316"/>
      <c r="F48" s="316"/>
      <c r="G48" s="316"/>
      <c r="H48" s="316"/>
      <c r="I48" s="316"/>
      <c r="J48" s="316"/>
      <c r="K48" s="166"/>
    </row>
    <row r="49" spans="2:11" s="317" customFormat="1" ht="18" customHeight="1">
      <c r="B49" s="165"/>
      <c r="C49" s="164" t="s">
        <v>22</v>
      </c>
      <c r="D49" s="316"/>
      <c r="E49" s="316"/>
      <c r="F49" s="167" t="s">
        <v>34</v>
      </c>
      <c r="G49" s="316"/>
      <c r="H49" s="316"/>
      <c r="I49" s="164" t="s">
        <v>24</v>
      </c>
      <c r="J49" s="168">
        <f>IF(J12="","",J12)</f>
        <v>44094</v>
      </c>
      <c r="K49" s="166"/>
    </row>
    <row r="50" spans="2:11" s="317" customFormat="1" ht="6.95" customHeight="1">
      <c r="B50" s="165"/>
      <c r="C50" s="316"/>
      <c r="D50" s="316"/>
      <c r="E50" s="316"/>
      <c r="F50" s="316"/>
      <c r="G50" s="316"/>
      <c r="H50" s="316"/>
      <c r="I50" s="316"/>
      <c r="J50" s="316"/>
      <c r="K50" s="166"/>
    </row>
    <row r="51" spans="2:11" s="317" customFormat="1" ht="15">
      <c r="B51" s="165"/>
      <c r="C51" s="164" t="s">
        <v>332</v>
      </c>
      <c r="D51" s="316"/>
      <c r="E51" s="316"/>
      <c r="F51" s="167" t="str">
        <f>E15</f>
        <v>Město Benešov, Masarykovo náměstí 100, Benešov</v>
      </c>
      <c r="G51" s="316"/>
      <c r="H51" s="316"/>
      <c r="I51" s="164" t="s">
        <v>30</v>
      </c>
      <c r="J51" s="167" t="s">
        <v>34</v>
      </c>
      <c r="K51" s="166"/>
    </row>
    <row r="52" spans="2:11" s="317" customFormat="1" ht="14.45" customHeight="1">
      <c r="B52" s="165"/>
      <c r="C52" s="164" t="s">
        <v>334</v>
      </c>
      <c r="D52" s="316"/>
      <c r="E52" s="316"/>
      <c r="F52" s="167" t="str">
        <f>IF(E18="","",E18)</f>
        <v xml:space="preserve"> </v>
      </c>
      <c r="G52" s="316"/>
      <c r="H52" s="316"/>
      <c r="I52" s="316"/>
      <c r="J52" s="316"/>
      <c r="K52" s="166"/>
    </row>
    <row r="53" spans="2:11" s="317" customFormat="1" ht="10.35" customHeight="1">
      <c r="B53" s="165"/>
      <c r="C53" s="316"/>
      <c r="D53" s="316"/>
      <c r="E53" s="316"/>
      <c r="F53" s="316"/>
      <c r="G53" s="316"/>
      <c r="H53" s="316"/>
      <c r="I53" s="316"/>
      <c r="J53" s="316"/>
      <c r="K53" s="166"/>
    </row>
    <row r="54" spans="2:11" s="317" customFormat="1" ht="29.25" customHeight="1">
      <c r="B54" s="165"/>
      <c r="C54" s="192" t="s">
        <v>340</v>
      </c>
      <c r="D54" s="179"/>
      <c r="E54" s="179"/>
      <c r="F54" s="179"/>
      <c r="G54" s="179"/>
      <c r="H54" s="179"/>
      <c r="I54" s="179"/>
      <c r="J54" s="193" t="s">
        <v>100</v>
      </c>
      <c r="K54" s="194"/>
    </row>
    <row r="55" spans="2:11" s="317" customFormat="1" ht="10.35" customHeight="1">
      <c r="B55" s="165"/>
      <c r="C55" s="316"/>
      <c r="D55" s="316"/>
      <c r="E55" s="316"/>
      <c r="F55" s="316"/>
      <c r="G55" s="316"/>
      <c r="H55" s="316"/>
      <c r="I55" s="316"/>
      <c r="J55" s="316"/>
      <c r="K55" s="166"/>
    </row>
    <row r="56" spans="2:47" s="317" customFormat="1" ht="29.25" customHeight="1">
      <c r="B56" s="165"/>
      <c r="C56" s="195" t="s">
        <v>341</v>
      </c>
      <c r="D56" s="316"/>
      <c r="E56" s="316"/>
      <c r="F56" s="316"/>
      <c r="G56" s="316"/>
      <c r="H56" s="316"/>
      <c r="I56" s="316"/>
      <c r="J56" s="175">
        <f>J86</f>
        <v>0</v>
      </c>
      <c r="K56" s="166"/>
      <c r="AU56" s="157" t="s">
        <v>102</v>
      </c>
    </row>
    <row r="57" spans="2:11" s="196" customFormat="1" ht="24.95" customHeight="1">
      <c r="B57" s="197"/>
      <c r="C57" s="198"/>
      <c r="D57" s="199" t="s">
        <v>103</v>
      </c>
      <c r="E57" s="200"/>
      <c r="F57" s="200"/>
      <c r="G57" s="200"/>
      <c r="H57" s="200"/>
      <c r="I57" s="200"/>
      <c r="J57" s="201">
        <f>J87</f>
        <v>0</v>
      </c>
      <c r="K57" s="202"/>
    </row>
    <row r="58" spans="2:11" s="203" customFormat="1" ht="19.9" customHeight="1">
      <c r="B58" s="204"/>
      <c r="C58" s="205"/>
      <c r="D58" s="206" t="s">
        <v>104</v>
      </c>
      <c r="E58" s="207"/>
      <c r="F58" s="207"/>
      <c r="G58" s="207"/>
      <c r="H58" s="207"/>
      <c r="I58" s="207"/>
      <c r="J58" s="208">
        <f>J88</f>
        <v>0</v>
      </c>
      <c r="K58" s="209"/>
    </row>
    <row r="59" spans="2:11" s="203" customFormat="1" ht="19.9" customHeight="1">
      <c r="B59" s="204"/>
      <c r="C59" s="205"/>
      <c r="D59" s="206" t="s">
        <v>342</v>
      </c>
      <c r="E59" s="207"/>
      <c r="F59" s="207"/>
      <c r="G59" s="207"/>
      <c r="H59" s="207"/>
      <c r="I59" s="207"/>
      <c r="J59" s="208">
        <f>J103</f>
        <v>0</v>
      </c>
      <c r="K59" s="209"/>
    </row>
    <row r="60" spans="2:11" s="203" customFormat="1" ht="19.9" customHeight="1">
      <c r="B60" s="204"/>
      <c r="C60" s="205"/>
      <c r="D60" s="206" t="s">
        <v>107</v>
      </c>
      <c r="E60" s="207"/>
      <c r="F60" s="207"/>
      <c r="G60" s="207"/>
      <c r="H60" s="207"/>
      <c r="I60" s="207"/>
      <c r="J60" s="208">
        <f>J105</f>
        <v>0</v>
      </c>
      <c r="K60" s="209"/>
    </row>
    <row r="61" spans="2:11" s="203" customFormat="1" ht="19.9" customHeight="1">
      <c r="B61" s="204"/>
      <c r="C61" s="205"/>
      <c r="D61" s="206" t="s">
        <v>109</v>
      </c>
      <c r="E61" s="207"/>
      <c r="F61" s="207"/>
      <c r="G61" s="207"/>
      <c r="H61" s="207"/>
      <c r="I61" s="207"/>
      <c r="J61" s="208">
        <f>J109</f>
        <v>0</v>
      </c>
      <c r="K61" s="209"/>
    </row>
    <row r="62" spans="2:11" s="203" customFormat="1" ht="19.9" customHeight="1">
      <c r="B62" s="204"/>
      <c r="C62" s="205"/>
      <c r="D62" s="206" t="s">
        <v>111</v>
      </c>
      <c r="E62" s="207"/>
      <c r="F62" s="207"/>
      <c r="G62" s="207"/>
      <c r="H62" s="207"/>
      <c r="I62" s="207"/>
      <c r="J62" s="208">
        <f>J132</f>
        <v>0</v>
      </c>
      <c r="K62" s="209"/>
    </row>
    <row r="63" spans="2:11" s="203" customFormat="1" ht="19.9" customHeight="1">
      <c r="B63" s="204"/>
      <c r="C63" s="205"/>
      <c r="D63" s="206" t="s">
        <v>112</v>
      </c>
      <c r="E63" s="207"/>
      <c r="F63" s="207"/>
      <c r="G63" s="207"/>
      <c r="H63" s="207"/>
      <c r="I63" s="207"/>
      <c r="J63" s="208">
        <f>J137</f>
        <v>0</v>
      </c>
      <c r="K63" s="209"/>
    </row>
    <row r="64" spans="2:11" s="196" customFormat="1" ht="24.95" customHeight="1">
      <c r="B64" s="197"/>
      <c r="C64" s="198"/>
      <c r="D64" s="199" t="s">
        <v>343</v>
      </c>
      <c r="E64" s="200"/>
      <c r="F64" s="200"/>
      <c r="G64" s="200"/>
      <c r="H64" s="200"/>
      <c r="I64" s="200"/>
      <c r="J64" s="201">
        <f>J141</f>
        <v>0</v>
      </c>
      <c r="K64" s="202"/>
    </row>
    <row r="65" spans="2:11" s="203" customFormat="1" ht="19.9" customHeight="1">
      <c r="B65" s="204"/>
      <c r="C65" s="205"/>
      <c r="D65" s="206" t="s">
        <v>344</v>
      </c>
      <c r="E65" s="207"/>
      <c r="F65" s="207"/>
      <c r="G65" s="207"/>
      <c r="H65" s="207"/>
      <c r="I65" s="207"/>
      <c r="J65" s="208">
        <f>J142</f>
        <v>0</v>
      </c>
      <c r="K65" s="209"/>
    </row>
    <row r="66" spans="2:11" s="203" customFormat="1" ht="19.9" customHeight="1">
      <c r="B66" s="204"/>
      <c r="C66" s="205"/>
      <c r="D66" s="206" t="s">
        <v>345</v>
      </c>
      <c r="E66" s="207"/>
      <c r="F66" s="207"/>
      <c r="G66" s="207"/>
      <c r="H66" s="207"/>
      <c r="I66" s="207"/>
      <c r="J66" s="208">
        <f>J144</f>
        <v>0</v>
      </c>
      <c r="K66" s="209"/>
    </row>
    <row r="67" spans="2:11" s="317" customFormat="1" ht="21.75" customHeight="1">
      <c r="B67" s="165"/>
      <c r="C67" s="316"/>
      <c r="D67" s="316"/>
      <c r="E67" s="316"/>
      <c r="F67" s="316"/>
      <c r="G67" s="316"/>
      <c r="H67" s="316"/>
      <c r="I67" s="316"/>
      <c r="J67" s="316"/>
      <c r="K67" s="166"/>
    </row>
    <row r="68" spans="2:11" s="317" customFormat="1" ht="6.95" customHeight="1">
      <c r="B68" s="186"/>
      <c r="C68" s="187"/>
      <c r="D68" s="187"/>
      <c r="E68" s="187"/>
      <c r="F68" s="187"/>
      <c r="G68" s="187"/>
      <c r="H68" s="187"/>
      <c r="I68" s="187"/>
      <c r="J68" s="187"/>
      <c r="K68" s="188"/>
    </row>
    <row r="72" spans="2:12" s="317" customFormat="1" ht="6.95" customHeight="1">
      <c r="B72" s="189"/>
      <c r="C72" s="190"/>
      <c r="D72" s="190"/>
      <c r="E72" s="190"/>
      <c r="F72" s="190"/>
      <c r="G72" s="190"/>
      <c r="H72" s="190"/>
      <c r="I72" s="190"/>
      <c r="J72" s="190"/>
      <c r="K72" s="190"/>
      <c r="L72" s="165"/>
    </row>
    <row r="73" spans="2:12" s="317" customFormat="1" ht="36.95" customHeight="1">
      <c r="B73" s="165"/>
      <c r="C73" s="210" t="s">
        <v>346</v>
      </c>
      <c r="L73" s="165"/>
    </row>
    <row r="74" spans="2:12" s="317" customFormat="1" ht="6.95" customHeight="1">
      <c r="B74" s="165"/>
      <c r="L74" s="165"/>
    </row>
    <row r="75" spans="2:12" s="317" customFormat="1" ht="14.45" customHeight="1">
      <c r="B75" s="165"/>
      <c r="C75" s="211" t="s">
        <v>18</v>
      </c>
      <c r="L75" s="165"/>
    </row>
    <row r="76" spans="2:12" s="317" customFormat="1" ht="22.5" customHeight="1">
      <c r="B76" s="165"/>
      <c r="E76" s="477" t="str">
        <f>E7</f>
        <v>Volnočasový areál Sladovka-sociální zařízení a parkoviště</v>
      </c>
      <c r="F76" s="478"/>
      <c r="G76" s="478"/>
      <c r="H76" s="478"/>
      <c r="L76" s="165"/>
    </row>
    <row r="77" spans="2:12" s="317" customFormat="1" ht="14.45" customHeight="1">
      <c r="B77" s="165"/>
      <c r="C77" s="211" t="s">
        <v>329</v>
      </c>
      <c r="L77" s="165"/>
    </row>
    <row r="78" spans="2:12" s="317" customFormat="1" ht="23.25" customHeight="1">
      <c r="B78" s="165"/>
      <c r="E78" s="479" t="str">
        <f>E9</f>
        <v>01 - vodovodní a kanalizační přípojka</v>
      </c>
      <c r="F78" s="478"/>
      <c r="G78" s="478"/>
      <c r="H78" s="478"/>
      <c r="L78" s="165"/>
    </row>
    <row r="79" spans="2:12" s="317" customFormat="1" ht="6.95" customHeight="1">
      <c r="B79" s="165"/>
      <c r="L79" s="165"/>
    </row>
    <row r="80" spans="2:12" s="317" customFormat="1" ht="18" customHeight="1">
      <c r="B80" s="165"/>
      <c r="C80" s="211" t="s">
        <v>22</v>
      </c>
      <c r="F80" s="212" t="str">
        <f>F12</f>
        <v xml:space="preserve"> </v>
      </c>
      <c r="I80" s="211" t="s">
        <v>24</v>
      </c>
      <c r="J80" s="213" t="s">
        <v>34</v>
      </c>
      <c r="L80" s="165"/>
    </row>
    <row r="81" spans="2:12" s="317" customFormat="1" ht="6.95" customHeight="1">
      <c r="B81" s="165"/>
      <c r="L81" s="165"/>
    </row>
    <row r="82" spans="2:12" s="317" customFormat="1" ht="15">
      <c r="B82" s="165"/>
      <c r="C82" s="211" t="s">
        <v>332</v>
      </c>
      <c r="F82" s="212" t="str">
        <f>E15</f>
        <v>Město Benešov, Masarykovo náměstí 100, Benešov</v>
      </c>
      <c r="I82" s="211" t="s">
        <v>30</v>
      </c>
      <c r="J82" s="212" t="str">
        <f>E21</f>
        <v xml:space="preserve"> </v>
      </c>
      <c r="L82" s="165"/>
    </row>
    <row r="83" spans="2:12" s="317" customFormat="1" ht="14.45" customHeight="1">
      <c r="B83" s="165"/>
      <c r="C83" s="211" t="s">
        <v>334</v>
      </c>
      <c r="F83" s="212" t="str">
        <f>IF(E18="","",E18)</f>
        <v xml:space="preserve"> </v>
      </c>
      <c r="L83" s="165"/>
    </row>
    <row r="84" spans="2:12" s="317" customFormat="1" ht="10.35" customHeight="1">
      <c r="B84" s="165"/>
      <c r="L84" s="165"/>
    </row>
    <row r="85" spans="2:20" s="214" customFormat="1" ht="29.25" customHeight="1">
      <c r="B85" s="215"/>
      <c r="C85" s="216" t="s">
        <v>128</v>
      </c>
      <c r="D85" s="217" t="s">
        <v>129</v>
      </c>
      <c r="E85" s="217" t="s">
        <v>57</v>
      </c>
      <c r="F85" s="217" t="s">
        <v>130</v>
      </c>
      <c r="G85" s="217" t="s">
        <v>131</v>
      </c>
      <c r="H85" s="217" t="s">
        <v>132</v>
      </c>
      <c r="I85" s="327" t="s">
        <v>133</v>
      </c>
      <c r="J85" s="217" t="s">
        <v>100</v>
      </c>
      <c r="K85" s="218" t="s">
        <v>347</v>
      </c>
      <c r="L85" s="215"/>
      <c r="M85" s="328" t="s">
        <v>134</v>
      </c>
      <c r="N85" s="329" t="s">
        <v>39</v>
      </c>
      <c r="O85" s="329" t="s">
        <v>135</v>
      </c>
      <c r="P85" s="329" t="s">
        <v>136</v>
      </c>
      <c r="Q85" s="329" t="s">
        <v>137</v>
      </c>
      <c r="R85" s="329" t="s">
        <v>138</v>
      </c>
      <c r="S85" s="329" t="s">
        <v>139</v>
      </c>
      <c r="T85" s="330" t="s">
        <v>140</v>
      </c>
    </row>
    <row r="86" spans="2:63" s="317" customFormat="1" ht="29.25" customHeight="1">
      <c r="B86" s="165"/>
      <c r="C86" s="219" t="s">
        <v>341</v>
      </c>
      <c r="J86" s="220">
        <f>SUM(J87+J141)</f>
        <v>0</v>
      </c>
      <c r="L86" s="165"/>
      <c r="M86" s="331"/>
      <c r="N86" s="172"/>
      <c r="O86" s="172"/>
      <c r="P86" s="332" t="e">
        <f>P87+P141</f>
        <v>#REF!</v>
      </c>
      <c r="Q86" s="172"/>
      <c r="R86" s="332" t="e">
        <f>R87+R141</f>
        <v>#REF!</v>
      </c>
      <c r="S86" s="172"/>
      <c r="T86" s="333" t="e">
        <f>T87+T141</f>
        <v>#REF!</v>
      </c>
      <c r="AT86" s="157" t="s">
        <v>74</v>
      </c>
      <c r="AU86" s="157" t="s">
        <v>102</v>
      </c>
      <c r="BK86" s="221" t="e">
        <f>BK87+BK141</f>
        <v>#REF!</v>
      </c>
    </row>
    <row r="87" spans="2:63" s="222" customFormat="1" ht="37.35" customHeight="1">
      <c r="B87" s="223"/>
      <c r="D87" s="224" t="s">
        <v>74</v>
      </c>
      <c r="E87" s="225" t="s">
        <v>348</v>
      </c>
      <c r="F87" s="225" t="s">
        <v>349</v>
      </c>
      <c r="J87" s="226">
        <f>SUM(J88+J103+J105+J109+J132+J137)</f>
        <v>0</v>
      </c>
      <c r="L87" s="223"/>
      <c r="M87" s="334"/>
      <c r="N87" s="335"/>
      <c r="O87" s="335"/>
      <c r="P87" s="336" t="e">
        <f>P88+P103+P105+P109+#REF!+P132+P137</f>
        <v>#REF!</v>
      </c>
      <c r="Q87" s="335"/>
      <c r="R87" s="336" t="e">
        <f>R88+R103+R105+R109+#REF!+R132+R137</f>
        <v>#REF!</v>
      </c>
      <c r="S87" s="335"/>
      <c r="T87" s="337" t="e">
        <f>T88+T103+T105+T109+#REF!+T132+T137</f>
        <v>#REF!</v>
      </c>
      <c r="AR87" s="224" t="s">
        <v>80</v>
      </c>
      <c r="AT87" s="227" t="s">
        <v>74</v>
      </c>
      <c r="AU87" s="227" t="s">
        <v>75</v>
      </c>
      <c r="AY87" s="224" t="s">
        <v>141</v>
      </c>
      <c r="BK87" s="228" t="e">
        <f>BK88+BK103+BK105+BK109+#REF!+BK132+BK137</f>
        <v>#REF!</v>
      </c>
    </row>
    <row r="88" spans="2:63" s="222" customFormat="1" ht="19.9" customHeight="1">
      <c r="B88" s="223"/>
      <c r="D88" s="229" t="s">
        <v>74</v>
      </c>
      <c r="E88" s="230" t="s">
        <v>80</v>
      </c>
      <c r="F88" s="230" t="s">
        <v>350</v>
      </c>
      <c r="J88" s="231">
        <f>BK88</f>
        <v>0</v>
      </c>
      <c r="L88" s="223"/>
      <c r="M88" s="334"/>
      <c r="N88" s="335"/>
      <c r="O88" s="335"/>
      <c r="P88" s="336">
        <f>SUM(P89:P102)</f>
        <v>132.49838799999998</v>
      </c>
      <c r="Q88" s="335"/>
      <c r="R88" s="336">
        <f>SUM(R89:R102)</f>
        <v>0</v>
      </c>
      <c r="S88" s="335"/>
      <c r="T88" s="337">
        <f>SUM(T89:T102)</f>
        <v>5.672</v>
      </c>
      <c r="AR88" s="224" t="s">
        <v>80</v>
      </c>
      <c r="AT88" s="227" t="s">
        <v>74</v>
      </c>
      <c r="AU88" s="227" t="s">
        <v>80</v>
      </c>
      <c r="AY88" s="224" t="s">
        <v>141</v>
      </c>
      <c r="BK88" s="228">
        <f>SUM(BK89:BK102)</f>
        <v>0</v>
      </c>
    </row>
    <row r="89" spans="2:65" s="317" customFormat="1" ht="22.5" customHeight="1">
      <c r="B89" s="232"/>
      <c r="C89" s="233" t="s">
        <v>80</v>
      </c>
      <c r="D89" s="233" t="s">
        <v>142</v>
      </c>
      <c r="E89" s="234" t="s">
        <v>351</v>
      </c>
      <c r="F89" s="235" t="s">
        <v>352</v>
      </c>
      <c r="G89" s="236" t="s">
        <v>144</v>
      </c>
      <c r="H89" s="237">
        <v>8</v>
      </c>
      <c r="I89" s="238"/>
      <c r="J89" s="238">
        <f aca="true" t="shared" si="0" ref="J89:J102">ROUND(I89*H89,2)</f>
        <v>0</v>
      </c>
      <c r="K89" s="235" t="s">
        <v>581</v>
      </c>
      <c r="L89" s="165"/>
      <c r="M89" s="338" t="s">
        <v>20</v>
      </c>
      <c r="N89" s="339" t="s">
        <v>40</v>
      </c>
      <c r="O89" s="340">
        <v>1.512</v>
      </c>
      <c r="P89" s="340">
        <f aca="true" t="shared" si="1" ref="P89:P102">O89*H89</f>
        <v>12.096</v>
      </c>
      <c r="Q89" s="340">
        <v>0</v>
      </c>
      <c r="R89" s="340">
        <f aca="true" t="shared" si="2" ref="R89:R102">Q89*H89</f>
        <v>0</v>
      </c>
      <c r="S89" s="340">
        <v>0.709</v>
      </c>
      <c r="T89" s="341">
        <f aca="true" t="shared" si="3" ref="T89:T102">S89*H89</f>
        <v>5.672</v>
      </c>
      <c r="AR89" s="157" t="s">
        <v>145</v>
      </c>
      <c r="AT89" s="157" t="s">
        <v>142</v>
      </c>
      <c r="AU89" s="157" t="s">
        <v>95</v>
      </c>
      <c r="AY89" s="157" t="s">
        <v>141</v>
      </c>
      <c r="BE89" s="239">
        <f aca="true" t="shared" si="4" ref="BE89:BE102">IF(N89="základní",J89,0)</f>
        <v>0</v>
      </c>
      <c r="BF89" s="239">
        <f aca="true" t="shared" si="5" ref="BF89:BF102">IF(N89="snížená",J89,0)</f>
        <v>0</v>
      </c>
      <c r="BG89" s="239">
        <f aca="true" t="shared" si="6" ref="BG89:BG102">IF(N89="zákl. přenesená",J89,0)</f>
        <v>0</v>
      </c>
      <c r="BH89" s="239">
        <f aca="true" t="shared" si="7" ref="BH89:BH102">IF(N89="sníž. přenesená",J89,0)</f>
        <v>0</v>
      </c>
      <c r="BI89" s="239">
        <f aca="true" t="shared" si="8" ref="BI89:BI102">IF(N89="nulová",J89,0)</f>
        <v>0</v>
      </c>
      <c r="BJ89" s="157" t="s">
        <v>80</v>
      </c>
      <c r="BK89" s="239">
        <f aca="true" t="shared" si="9" ref="BK89:BK102">ROUND(I89*H89,2)</f>
        <v>0</v>
      </c>
      <c r="BL89" s="157" t="s">
        <v>145</v>
      </c>
      <c r="BM89" s="157" t="s">
        <v>353</v>
      </c>
    </row>
    <row r="90" spans="2:65" s="317" customFormat="1" ht="22.5" customHeight="1">
      <c r="B90" s="232"/>
      <c r="C90" s="233" t="s">
        <v>95</v>
      </c>
      <c r="D90" s="233" t="s">
        <v>142</v>
      </c>
      <c r="E90" s="234" t="s">
        <v>356</v>
      </c>
      <c r="F90" s="235" t="s">
        <v>357</v>
      </c>
      <c r="G90" s="236" t="s">
        <v>150</v>
      </c>
      <c r="H90" s="237">
        <v>6</v>
      </c>
      <c r="I90" s="238"/>
      <c r="J90" s="238">
        <f t="shared" si="0"/>
        <v>0</v>
      </c>
      <c r="K90" s="235" t="s">
        <v>581</v>
      </c>
      <c r="L90" s="165"/>
      <c r="M90" s="338" t="s">
        <v>20</v>
      </c>
      <c r="N90" s="339" t="s">
        <v>40</v>
      </c>
      <c r="O90" s="340">
        <v>0.871</v>
      </c>
      <c r="P90" s="340">
        <f t="shared" si="1"/>
        <v>5.226</v>
      </c>
      <c r="Q90" s="340">
        <v>0</v>
      </c>
      <c r="R90" s="340">
        <f t="shared" si="2"/>
        <v>0</v>
      </c>
      <c r="S90" s="340">
        <v>0</v>
      </c>
      <c r="T90" s="341">
        <f t="shared" si="3"/>
        <v>0</v>
      </c>
      <c r="AR90" s="157" t="s">
        <v>145</v>
      </c>
      <c r="AT90" s="157" t="s">
        <v>142</v>
      </c>
      <c r="AU90" s="157" t="s">
        <v>95</v>
      </c>
      <c r="AY90" s="157" t="s">
        <v>141</v>
      </c>
      <c r="BE90" s="239">
        <f t="shared" si="4"/>
        <v>0</v>
      </c>
      <c r="BF90" s="239">
        <f t="shared" si="5"/>
        <v>0</v>
      </c>
      <c r="BG90" s="239">
        <f t="shared" si="6"/>
        <v>0</v>
      </c>
      <c r="BH90" s="239">
        <f t="shared" si="7"/>
        <v>0</v>
      </c>
      <c r="BI90" s="239">
        <f t="shared" si="8"/>
        <v>0</v>
      </c>
      <c r="BJ90" s="157" t="s">
        <v>80</v>
      </c>
      <c r="BK90" s="239">
        <f t="shared" si="9"/>
        <v>0</v>
      </c>
      <c r="BL90" s="157" t="s">
        <v>145</v>
      </c>
      <c r="BM90" s="157" t="s">
        <v>358</v>
      </c>
    </row>
    <row r="91" spans="2:65" s="317" customFormat="1" ht="22.5" customHeight="1">
      <c r="B91" s="232"/>
      <c r="C91" s="233" t="s">
        <v>147</v>
      </c>
      <c r="D91" s="233" t="s">
        <v>142</v>
      </c>
      <c r="E91" s="234" t="s">
        <v>359</v>
      </c>
      <c r="F91" s="235" t="s">
        <v>360</v>
      </c>
      <c r="G91" s="236" t="s">
        <v>150</v>
      </c>
      <c r="H91" s="237">
        <v>1.8</v>
      </c>
      <c r="I91" s="238"/>
      <c r="J91" s="238">
        <f t="shared" si="0"/>
        <v>0</v>
      </c>
      <c r="K91" s="235" t="s">
        <v>581</v>
      </c>
      <c r="L91" s="165"/>
      <c r="M91" s="338" t="s">
        <v>20</v>
      </c>
      <c r="N91" s="339" t="s">
        <v>40</v>
      </c>
      <c r="O91" s="340">
        <v>0.04</v>
      </c>
      <c r="P91" s="340">
        <f t="shared" si="1"/>
        <v>0.07200000000000001</v>
      </c>
      <c r="Q91" s="340">
        <v>0</v>
      </c>
      <c r="R91" s="340">
        <f t="shared" si="2"/>
        <v>0</v>
      </c>
      <c r="S91" s="340">
        <v>0</v>
      </c>
      <c r="T91" s="341">
        <f t="shared" si="3"/>
        <v>0</v>
      </c>
      <c r="AR91" s="157" t="s">
        <v>145</v>
      </c>
      <c r="AT91" s="157" t="s">
        <v>142</v>
      </c>
      <c r="AU91" s="157" t="s">
        <v>95</v>
      </c>
      <c r="AY91" s="157" t="s">
        <v>141</v>
      </c>
      <c r="BE91" s="239">
        <f t="shared" si="4"/>
        <v>0</v>
      </c>
      <c r="BF91" s="239">
        <f t="shared" si="5"/>
        <v>0</v>
      </c>
      <c r="BG91" s="239">
        <f t="shared" si="6"/>
        <v>0</v>
      </c>
      <c r="BH91" s="239">
        <f t="shared" si="7"/>
        <v>0</v>
      </c>
      <c r="BI91" s="239">
        <f t="shared" si="8"/>
        <v>0</v>
      </c>
      <c r="BJ91" s="157" t="s">
        <v>80</v>
      </c>
      <c r="BK91" s="239">
        <f t="shared" si="9"/>
        <v>0</v>
      </c>
      <c r="BL91" s="157" t="s">
        <v>145</v>
      </c>
      <c r="BM91" s="157" t="s">
        <v>361</v>
      </c>
    </row>
    <row r="92" spans="2:65" s="317" customFormat="1" ht="22.5" customHeight="1">
      <c r="B92" s="232"/>
      <c r="C92" s="233" t="s">
        <v>145</v>
      </c>
      <c r="D92" s="233" t="s">
        <v>142</v>
      </c>
      <c r="E92" s="234" t="s">
        <v>148</v>
      </c>
      <c r="F92" s="235" t="s">
        <v>149</v>
      </c>
      <c r="G92" s="236" t="s">
        <v>150</v>
      </c>
      <c r="H92" s="237">
        <v>27.12</v>
      </c>
      <c r="I92" s="238"/>
      <c r="J92" s="238">
        <f t="shared" si="0"/>
        <v>0</v>
      </c>
      <c r="K92" s="235" t="s">
        <v>581</v>
      </c>
      <c r="L92" s="165"/>
      <c r="M92" s="338" t="s">
        <v>20</v>
      </c>
      <c r="N92" s="339" t="s">
        <v>40</v>
      </c>
      <c r="O92" s="340">
        <v>2.32</v>
      </c>
      <c r="P92" s="340">
        <f t="shared" si="1"/>
        <v>62.9184</v>
      </c>
      <c r="Q92" s="340">
        <v>0</v>
      </c>
      <c r="R92" s="340">
        <f t="shared" si="2"/>
        <v>0</v>
      </c>
      <c r="S92" s="340">
        <v>0</v>
      </c>
      <c r="T92" s="341">
        <f t="shared" si="3"/>
        <v>0</v>
      </c>
      <c r="AR92" s="157" t="s">
        <v>145</v>
      </c>
      <c r="AT92" s="157" t="s">
        <v>142</v>
      </c>
      <c r="AU92" s="157" t="s">
        <v>95</v>
      </c>
      <c r="AY92" s="157" t="s">
        <v>141</v>
      </c>
      <c r="BE92" s="239">
        <f t="shared" si="4"/>
        <v>0</v>
      </c>
      <c r="BF92" s="239">
        <f t="shared" si="5"/>
        <v>0</v>
      </c>
      <c r="BG92" s="239">
        <f t="shared" si="6"/>
        <v>0</v>
      </c>
      <c r="BH92" s="239">
        <f t="shared" si="7"/>
        <v>0</v>
      </c>
      <c r="BI92" s="239">
        <f t="shared" si="8"/>
        <v>0</v>
      </c>
      <c r="BJ92" s="157" t="s">
        <v>80</v>
      </c>
      <c r="BK92" s="239">
        <f t="shared" si="9"/>
        <v>0</v>
      </c>
      <c r="BL92" s="157" t="s">
        <v>145</v>
      </c>
      <c r="BM92" s="157" t="s">
        <v>362</v>
      </c>
    </row>
    <row r="93" spans="2:65" s="317" customFormat="1" ht="22.5" customHeight="1">
      <c r="B93" s="232"/>
      <c r="C93" s="233" t="s">
        <v>155</v>
      </c>
      <c r="D93" s="233" t="s">
        <v>142</v>
      </c>
      <c r="E93" s="234" t="s">
        <v>152</v>
      </c>
      <c r="F93" s="235" t="s">
        <v>153</v>
      </c>
      <c r="G93" s="236" t="s">
        <v>150</v>
      </c>
      <c r="H93" s="237">
        <v>8.136</v>
      </c>
      <c r="I93" s="238"/>
      <c r="J93" s="238">
        <f t="shared" si="0"/>
        <v>0</v>
      </c>
      <c r="K93" s="235" t="s">
        <v>581</v>
      </c>
      <c r="L93" s="165"/>
      <c r="M93" s="338" t="s">
        <v>20</v>
      </c>
      <c r="N93" s="339" t="s">
        <v>40</v>
      </c>
      <c r="O93" s="340">
        <v>0.654</v>
      </c>
      <c r="P93" s="340">
        <f t="shared" si="1"/>
        <v>5.320944</v>
      </c>
      <c r="Q93" s="340">
        <v>0</v>
      </c>
      <c r="R93" s="340">
        <f t="shared" si="2"/>
        <v>0</v>
      </c>
      <c r="S93" s="340">
        <v>0</v>
      </c>
      <c r="T93" s="341">
        <f t="shared" si="3"/>
        <v>0</v>
      </c>
      <c r="AR93" s="157" t="s">
        <v>145</v>
      </c>
      <c r="AT93" s="157" t="s">
        <v>142</v>
      </c>
      <c r="AU93" s="157" t="s">
        <v>95</v>
      </c>
      <c r="AY93" s="157" t="s">
        <v>141</v>
      </c>
      <c r="BE93" s="239">
        <f t="shared" si="4"/>
        <v>0</v>
      </c>
      <c r="BF93" s="239">
        <f t="shared" si="5"/>
        <v>0</v>
      </c>
      <c r="BG93" s="239">
        <f t="shared" si="6"/>
        <v>0</v>
      </c>
      <c r="BH93" s="239">
        <f t="shared" si="7"/>
        <v>0</v>
      </c>
      <c r="BI93" s="239">
        <f t="shared" si="8"/>
        <v>0</v>
      </c>
      <c r="BJ93" s="157" t="s">
        <v>80</v>
      </c>
      <c r="BK93" s="239">
        <f t="shared" si="9"/>
        <v>0</v>
      </c>
      <c r="BL93" s="157" t="s">
        <v>145</v>
      </c>
      <c r="BM93" s="157" t="s">
        <v>363</v>
      </c>
    </row>
    <row r="94" spans="2:65" s="317" customFormat="1" ht="22.5" customHeight="1">
      <c r="B94" s="232"/>
      <c r="C94" s="233" t="s">
        <v>159</v>
      </c>
      <c r="D94" s="233" t="s">
        <v>142</v>
      </c>
      <c r="E94" s="234" t="s">
        <v>364</v>
      </c>
      <c r="F94" s="235" t="s">
        <v>365</v>
      </c>
      <c r="G94" s="236" t="s">
        <v>150</v>
      </c>
      <c r="H94" s="237">
        <v>33.12</v>
      </c>
      <c r="I94" s="238"/>
      <c r="J94" s="238">
        <f t="shared" si="0"/>
        <v>0</v>
      </c>
      <c r="K94" s="235" t="s">
        <v>581</v>
      </c>
      <c r="L94" s="165"/>
      <c r="M94" s="338" t="s">
        <v>20</v>
      </c>
      <c r="N94" s="339" t="s">
        <v>40</v>
      </c>
      <c r="O94" s="340">
        <v>0.345</v>
      </c>
      <c r="P94" s="340">
        <f t="shared" si="1"/>
        <v>11.426399999999997</v>
      </c>
      <c r="Q94" s="340">
        <v>0</v>
      </c>
      <c r="R94" s="340">
        <f t="shared" si="2"/>
        <v>0</v>
      </c>
      <c r="S94" s="340">
        <v>0</v>
      </c>
      <c r="T94" s="341">
        <f t="shared" si="3"/>
        <v>0</v>
      </c>
      <c r="AR94" s="157" t="s">
        <v>145</v>
      </c>
      <c r="AT94" s="157" t="s">
        <v>142</v>
      </c>
      <c r="AU94" s="157" t="s">
        <v>95</v>
      </c>
      <c r="AY94" s="157" t="s">
        <v>141</v>
      </c>
      <c r="BE94" s="239">
        <f t="shared" si="4"/>
        <v>0</v>
      </c>
      <c r="BF94" s="239">
        <f t="shared" si="5"/>
        <v>0</v>
      </c>
      <c r="BG94" s="239">
        <f t="shared" si="6"/>
        <v>0</v>
      </c>
      <c r="BH94" s="239">
        <f t="shared" si="7"/>
        <v>0</v>
      </c>
      <c r="BI94" s="239">
        <f t="shared" si="8"/>
        <v>0</v>
      </c>
      <c r="BJ94" s="157" t="s">
        <v>80</v>
      </c>
      <c r="BK94" s="239">
        <f t="shared" si="9"/>
        <v>0</v>
      </c>
      <c r="BL94" s="157" t="s">
        <v>145</v>
      </c>
      <c r="BM94" s="157" t="s">
        <v>366</v>
      </c>
    </row>
    <row r="95" spans="2:65" s="317" customFormat="1" ht="22.5" customHeight="1">
      <c r="B95" s="232"/>
      <c r="C95" s="233" t="s">
        <v>163</v>
      </c>
      <c r="D95" s="233" t="s">
        <v>142</v>
      </c>
      <c r="E95" s="234" t="s">
        <v>367</v>
      </c>
      <c r="F95" s="235" t="s">
        <v>368</v>
      </c>
      <c r="G95" s="236" t="s">
        <v>150</v>
      </c>
      <c r="H95" s="237">
        <v>54.884</v>
      </c>
      <c r="I95" s="238"/>
      <c r="J95" s="238">
        <f t="shared" si="0"/>
        <v>0</v>
      </c>
      <c r="K95" s="235" t="s">
        <v>581</v>
      </c>
      <c r="L95" s="165"/>
      <c r="M95" s="338" t="s">
        <v>20</v>
      </c>
      <c r="N95" s="339" t="s">
        <v>40</v>
      </c>
      <c r="O95" s="340">
        <v>0.074</v>
      </c>
      <c r="P95" s="340">
        <f t="shared" si="1"/>
        <v>4.0614159999999995</v>
      </c>
      <c r="Q95" s="340">
        <v>0</v>
      </c>
      <c r="R95" s="340">
        <f t="shared" si="2"/>
        <v>0</v>
      </c>
      <c r="S95" s="340">
        <v>0</v>
      </c>
      <c r="T95" s="341">
        <f t="shared" si="3"/>
        <v>0</v>
      </c>
      <c r="AR95" s="157" t="s">
        <v>145</v>
      </c>
      <c r="AT95" s="157" t="s">
        <v>142</v>
      </c>
      <c r="AU95" s="157" t="s">
        <v>95</v>
      </c>
      <c r="AY95" s="157" t="s">
        <v>141</v>
      </c>
      <c r="BE95" s="239">
        <f t="shared" si="4"/>
        <v>0</v>
      </c>
      <c r="BF95" s="239">
        <f t="shared" si="5"/>
        <v>0</v>
      </c>
      <c r="BG95" s="239">
        <f t="shared" si="6"/>
        <v>0</v>
      </c>
      <c r="BH95" s="239">
        <f t="shared" si="7"/>
        <v>0</v>
      </c>
      <c r="BI95" s="239">
        <f t="shared" si="8"/>
        <v>0</v>
      </c>
      <c r="BJ95" s="157" t="s">
        <v>80</v>
      </c>
      <c r="BK95" s="239">
        <f t="shared" si="9"/>
        <v>0</v>
      </c>
      <c r="BL95" s="157" t="s">
        <v>145</v>
      </c>
      <c r="BM95" s="157" t="s">
        <v>369</v>
      </c>
    </row>
    <row r="96" spans="2:65" s="317" customFormat="1" ht="22.5" customHeight="1">
      <c r="B96" s="232"/>
      <c r="C96" s="233" t="s">
        <v>167</v>
      </c>
      <c r="D96" s="233" t="s">
        <v>142</v>
      </c>
      <c r="E96" s="234" t="s">
        <v>370</v>
      </c>
      <c r="F96" s="235" t="s">
        <v>371</v>
      </c>
      <c r="G96" s="236" t="s">
        <v>150</v>
      </c>
      <c r="H96" s="237">
        <v>11.356</v>
      </c>
      <c r="I96" s="238"/>
      <c r="J96" s="238">
        <f t="shared" si="0"/>
        <v>0</v>
      </c>
      <c r="K96" s="235" t="s">
        <v>581</v>
      </c>
      <c r="L96" s="165"/>
      <c r="M96" s="338" t="s">
        <v>20</v>
      </c>
      <c r="N96" s="339" t="s">
        <v>40</v>
      </c>
      <c r="O96" s="340">
        <v>0.083</v>
      </c>
      <c r="P96" s="340">
        <f t="shared" si="1"/>
        <v>0.942548</v>
      </c>
      <c r="Q96" s="340">
        <v>0</v>
      </c>
      <c r="R96" s="340">
        <f t="shared" si="2"/>
        <v>0</v>
      </c>
      <c r="S96" s="340">
        <v>0</v>
      </c>
      <c r="T96" s="341">
        <f t="shared" si="3"/>
        <v>0</v>
      </c>
      <c r="AR96" s="157" t="s">
        <v>145</v>
      </c>
      <c r="AT96" s="157" t="s">
        <v>142</v>
      </c>
      <c r="AU96" s="157" t="s">
        <v>95</v>
      </c>
      <c r="AY96" s="157" t="s">
        <v>141</v>
      </c>
      <c r="BE96" s="239">
        <f t="shared" si="4"/>
        <v>0</v>
      </c>
      <c r="BF96" s="239">
        <f t="shared" si="5"/>
        <v>0</v>
      </c>
      <c r="BG96" s="239">
        <f t="shared" si="6"/>
        <v>0</v>
      </c>
      <c r="BH96" s="239">
        <f t="shared" si="7"/>
        <v>0</v>
      </c>
      <c r="BI96" s="239">
        <f t="shared" si="8"/>
        <v>0</v>
      </c>
      <c r="BJ96" s="157" t="s">
        <v>80</v>
      </c>
      <c r="BK96" s="239">
        <f t="shared" si="9"/>
        <v>0</v>
      </c>
      <c r="BL96" s="157" t="s">
        <v>145</v>
      </c>
      <c r="BM96" s="157" t="s">
        <v>372</v>
      </c>
    </row>
    <row r="97" spans="2:65" s="317" customFormat="1" ht="22.5" customHeight="1">
      <c r="B97" s="232"/>
      <c r="C97" s="233" t="s">
        <v>171</v>
      </c>
      <c r="D97" s="233" t="s">
        <v>142</v>
      </c>
      <c r="E97" s="234" t="s">
        <v>373</v>
      </c>
      <c r="F97" s="235" t="s">
        <v>374</v>
      </c>
      <c r="G97" s="236" t="s">
        <v>150</v>
      </c>
      <c r="H97" s="237">
        <v>33.12</v>
      </c>
      <c r="I97" s="238"/>
      <c r="J97" s="238">
        <f t="shared" si="0"/>
        <v>0</v>
      </c>
      <c r="K97" s="235" t="s">
        <v>581</v>
      </c>
      <c r="L97" s="165"/>
      <c r="M97" s="338" t="s">
        <v>20</v>
      </c>
      <c r="N97" s="339" t="s">
        <v>40</v>
      </c>
      <c r="O97" s="340">
        <v>0.652</v>
      </c>
      <c r="P97" s="340">
        <f t="shared" si="1"/>
        <v>21.59424</v>
      </c>
      <c r="Q97" s="340">
        <v>0</v>
      </c>
      <c r="R97" s="340">
        <f t="shared" si="2"/>
        <v>0</v>
      </c>
      <c r="S97" s="340">
        <v>0</v>
      </c>
      <c r="T97" s="341">
        <f t="shared" si="3"/>
        <v>0</v>
      </c>
      <c r="AR97" s="157" t="s">
        <v>145</v>
      </c>
      <c r="AT97" s="157" t="s">
        <v>142</v>
      </c>
      <c r="AU97" s="157" t="s">
        <v>95</v>
      </c>
      <c r="AY97" s="157" t="s">
        <v>141</v>
      </c>
      <c r="BE97" s="239">
        <f t="shared" si="4"/>
        <v>0</v>
      </c>
      <c r="BF97" s="239">
        <f t="shared" si="5"/>
        <v>0</v>
      </c>
      <c r="BG97" s="239">
        <f t="shared" si="6"/>
        <v>0</v>
      </c>
      <c r="BH97" s="239">
        <f t="shared" si="7"/>
        <v>0</v>
      </c>
      <c r="BI97" s="239">
        <f t="shared" si="8"/>
        <v>0</v>
      </c>
      <c r="BJ97" s="157" t="s">
        <v>80</v>
      </c>
      <c r="BK97" s="239">
        <f t="shared" si="9"/>
        <v>0</v>
      </c>
      <c r="BL97" s="157" t="s">
        <v>145</v>
      </c>
      <c r="BM97" s="157" t="s">
        <v>375</v>
      </c>
    </row>
    <row r="98" spans="2:65" s="317" customFormat="1" ht="22.5" customHeight="1">
      <c r="B98" s="232"/>
      <c r="C98" s="233" t="s">
        <v>176</v>
      </c>
      <c r="D98" s="233" t="s">
        <v>142</v>
      </c>
      <c r="E98" s="234" t="s">
        <v>168</v>
      </c>
      <c r="F98" s="235" t="s">
        <v>169</v>
      </c>
      <c r="G98" s="236" t="s">
        <v>150</v>
      </c>
      <c r="H98" s="237">
        <v>11.356</v>
      </c>
      <c r="I98" s="238"/>
      <c r="J98" s="238">
        <f t="shared" si="0"/>
        <v>0</v>
      </c>
      <c r="K98" s="235" t="s">
        <v>581</v>
      </c>
      <c r="L98" s="165"/>
      <c r="M98" s="338" t="s">
        <v>20</v>
      </c>
      <c r="N98" s="339" t="s">
        <v>40</v>
      </c>
      <c r="O98" s="340">
        <v>0.009</v>
      </c>
      <c r="P98" s="340">
        <f t="shared" si="1"/>
        <v>0.10220399999999999</v>
      </c>
      <c r="Q98" s="340">
        <v>0</v>
      </c>
      <c r="R98" s="340">
        <f t="shared" si="2"/>
        <v>0</v>
      </c>
      <c r="S98" s="340">
        <v>0</v>
      </c>
      <c r="T98" s="341">
        <f t="shared" si="3"/>
        <v>0</v>
      </c>
      <c r="AR98" s="157" t="s">
        <v>145</v>
      </c>
      <c r="AT98" s="157" t="s">
        <v>142</v>
      </c>
      <c r="AU98" s="157" t="s">
        <v>95</v>
      </c>
      <c r="AY98" s="157" t="s">
        <v>141</v>
      </c>
      <c r="BE98" s="239">
        <f t="shared" si="4"/>
        <v>0</v>
      </c>
      <c r="BF98" s="239">
        <f t="shared" si="5"/>
        <v>0</v>
      </c>
      <c r="BG98" s="239">
        <f t="shared" si="6"/>
        <v>0</v>
      </c>
      <c r="BH98" s="239">
        <f t="shared" si="7"/>
        <v>0</v>
      </c>
      <c r="BI98" s="239">
        <f t="shared" si="8"/>
        <v>0</v>
      </c>
      <c r="BJ98" s="157" t="s">
        <v>80</v>
      </c>
      <c r="BK98" s="239">
        <f t="shared" si="9"/>
        <v>0</v>
      </c>
      <c r="BL98" s="157" t="s">
        <v>145</v>
      </c>
      <c r="BM98" s="157" t="s">
        <v>376</v>
      </c>
    </row>
    <row r="99" spans="2:65" s="317" customFormat="1" ht="22.5" customHeight="1">
      <c r="B99" s="232"/>
      <c r="C99" s="233" t="s">
        <v>180</v>
      </c>
      <c r="D99" s="233" t="s">
        <v>142</v>
      </c>
      <c r="E99" s="234" t="s">
        <v>172</v>
      </c>
      <c r="F99" s="235" t="s">
        <v>173</v>
      </c>
      <c r="G99" s="236" t="s">
        <v>174</v>
      </c>
      <c r="H99" s="237">
        <v>23.325</v>
      </c>
      <c r="I99" s="238"/>
      <c r="J99" s="238">
        <f t="shared" si="0"/>
        <v>0</v>
      </c>
      <c r="K99" s="235" t="s">
        <v>581</v>
      </c>
      <c r="L99" s="165"/>
      <c r="M99" s="338" t="s">
        <v>20</v>
      </c>
      <c r="N99" s="339" t="s">
        <v>40</v>
      </c>
      <c r="O99" s="340">
        <v>0</v>
      </c>
      <c r="P99" s="340">
        <f t="shared" si="1"/>
        <v>0</v>
      </c>
      <c r="Q99" s="340">
        <v>0</v>
      </c>
      <c r="R99" s="340">
        <f t="shared" si="2"/>
        <v>0</v>
      </c>
      <c r="S99" s="340">
        <v>0</v>
      </c>
      <c r="T99" s="341">
        <f t="shared" si="3"/>
        <v>0</v>
      </c>
      <c r="AR99" s="157" t="s">
        <v>145</v>
      </c>
      <c r="AT99" s="157" t="s">
        <v>142</v>
      </c>
      <c r="AU99" s="157" t="s">
        <v>95</v>
      </c>
      <c r="AY99" s="157" t="s">
        <v>141</v>
      </c>
      <c r="BE99" s="239">
        <f t="shared" si="4"/>
        <v>0</v>
      </c>
      <c r="BF99" s="239">
        <f t="shared" si="5"/>
        <v>0</v>
      </c>
      <c r="BG99" s="239">
        <f t="shared" si="6"/>
        <v>0</v>
      </c>
      <c r="BH99" s="239">
        <f t="shared" si="7"/>
        <v>0</v>
      </c>
      <c r="BI99" s="239">
        <f t="shared" si="8"/>
        <v>0</v>
      </c>
      <c r="BJ99" s="157" t="s">
        <v>80</v>
      </c>
      <c r="BK99" s="239">
        <f t="shared" si="9"/>
        <v>0</v>
      </c>
      <c r="BL99" s="157" t="s">
        <v>145</v>
      </c>
      <c r="BM99" s="157" t="s">
        <v>377</v>
      </c>
    </row>
    <row r="100" spans="2:65" s="317" customFormat="1" ht="22.5" customHeight="1">
      <c r="B100" s="232"/>
      <c r="C100" s="233" t="s">
        <v>184</v>
      </c>
      <c r="D100" s="233" t="s">
        <v>142</v>
      </c>
      <c r="E100" s="234" t="s">
        <v>378</v>
      </c>
      <c r="F100" s="235" t="s">
        <v>379</v>
      </c>
      <c r="G100" s="236" t="s">
        <v>150</v>
      </c>
      <c r="H100" s="237">
        <v>21.764</v>
      </c>
      <c r="I100" s="238"/>
      <c r="J100" s="238">
        <f t="shared" si="0"/>
        <v>0</v>
      </c>
      <c r="K100" s="235" t="s">
        <v>581</v>
      </c>
      <c r="L100" s="165"/>
      <c r="M100" s="338" t="s">
        <v>20</v>
      </c>
      <c r="N100" s="339" t="s">
        <v>40</v>
      </c>
      <c r="O100" s="340">
        <v>0.299</v>
      </c>
      <c r="P100" s="340">
        <f t="shared" si="1"/>
        <v>6.507435999999999</v>
      </c>
      <c r="Q100" s="340">
        <v>0</v>
      </c>
      <c r="R100" s="340">
        <f t="shared" si="2"/>
        <v>0</v>
      </c>
      <c r="S100" s="340">
        <v>0</v>
      </c>
      <c r="T100" s="341">
        <f t="shared" si="3"/>
        <v>0</v>
      </c>
      <c r="AR100" s="157" t="s">
        <v>145</v>
      </c>
      <c r="AT100" s="157" t="s">
        <v>142</v>
      </c>
      <c r="AU100" s="157" t="s">
        <v>95</v>
      </c>
      <c r="AY100" s="157" t="s">
        <v>141</v>
      </c>
      <c r="BE100" s="239">
        <f t="shared" si="4"/>
        <v>0</v>
      </c>
      <c r="BF100" s="239">
        <f t="shared" si="5"/>
        <v>0</v>
      </c>
      <c r="BG100" s="239">
        <f t="shared" si="6"/>
        <v>0</v>
      </c>
      <c r="BH100" s="239">
        <f t="shared" si="7"/>
        <v>0</v>
      </c>
      <c r="BI100" s="239">
        <f t="shared" si="8"/>
        <v>0</v>
      </c>
      <c r="BJ100" s="157" t="s">
        <v>80</v>
      </c>
      <c r="BK100" s="239">
        <f t="shared" si="9"/>
        <v>0</v>
      </c>
      <c r="BL100" s="157" t="s">
        <v>145</v>
      </c>
      <c r="BM100" s="157" t="s">
        <v>380</v>
      </c>
    </row>
    <row r="101" spans="2:65" s="317" customFormat="1" ht="22.5" customHeight="1">
      <c r="B101" s="232"/>
      <c r="C101" s="233" t="s">
        <v>188</v>
      </c>
      <c r="D101" s="233" t="s">
        <v>142</v>
      </c>
      <c r="E101" s="234" t="s">
        <v>381</v>
      </c>
      <c r="F101" s="235" t="s">
        <v>382</v>
      </c>
      <c r="G101" s="236" t="s">
        <v>150</v>
      </c>
      <c r="H101" s="237">
        <v>7.8</v>
      </c>
      <c r="I101" s="238"/>
      <c r="J101" s="238">
        <f t="shared" si="0"/>
        <v>0</v>
      </c>
      <c r="K101" s="235" t="s">
        <v>581</v>
      </c>
      <c r="L101" s="165"/>
      <c r="M101" s="338" t="s">
        <v>20</v>
      </c>
      <c r="N101" s="339" t="s">
        <v>40</v>
      </c>
      <c r="O101" s="340">
        <v>0.286</v>
      </c>
      <c r="P101" s="340">
        <f t="shared" si="1"/>
        <v>2.2308</v>
      </c>
      <c r="Q101" s="340">
        <v>0</v>
      </c>
      <c r="R101" s="340">
        <f t="shared" si="2"/>
        <v>0</v>
      </c>
      <c r="S101" s="340">
        <v>0</v>
      </c>
      <c r="T101" s="341">
        <f t="shared" si="3"/>
        <v>0</v>
      </c>
      <c r="AR101" s="157" t="s">
        <v>145</v>
      </c>
      <c r="AT101" s="157" t="s">
        <v>142</v>
      </c>
      <c r="AU101" s="157" t="s">
        <v>95</v>
      </c>
      <c r="AY101" s="157" t="s">
        <v>141</v>
      </c>
      <c r="BE101" s="239">
        <f t="shared" si="4"/>
        <v>0</v>
      </c>
      <c r="BF101" s="239">
        <f t="shared" si="5"/>
        <v>0</v>
      </c>
      <c r="BG101" s="239">
        <f t="shared" si="6"/>
        <v>0</v>
      </c>
      <c r="BH101" s="239">
        <f t="shared" si="7"/>
        <v>0</v>
      </c>
      <c r="BI101" s="239">
        <f t="shared" si="8"/>
        <v>0</v>
      </c>
      <c r="BJ101" s="157" t="s">
        <v>80</v>
      </c>
      <c r="BK101" s="239">
        <f t="shared" si="9"/>
        <v>0</v>
      </c>
      <c r="BL101" s="157" t="s">
        <v>145</v>
      </c>
      <c r="BM101" s="157" t="s">
        <v>383</v>
      </c>
    </row>
    <row r="102" spans="2:65" s="317" customFormat="1" ht="22.5" customHeight="1">
      <c r="B102" s="232"/>
      <c r="C102" s="249" t="s">
        <v>192</v>
      </c>
      <c r="D102" s="249" t="s">
        <v>198</v>
      </c>
      <c r="E102" s="250" t="s">
        <v>384</v>
      </c>
      <c r="F102" s="251" t="s">
        <v>385</v>
      </c>
      <c r="G102" s="252" t="s">
        <v>174</v>
      </c>
      <c r="H102" s="253">
        <v>16.021</v>
      </c>
      <c r="I102" s="254"/>
      <c r="J102" s="254">
        <f t="shared" si="0"/>
        <v>0</v>
      </c>
      <c r="K102" s="251" t="s">
        <v>581</v>
      </c>
      <c r="L102" s="347"/>
      <c r="M102" s="348" t="s">
        <v>20</v>
      </c>
      <c r="N102" s="349" t="s">
        <v>40</v>
      </c>
      <c r="O102" s="340">
        <v>0</v>
      </c>
      <c r="P102" s="340">
        <f t="shared" si="1"/>
        <v>0</v>
      </c>
      <c r="Q102" s="340">
        <v>0</v>
      </c>
      <c r="R102" s="340">
        <f t="shared" si="2"/>
        <v>0</v>
      </c>
      <c r="S102" s="340">
        <v>0</v>
      </c>
      <c r="T102" s="341">
        <f t="shared" si="3"/>
        <v>0</v>
      </c>
      <c r="AR102" s="157" t="s">
        <v>167</v>
      </c>
      <c r="AT102" s="157" t="s">
        <v>198</v>
      </c>
      <c r="AU102" s="157" t="s">
        <v>95</v>
      </c>
      <c r="AY102" s="157" t="s">
        <v>141</v>
      </c>
      <c r="BE102" s="239">
        <f t="shared" si="4"/>
        <v>0</v>
      </c>
      <c r="BF102" s="239">
        <f t="shared" si="5"/>
        <v>0</v>
      </c>
      <c r="BG102" s="239">
        <f t="shared" si="6"/>
        <v>0</v>
      </c>
      <c r="BH102" s="239">
        <f t="shared" si="7"/>
        <v>0</v>
      </c>
      <c r="BI102" s="239">
        <f t="shared" si="8"/>
        <v>0</v>
      </c>
      <c r="BJ102" s="157" t="s">
        <v>80</v>
      </c>
      <c r="BK102" s="239">
        <f t="shared" si="9"/>
        <v>0</v>
      </c>
      <c r="BL102" s="157" t="s">
        <v>145</v>
      </c>
      <c r="BM102" s="157" t="s">
        <v>386</v>
      </c>
    </row>
    <row r="103" spans="2:63" s="222" customFormat="1" ht="29.85" customHeight="1">
      <c r="B103" s="223"/>
      <c r="D103" s="229" t="s">
        <v>74</v>
      </c>
      <c r="E103" s="230" t="s">
        <v>145</v>
      </c>
      <c r="F103" s="230" t="s">
        <v>387</v>
      </c>
      <c r="J103" s="231">
        <f>BK103</f>
        <v>0</v>
      </c>
      <c r="L103" s="223"/>
      <c r="M103" s="334"/>
      <c r="N103" s="335"/>
      <c r="O103" s="335"/>
      <c r="P103" s="336">
        <f>SUM(P104:P104)</f>
        <v>2.44962</v>
      </c>
      <c r="Q103" s="335"/>
      <c r="R103" s="336">
        <f>SUM(R104:R104)</f>
        <v>0</v>
      </c>
      <c r="S103" s="335"/>
      <c r="T103" s="337">
        <f>SUM(T104:T104)</f>
        <v>0</v>
      </c>
      <c r="AR103" s="224" t="s">
        <v>80</v>
      </c>
      <c r="AT103" s="227" t="s">
        <v>74</v>
      </c>
      <c r="AU103" s="227" t="s">
        <v>80</v>
      </c>
      <c r="AY103" s="224" t="s">
        <v>141</v>
      </c>
      <c r="BK103" s="228">
        <f>SUM(BK104:BK104)</f>
        <v>0</v>
      </c>
    </row>
    <row r="104" spans="2:65" s="317" customFormat="1" ht="22.5" customHeight="1">
      <c r="B104" s="232"/>
      <c r="C104" s="233" t="s">
        <v>11</v>
      </c>
      <c r="D104" s="233" t="s">
        <v>142</v>
      </c>
      <c r="E104" s="234" t="s">
        <v>388</v>
      </c>
      <c r="F104" s="235" t="s">
        <v>389</v>
      </c>
      <c r="G104" s="236" t="s">
        <v>150</v>
      </c>
      <c r="H104" s="237">
        <v>1.86</v>
      </c>
      <c r="I104" s="238"/>
      <c r="J104" s="238">
        <f>ROUND(I104*H104,2)</f>
        <v>0</v>
      </c>
      <c r="K104" s="235" t="s">
        <v>581</v>
      </c>
      <c r="L104" s="165"/>
      <c r="M104" s="338" t="s">
        <v>20</v>
      </c>
      <c r="N104" s="339" t="s">
        <v>40</v>
      </c>
      <c r="O104" s="340">
        <v>1.317</v>
      </c>
      <c r="P104" s="340">
        <f>O104*H104</f>
        <v>2.44962</v>
      </c>
      <c r="Q104" s="340">
        <v>0</v>
      </c>
      <c r="R104" s="340">
        <f>Q104*H104</f>
        <v>0</v>
      </c>
      <c r="S104" s="340">
        <v>0</v>
      </c>
      <c r="T104" s="341">
        <f>S104*H104</f>
        <v>0</v>
      </c>
      <c r="AR104" s="157" t="s">
        <v>145</v>
      </c>
      <c r="AT104" s="157" t="s">
        <v>142</v>
      </c>
      <c r="AU104" s="157" t="s">
        <v>95</v>
      </c>
      <c r="AY104" s="157" t="s">
        <v>141</v>
      </c>
      <c r="BE104" s="239">
        <f>IF(N104="základní",J104,0)</f>
        <v>0</v>
      </c>
      <c r="BF104" s="239">
        <f>IF(N104="snížená",J104,0)</f>
        <v>0</v>
      </c>
      <c r="BG104" s="239">
        <f>IF(N104="zákl. přenesená",J104,0)</f>
        <v>0</v>
      </c>
      <c r="BH104" s="239">
        <f>IF(N104="sníž. přenesená",J104,0)</f>
        <v>0</v>
      </c>
      <c r="BI104" s="239">
        <f>IF(N104="nulová",J104,0)</f>
        <v>0</v>
      </c>
      <c r="BJ104" s="157" t="s">
        <v>80</v>
      </c>
      <c r="BK104" s="239">
        <f>ROUND(I104*H104,2)</f>
        <v>0</v>
      </c>
      <c r="BL104" s="157" t="s">
        <v>145</v>
      </c>
      <c r="BM104" s="157" t="s">
        <v>390</v>
      </c>
    </row>
    <row r="105" spans="2:63" s="222" customFormat="1" ht="29.85" customHeight="1">
      <c r="B105" s="223"/>
      <c r="D105" s="229" t="s">
        <v>74</v>
      </c>
      <c r="E105" s="230" t="s">
        <v>155</v>
      </c>
      <c r="F105" s="230" t="s">
        <v>391</v>
      </c>
      <c r="J105" s="231">
        <f>BK105</f>
        <v>0</v>
      </c>
      <c r="L105" s="223"/>
      <c r="M105" s="334"/>
      <c r="N105" s="335"/>
      <c r="O105" s="335"/>
      <c r="P105" s="336">
        <f>SUM(P106:P108)</f>
        <v>11.259</v>
      </c>
      <c r="Q105" s="335"/>
      <c r="R105" s="336">
        <f>SUM(R106:R108)</f>
        <v>2.37384</v>
      </c>
      <c r="S105" s="335"/>
      <c r="T105" s="337">
        <f>SUM(T106:T108)</f>
        <v>0</v>
      </c>
      <c r="AR105" s="224" t="s">
        <v>80</v>
      </c>
      <c r="AT105" s="227" t="s">
        <v>74</v>
      </c>
      <c r="AU105" s="227" t="s">
        <v>80</v>
      </c>
      <c r="AY105" s="224" t="s">
        <v>141</v>
      </c>
      <c r="BK105" s="228">
        <f>SUM(BK106:BK108)</f>
        <v>0</v>
      </c>
    </row>
    <row r="106" spans="2:65" s="317" customFormat="1" ht="22.5" customHeight="1">
      <c r="B106" s="232"/>
      <c r="C106" s="233" t="s">
        <v>197</v>
      </c>
      <c r="D106" s="233" t="s">
        <v>142</v>
      </c>
      <c r="E106" s="234" t="s">
        <v>392</v>
      </c>
      <c r="F106" s="235" t="s">
        <v>393</v>
      </c>
      <c r="G106" s="236" t="s">
        <v>144</v>
      </c>
      <c r="H106" s="237">
        <v>6</v>
      </c>
      <c r="I106" s="238"/>
      <c r="J106" s="238">
        <f>ROUND(I106*H106,2)</f>
        <v>0</v>
      </c>
      <c r="K106" s="235" t="s">
        <v>581</v>
      </c>
      <c r="L106" s="165"/>
      <c r="M106" s="338" t="s">
        <v>20</v>
      </c>
      <c r="N106" s="339" t="s">
        <v>40</v>
      </c>
      <c r="O106" s="340">
        <v>0.085</v>
      </c>
      <c r="P106" s="340">
        <f>O106*H106</f>
        <v>0.51</v>
      </c>
      <c r="Q106" s="340">
        <v>0</v>
      </c>
      <c r="R106" s="340">
        <f>Q106*H106</f>
        <v>0</v>
      </c>
      <c r="S106" s="340">
        <v>0</v>
      </c>
      <c r="T106" s="341">
        <f>S106*H106</f>
        <v>0</v>
      </c>
      <c r="AR106" s="157" t="s">
        <v>145</v>
      </c>
      <c r="AT106" s="157" t="s">
        <v>142</v>
      </c>
      <c r="AU106" s="157" t="s">
        <v>95</v>
      </c>
      <c r="AY106" s="157" t="s">
        <v>141</v>
      </c>
      <c r="BE106" s="239">
        <f>IF(N106="základní",J106,0)</f>
        <v>0</v>
      </c>
      <c r="BF106" s="239">
        <f>IF(N106="snížená",J106,0)</f>
        <v>0</v>
      </c>
      <c r="BG106" s="239">
        <f>IF(N106="zákl. přenesená",J106,0)</f>
        <v>0</v>
      </c>
      <c r="BH106" s="239">
        <f>IF(N106="sníž. přenesená",J106,0)</f>
        <v>0</v>
      </c>
      <c r="BI106" s="239">
        <f>IF(N106="nulová",J106,0)</f>
        <v>0</v>
      </c>
      <c r="BJ106" s="157" t="s">
        <v>80</v>
      </c>
      <c r="BK106" s="239">
        <f>ROUND(I106*H106,2)</f>
        <v>0</v>
      </c>
      <c r="BL106" s="157" t="s">
        <v>145</v>
      </c>
      <c r="BM106" s="157" t="s">
        <v>394</v>
      </c>
    </row>
    <row r="107" spans="2:65" s="317" customFormat="1" ht="31.5" customHeight="1">
      <c r="B107" s="232"/>
      <c r="C107" s="233" t="s">
        <v>200</v>
      </c>
      <c r="D107" s="233" t="s">
        <v>142</v>
      </c>
      <c r="E107" s="234" t="s">
        <v>395</v>
      </c>
      <c r="F107" s="235" t="s">
        <v>396</v>
      </c>
      <c r="G107" s="236" t="s">
        <v>144</v>
      </c>
      <c r="H107" s="237">
        <v>9</v>
      </c>
      <c r="I107" s="238"/>
      <c r="J107" s="238">
        <f>ROUND(I107*H107,2)</f>
        <v>0</v>
      </c>
      <c r="K107" s="235" t="s">
        <v>581</v>
      </c>
      <c r="L107" s="165"/>
      <c r="M107" s="338" t="s">
        <v>20</v>
      </c>
      <c r="N107" s="339" t="s">
        <v>40</v>
      </c>
      <c r="O107" s="340">
        <v>1.021</v>
      </c>
      <c r="P107" s="340">
        <f>O107*H107</f>
        <v>9.189</v>
      </c>
      <c r="Q107" s="340">
        <v>0.26376</v>
      </c>
      <c r="R107" s="340">
        <f>Q107*H107</f>
        <v>2.37384</v>
      </c>
      <c r="S107" s="340">
        <v>0</v>
      </c>
      <c r="T107" s="341">
        <f>S107*H107</f>
        <v>0</v>
      </c>
      <c r="AR107" s="157" t="s">
        <v>145</v>
      </c>
      <c r="AT107" s="157" t="s">
        <v>142</v>
      </c>
      <c r="AU107" s="157" t="s">
        <v>95</v>
      </c>
      <c r="AY107" s="157" t="s">
        <v>141</v>
      </c>
      <c r="BE107" s="239">
        <f>IF(N107="základní",J107,0)</f>
        <v>0</v>
      </c>
      <c r="BF107" s="239">
        <f>IF(N107="snížená",J107,0)</f>
        <v>0</v>
      </c>
      <c r="BG107" s="239">
        <f>IF(N107="zákl. přenesená",J107,0)</f>
        <v>0</v>
      </c>
      <c r="BH107" s="239">
        <f>IF(N107="sníž. přenesená",J107,0)</f>
        <v>0</v>
      </c>
      <c r="BI107" s="239">
        <f>IF(N107="nulová",J107,0)</f>
        <v>0</v>
      </c>
      <c r="BJ107" s="157" t="s">
        <v>80</v>
      </c>
      <c r="BK107" s="239">
        <f>ROUND(I107*H107,2)</f>
        <v>0</v>
      </c>
      <c r="BL107" s="157" t="s">
        <v>145</v>
      </c>
      <c r="BM107" s="157" t="s">
        <v>397</v>
      </c>
    </row>
    <row r="108" spans="2:65" s="317" customFormat="1" ht="22.5" customHeight="1">
      <c r="B108" s="232"/>
      <c r="C108" s="233" t="s">
        <v>204</v>
      </c>
      <c r="D108" s="233" t="s">
        <v>142</v>
      </c>
      <c r="E108" s="234" t="s">
        <v>398</v>
      </c>
      <c r="F108" s="235" t="s">
        <v>399</v>
      </c>
      <c r="G108" s="236" t="s">
        <v>144</v>
      </c>
      <c r="H108" s="237">
        <v>6</v>
      </c>
      <c r="I108" s="238"/>
      <c r="J108" s="238">
        <f>ROUND(I108*H108,2)</f>
        <v>0</v>
      </c>
      <c r="K108" s="235" t="s">
        <v>581</v>
      </c>
      <c r="L108" s="165"/>
      <c r="M108" s="338" t="s">
        <v>20</v>
      </c>
      <c r="N108" s="339" t="s">
        <v>40</v>
      </c>
      <c r="O108" s="340">
        <v>0.26</v>
      </c>
      <c r="P108" s="340">
        <f>O108*H108</f>
        <v>1.56</v>
      </c>
      <c r="Q108" s="340">
        <v>0</v>
      </c>
      <c r="R108" s="340">
        <f>Q108*H108</f>
        <v>0</v>
      </c>
      <c r="S108" s="340">
        <v>0</v>
      </c>
      <c r="T108" s="341">
        <f>S108*H108</f>
        <v>0</v>
      </c>
      <c r="AR108" s="157" t="s">
        <v>145</v>
      </c>
      <c r="AT108" s="157" t="s">
        <v>142</v>
      </c>
      <c r="AU108" s="157" t="s">
        <v>95</v>
      </c>
      <c r="AY108" s="157" t="s">
        <v>141</v>
      </c>
      <c r="BE108" s="239">
        <f>IF(N108="základní",J108,0)</f>
        <v>0</v>
      </c>
      <c r="BF108" s="239">
        <f>IF(N108="snížená",J108,0)</f>
        <v>0</v>
      </c>
      <c r="BG108" s="239">
        <f>IF(N108="zákl. přenesená",J108,0)</f>
        <v>0</v>
      </c>
      <c r="BH108" s="239">
        <f>IF(N108="sníž. přenesená",J108,0)</f>
        <v>0</v>
      </c>
      <c r="BI108" s="239">
        <f>IF(N108="nulová",J108,0)</f>
        <v>0</v>
      </c>
      <c r="BJ108" s="157" t="s">
        <v>80</v>
      </c>
      <c r="BK108" s="239">
        <f>ROUND(I108*H108,2)</f>
        <v>0</v>
      </c>
      <c r="BL108" s="157" t="s">
        <v>145</v>
      </c>
      <c r="BM108" s="157" t="s">
        <v>400</v>
      </c>
    </row>
    <row r="109" spans="2:63" s="222" customFormat="1" ht="29.85" customHeight="1">
      <c r="B109" s="223"/>
      <c r="D109" s="229" t="s">
        <v>74</v>
      </c>
      <c r="E109" s="230" t="s">
        <v>167</v>
      </c>
      <c r="F109" s="230" t="s">
        <v>401</v>
      </c>
      <c r="J109" s="231">
        <f>BK109</f>
        <v>0</v>
      </c>
      <c r="L109" s="223"/>
      <c r="M109" s="334"/>
      <c r="N109" s="335"/>
      <c r="O109" s="335"/>
      <c r="P109" s="336">
        <f>SUM(P110:P131)</f>
        <v>17.064</v>
      </c>
      <c r="Q109" s="335"/>
      <c r="R109" s="336">
        <f>SUM(R110:R131)</f>
        <v>0.9944799999999999</v>
      </c>
      <c r="S109" s="335"/>
      <c r="T109" s="337">
        <f>SUM(T110:T131)</f>
        <v>0</v>
      </c>
      <c r="AR109" s="224" t="s">
        <v>80</v>
      </c>
      <c r="AT109" s="227" t="s">
        <v>74</v>
      </c>
      <c r="AU109" s="227" t="s">
        <v>80</v>
      </c>
      <c r="AY109" s="224" t="s">
        <v>141</v>
      </c>
      <c r="BK109" s="228">
        <f>SUM(BK110:BK131)</f>
        <v>0</v>
      </c>
    </row>
    <row r="110" spans="2:65" s="317" customFormat="1" ht="22.5" customHeight="1">
      <c r="B110" s="232"/>
      <c r="C110" s="233" t="s">
        <v>208</v>
      </c>
      <c r="D110" s="233" t="s">
        <v>142</v>
      </c>
      <c r="E110" s="234" t="s">
        <v>402</v>
      </c>
      <c r="F110" s="235" t="s">
        <v>582</v>
      </c>
      <c r="G110" s="236" t="s">
        <v>403</v>
      </c>
      <c r="H110" s="237">
        <v>1</v>
      </c>
      <c r="I110" s="238"/>
      <c r="J110" s="238">
        <f>ROUND(I110*H110,2)</f>
        <v>0</v>
      </c>
      <c r="K110" s="235" t="s">
        <v>20</v>
      </c>
      <c r="L110" s="165"/>
      <c r="M110" s="338" t="s">
        <v>20</v>
      </c>
      <c r="N110" s="339" t="s">
        <v>40</v>
      </c>
      <c r="O110" s="340">
        <v>0.025</v>
      </c>
      <c r="P110" s="340">
        <f>O110*H110</f>
        <v>0.025</v>
      </c>
      <c r="Q110" s="340">
        <v>9E-05</v>
      </c>
      <c r="R110" s="340">
        <f>Q110*H110</f>
        <v>9E-05</v>
      </c>
      <c r="S110" s="340">
        <v>0</v>
      </c>
      <c r="T110" s="341">
        <f>S110*H110</f>
        <v>0</v>
      </c>
      <c r="AR110" s="157" t="s">
        <v>145</v>
      </c>
      <c r="AT110" s="157" t="s">
        <v>142</v>
      </c>
      <c r="AU110" s="157" t="s">
        <v>95</v>
      </c>
      <c r="AY110" s="157" t="s">
        <v>141</v>
      </c>
      <c r="BE110" s="239">
        <f>IF(N110="základní",J110,0)</f>
        <v>0</v>
      </c>
      <c r="BF110" s="239">
        <f>IF(N110="snížená",J110,0)</f>
        <v>0</v>
      </c>
      <c r="BG110" s="239">
        <f>IF(N110="zákl. přenesená",J110,0)</f>
        <v>0</v>
      </c>
      <c r="BH110" s="239">
        <f>IF(N110="sníž. přenesená",J110,0)</f>
        <v>0</v>
      </c>
      <c r="BI110" s="239">
        <f>IF(N110="nulová",J110,0)</f>
        <v>0</v>
      </c>
      <c r="BJ110" s="157" t="s">
        <v>80</v>
      </c>
      <c r="BK110" s="239">
        <f>ROUND(I110*H110,2)</f>
        <v>0</v>
      </c>
      <c r="BL110" s="157" t="s">
        <v>145</v>
      </c>
      <c r="BM110" s="157" t="s">
        <v>404</v>
      </c>
    </row>
    <row r="111" spans="2:65" s="317" customFormat="1" ht="22.5" customHeight="1">
      <c r="B111" s="232"/>
      <c r="C111" s="233" t="s">
        <v>211</v>
      </c>
      <c r="D111" s="233" t="s">
        <v>142</v>
      </c>
      <c r="E111" s="234" t="s">
        <v>405</v>
      </c>
      <c r="F111" s="235" t="s">
        <v>406</v>
      </c>
      <c r="G111" s="236" t="s">
        <v>403</v>
      </c>
      <c r="H111" s="237">
        <v>1</v>
      </c>
      <c r="I111" s="238"/>
      <c r="J111" s="238">
        <f>ROUND(I111*H111,2)</f>
        <v>0</v>
      </c>
      <c r="K111" s="235" t="s">
        <v>20</v>
      </c>
      <c r="L111" s="165"/>
      <c r="M111" s="338" t="s">
        <v>20</v>
      </c>
      <c r="N111" s="339" t="s">
        <v>40</v>
      </c>
      <c r="O111" s="340">
        <v>0.025</v>
      </c>
      <c r="P111" s="340">
        <f>O111*H111</f>
        <v>0.025</v>
      </c>
      <c r="Q111" s="340">
        <v>9E-05</v>
      </c>
      <c r="R111" s="340">
        <f>Q111*H111</f>
        <v>9E-05</v>
      </c>
      <c r="S111" s="340">
        <v>0</v>
      </c>
      <c r="T111" s="341">
        <f>S111*H111</f>
        <v>0</v>
      </c>
      <c r="AR111" s="157" t="s">
        <v>145</v>
      </c>
      <c r="AT111" s="157" t="s">
        <v>142</v>
      </c>
      <c r="AU111" s="157" t="s">
        <v>95</v>
      </c>
      <c r="AY111" s="157" t="s">
        <v>141</v>
      </c>
      <c r="BE111" s="239">
        <f>IF(N111="základní",J111,0)</f>
        <v>0</v>
      </c>
      <c r="BF111" s="239">
        <f>IF(N111="snížená",J111,0)</f>
        <v>0</v>
      </c>
      <c r="BG111" s="239">
        <f>IF(N111="zákl. přenesená",J111,0)</f>
        <v>0</v>
      </c>
      <c r="BH111" s="239">
        <f>IF(N111="sníž. přenesená",J111,0)</f>
        <v>0</v>
      </c>
      <c r="BI111" s="239">
        <f>IF(N111="nulová",J111,0)</f>
        <v>0</v>
      </c>
      <c r="BJ111" s="157" t="s">
        <v>80</v>
      </c>
      <c r="BK111" s="239">
        <f>ROUND(I111*H111,2)</f>
        <v>0</v>
      </c>
      <c r="BL111" s="157" t="s">
        <v>145</v>
      </c>
      <c r="BM111" s="157" t="s">
        <v>407</v>
      </c>
    </row>
    <row r="112" spans="2:65" s="317" customFormat="1" ht="22.5" customHeight="1">
      <c r="B112" s="232"/>
      <c r="C112" s="233">
        <v>21</v>
      </c>
      <c r="D112" s="233" t="s">
        <v>142</v>
      </c>
      <c r="E112" s="234" t="s">
        <v>583</v>
      </c>
      <c r="F112" s="235" t="s">
        <v>584</v>
      </c>
      <c r="G112" s="236" t="s">
        <v>196</v>
      </c>
      <c r="H112" s="237">
        <v>20</v>
      </c>
      <c r="I112" s="238"/>
      <c r="J112" s="238">
        <f>ROUND(I112*H112,2)</f>
        <v>0</v>
      </c>
      <c r="K112" s="235" t="s">
        <v>581</v>
      </c>
      <c r="L112" s="165"/>
      <c r="M112" s="338" t="s">
        <v>20</v>
      </c>
      <c r="N112" s="339" t="s">
        <v>40</v>
      </c>
      <c r="O112" s="340">
        <v>0.383</v>
      </c>
      <c r="P112" s="340">
        <f>O112*H112</f>
        <v>7.66</v>
      </c>
      <c r="Q112" s="340">
        <v>0.00177</v>
      </c>
      <c r="R112" s="340">
        <f>Q112*H112</f>
        <v>0.0354</v>
      </c>
      <c r="S112" s="340">
        <v>0</v>
      </c>
      <c r="T112" s="341">
        <f>S112*H112</f>
        <v>0</v>
      </c>
      <c r="AR112" s="157" t="s">
        <v>197</v>
      </c>
      <c r="AT112" s="157" t="s">
        <v>142</v>
      </c>
      <c r="AU112" s="157" t="s">
        <v>95</v>
      </c>
      <c r="AY112" s="157" t="s">
        <v>141</v>
      </c>
      <c r="BE112" s="239">
        <f>IF(N112="základní",J112,0)</f>
        <v>0</v>
      </c>
      <c r="BF112" s="239">
        <f>IF(N112="snížená",J112,0)</f>
        <v>0</v>
      </c>
      <c r="BG112" s="239">
        <f>IF(N112="zákl. přenesená",J112,0)</f>
        <v>0</v>
      </c>
      <c r="BH112" s="239">
        <f>IF(N112="sníž. přenesená",J112,0)</f>
        <v>0</v>
      </c>
      <c r="BI112" s="239">
        <f>IF(N112="nulová",J112,0)</f>
        <v>0</v>
      </c>
      <c r="BJ112" s="157" t="s">
        <v>80</v>
      </c>
      <c r="BK112" s="239">
        <f>ROUND(I112*H112,2)</f>
        <v>0</v>
      </c>
      <c r="BL112" s="157" t="s">
        <v>197</v>
      </c>
      <c r="BM112" s="157" t="s">
        <v>585</v>
      </c>
    </row>
    <row r="113" spans="2:51" s="242" customFormat="1" ht="22.5" customHeight="1">
      <c r="B113" s="243"/>
      <c r="D113" s="244" t="s">
        <v>355</v>
      </c>
      <c r="E113" s="245" t="s">
        <v>20</v>
      </c>
      <c r="F113" s="246" t="s">
        <v>586</v>
      </c>
      <c r="H113" s="247">
        <v>20</v>
      </c>
      <c r="L113" s="243"/>
      <c r="M113" s="344"/>
      <c r="N113" s="345"/>
      <c r="O113" s="345"/>
      <c r="P113" s="345"/>
      <c r="Q113" s="345"/>
      <c r="R113" s="345"/>
      <c r="S113" s="345"/>
      <c r="T113" s="346"/>
      <c r="AT113" s="248" t="s">
        <v>355</v>
      </c>
      <c r="AU113" s="248" t="s">
        <v>95</v>
      </c>
      <c r="AV113" s="242" t="s">
        <v>95</v>
      </c>
      <c r="AW113" s="242" t="s">
        <v>32</v>
      </c>
      <c r="AX113" s="242" t="s">
        <v>80</v>
      </c>
      <c r="AY113" s="248" t="s">
        <v>141</v>
      </c>
    </row>
    <row r="114" spans="2:65" s="317" customFormat="1" ht="22.5" customHeight="1">
      <c r="B114" s="232"/>
      <c r="C114" s="233">
        <v>22</v>
      </c>
      <c r="D114" s="233" t="s">
        <v>142</v>
      </c>
      <c r="E114" s="234" t="s">
        <v>587</v>
      </c>
      <c r="F114" s="235" t="s">
        <v>588</v>
      </c>
      <c r="G114" s="236" t="s">
        <v>196</v>
      </c>
      <c r="H114" s="237">
        <v>6</v>
      </c>
      <c r="I114" s="238"/>
      <c r="J114" s="238">
        <f>ROUND(I114*H114,2)</f>
        <v>0</v>
      </c>
      <c r="K114" s="235" t="s">
        <v>581</v>
      </c>
      <c r="L114" s="165"/>
      <c r="M114" s="338" t="s">
        <v>20</v>
      </c>
      <c r="N114" s="339" t="s">
        <v>40</v>
      </c>
      <c r="O114" s="340">
        <v>0.425</v>
      </c>
      <c r="P114" s="340">
        <f>O114*H114</f>
        <v>2.55</v>
      </c>
      <c r="Q114" s="340">
        <v>0.0044</v>
      </c>
      <c r="R114" s="340">
        <f>Q114*H114</f>
        <v>0.0264</v>
      </c>
      <c r="S114" s="340">
        <v>0</v>
      </c>
      <c r="T114" s="341">
        <f>S114*H114</f>
        <v>0</v>
      </c>
      <c r="AR114" s="157" t="s">
        <v>197</v>
      </c>
      <c r="AT114" s="157" t="s">
        <v>142</v>
      </c>
      <c r="AU114" s="157" t="s">
        <v>95</v>
      </c>
      <c r="AY114" s="157" t="s">
        <v>141</v>
      </c>
      <c r="BE114" s="239">
        <f>IF(N114="základní",J114,0)</f>
        <v>0</v>
      </c>
      <c r="BF114" s="239">
        <f>IF(N114="snížená",J114,0)</f>
        <v>0</v>
      </c>
      <c r="BG114" s="239">
        <f>IF(N114="zákl. přenesená",J114,0)</f>
        <v>0</v>
      </c>
      <c r="BH114" s="239">
        <f>IF(N114="sníž. přenesená",J114,0)</f>
        <v>0</v>
      </c>
      <c r="BI114" s="239">
        <f>IF(N114="nulová",J114,0)</f>
        <v>0</v>
      </c>
      <c r="BJ114" s="157" t="s">
        <v>80</v>
      </c>
      <c r="BK114" s="239">
        <f>ROUND(I114*H114,2)</f>
        <v>0</v>
      </c>
      <c r="BL114" s="157" t="s">
        <v>197</v>
      </c>
      <c r="BM114" s="157" t="s">
        <v>589</v>
      </c>
    </row>
    <row r="115" spans="2:47" s="317" customFormat="1" ht="22.5" customHeight="1">
      <c r="B115" s="165"/>
      <c r="D115" s="244" t="s">
        <v>354</v>
      </c>
      <c r="F115" s="255" t="s">
        <v>590</v>
      </c>
      <c r="L115" s="165"/>
      <c r="M115" s="342"/>
      <c r="N115" s="316"/>
      <c r="O115" s="316"/>
      <c r="P115" s="316"/>
      <c r="Q115" s="316"/>
      <c r="R115" s="316"/>
      <c r="S115" s="316"/>
      <c r="T115" s="343"/>
      <c r="AT115" s="157" t="s">
        <v>354</v>
      </c>
      <c r="AU115" s="157" t="s">
        <v>95</v>
      </c>
    </row>
    <row r="116" spans="2:65" s="317" customFormat="1" ht="31.5" customHeight="1">
      <c r="B116" s="232"/>
      <c r="C116" s="233">
        <v>23</v>
      </c>
      <c r="D116" s="233" t="s">
        <v>142</v>
      </c>
      <c r="E116" s="234" t="s">
        <v>408</v>
      </c>
      <c r="F116" s="235" t="s">
        <v>409</v>
      </c>
      <c r="G116" s="236" t="s">
        <v>196</v>
      </c>
      <c r="H116" s="237">
        <v>5</v>
      </c>
      <c r="I116" s="238"/>
      <c r="J116" s="238">
        <f>ROUND(I116*H116,2)</f>
        <v>0</v>
      </c>
      <c r="K116" s="235" t="s">
        <v>581</v>
      </c>
      <c r="L116" s="165"/>
      <c r="M116" s="338" t="s">
        <v>20</v>
      </c>
      <c r="N116" s="339" t="s">
        <v>40</v>
      </c>
      <c r="O116" s="340">
        <v>0.171</v>
      </c>
      <c r="P116" s="340">
        <f>O116*H116</f>
        <v>0.8550000000000001</v>
      </c>
      <c r="Q116" s="340">
        <v>0</v>
      </c>
      <c r="R116" s="340">
        <f>Q116*H116</f>
        <v>0</v>
      </c>
      <c r="S116" s="340">
        <v>0</v>
      </c>
      <c r="T116" s="341">
        <f>S116*H116</f>
        <v>0</v>
      </c>
      <c r="AR116" s="157" t="s">
        <v>145</v>
      </c>
      <c r="AT116" s="157" t="s">
        <v>142</v>
      </c>
      <c r="AU116" s="157" t="s">
        <v>95</v>
      </c>
      <c r="AY116" s="157" t="s">
        <v>141</v>
      </c>
      <c r="BE116" s="239">
        <f>IF(N116="základní",J116,0)</f>
        <v>0</v>
      </c>
      <c r="BF116" s="239">
        <f>IF(N116="snížená",J116,0)</f>
        <v>0</v>
      </c>
      <c r="BG116" s="239">
        <f>IF(N116="zákl. přenesená",J116,0)</f>
        <v>0</v>
      </c>
      <c r="BH116" s="239">
        <f>IF(N116="sníž. přenesená",J116,0)</f>
        <v>0</v>
      </c>
      <c r="BI116" s="239">
        <f>IF(N116="nulová",J116,0)</f>
        <v>0</v>
      </c>
      <c r="BJ116" s="157" t="s">
        <v>80</v>
      </c>
      <c r="BK116" s="239">
        <f>ROUND(I116*H116,2)</f>
        <v>0</v>
      </c>
      <c r="BL116" s="157" t="s">
        <v>145</v>
      </c>
      <c r="BM116" s="157" t="s">
        <v>410</v>
      </c>
    </row>
    <row r="117" spans="2:47" s="317" customFormat="1" ht="30" customHeight="1">
      <c r="B117" s="165"/>
      <c r="D117" s="244" t="s">
        <v>354</v>
      </c>
      <c r="F117" s="255" t="s">
        <v>411</v>
      </c>
      <c r="L117" s="165"/>
      <c r="M117" s="342"/>
      <c r="N117" s="316"/>
      <c r="O117" s="316"/>
      <c r="P117" s="316"/>
      <c r="Q117" s="316"/>
      <c r="R117" s="316"/>
      <c r="S117" s="316"/>
      <c r="T117" s="343"/>
      <c r="AT117" s="157" t="s">
        <v>354</v>
      </c>
      <c r="AU117" s="157" t="s">
        <v>95</v>
      </c>
    </row>
    <row r="118" spans="2:65" s="317" customFormat="1" ht="22.5" customHeight="1">
      <c r="B118" s="232"/>
      <c r="C118" s="249">
        <v>24</v>
      </c>
      <c r="D118" s="249" t="s">
        <v>198</v>
      </c>
      <c r="E118" s="250" t="s">
        <v>412</v>
      </c>
      <c r="F118" s="251" t="s">
        <v>413</v>
      </c>
      <c r="G118" s="252" t="s">
        <v>196</v>
      </c>
      <c r="H118" s="253">
        <v>28</v>
      </c>
      <c r="I118" s="254"/>
      <c r="J118" s="254">
        <f aca="true" t="shared" si="10" ref="J118:J128">ROUND(I118*H118,2)</f>
        <v>0</v>
      </c>
      <c r="K118" s="251" t="s">
        <v>581</v>
      </c>
      <c r="L118" s="347"/>
      <c r="M118" s="348" t="s">
        <v>20</v>
      </c>
      <c r="N118" s="349" t="s">
        <v>40</v>
      </c>
      <c r="O118" s="340">
        <v>0</v>
      </c>
      <c r="P118" s="340">
        <f aca="true" t="shared" si="11" ref="P118:P128">O118*H118</f>
        <v>0</v>
      </c>
      <c r="Q118" s="340">
        <v>0.00027</v>
      </c>
      <c r="R118" s="340">
        <f aca="true" t="shared" si="12" ref="R118:R128">Q118*H118</f>
        <v>0.00756</v>
      </c>
      <c r="S118" s="340">
        <v>0</v>
      </c>
      <c r="T118" s="341">
        <f aca="true" t="shared" si="13" ref="T118:T128">S118*H118</f>
        <v>0</v>
      </c>
      <c r="AR118" s="157" t="s">
        <v>167</v>
      </c>
      <c r="AT118" s="157" t="s">
        <v>198</v>
      </c>
      <c r="AU118" s="157" t="s">
        <v>95</v>
      </c>
      <c r="AY118" s="157" t="s">
        <v>141</v>
      </c>
      <c r="BE118" s="239">
        <f aca="true" t="shared" si="14" ref="BE118:BE128">IF(N118="základní",J118,0)</f>
        <v>0</v>
      </c>
      <c r="BF118" s="239">
        <f aca="true" t="shared" si="15" ref="BF118:BF128">IF(N118="snížená",J118,0)</f>
        <v>0</v>
      </c>
      <c r="BG118" s="239">
        <f aca="true" t="shared" si="16" ref="BG118:BG128">IF(N118="zákl. přenesená",J118,0)</f>
        <v>0</v>
      </c>
      <c r="BH118" s="239">
        <f aca="true" t="shared" si="17" ref="BH118:BH128">IF(N118="sníž. přenesená",J118,0)</f>
        <v>0</v>
      </c>
      <c r="BI118" s="239">
        <f aca="true" t="shared" si="18" ref="BI118:BI128">IF(N118="nulová",J118,0)</f>
        <v>0</v>
      </c>
      <c r="BJ118" s="157" t="s">
        <v>80</v>
      </c>
      <c r="BK118" s="239">
        <f aca="true" t="shared" si="19" ref="BK118:BK128">ROUND(I118*H118,2)</f>
        <v>0</v>
      </c>
      <c r="BL118" s="157" t="s">
        <v>145</v>
      </c>
      <c r="BM118" s="157" t="s">
        <v>414</v>
      </c>
    </row>
    <row r="119" spans="2:65" s="317" customFormat="1" ht="31.5" customHeight="1">
      <c r="B119" s="232"/>
      <c r="C119" s="233">
        <v>25</v>
      </c>
      <c r="D119" s="233" t="s">
        <v>142</v>
      </c>
      <c r="E119" s="234" t="s">
        <v>415</v>
      </c>
      <c r="F119" s="235" t="s">
        <v>416</v>
      </c>
      <c r="G119" s="236" t="s">
        <v>233</v>
      </c>
      <c r="H119" s="237">
        <v>1</v>
      </c>
      <c r="I119" s="238"/>
      <c r="J119" s="238">
        <f t="shared" si="10"/>
        <v>0</v>
      </c>
      <c r="K119" s="235" t="s">
        <v>581</v>
      </c>
      <c r="L119" s="165"/>
      <c r="M119" s="338" t="s">
        <v>20</v>
      </c>
      <c r="N119" s="339" t="s">
        <v>40</v>
      </c>
      <c r="O119" s="340">
        <v>1.084</v>
      </c>
      <c r="P119" s="340">
        <f t="shared" si="11"/>
        <v>1.084</v>
      </c>
      <c r="Q119" s="340">
        <v>0.3217</v>
      </c>
      <c r="R119" s="340">
        <f t="shared" si="12"/>
        <v>0.3217</v>
      </c>
      <c r="S119" s="340">
        <v>0</v>
      </c>
      <c r="T119" s="341">
        <f t="shared" si="13"/>
        <v>0</v>
      </c>
      <c r="AR119" s="157" t="s">
        <v>145</v>
      </c>
      <c r="AT119" s="157" t="s">
        <v>142</v>
      </c>
      <c r="AU119" s="157" t="s">
        <v>95</v>
      </c>
      <c r="AY119" s="157" t="s">
        <v>141</v>
      </c>
      <c r="BE119" s="239">
        <f t="shared" si="14"/>
        <v>0</v>
      </c>
      <c r="BF119" s="239">
        <f t="shared" si="15"/>
        <v>0</v>
      </c>
      <c r="BG119" s="239">
        <f t="shared" si="16"/>
        <v>0</v>
      </c>
      <c r="BH119" s="239">
        <f t="shared" si="17"/>
        <v>0</v>
      </c>
      <c r="BI119" s="239">
        <f t="shared" si="18"/>
        <v>0</v>
      </c>
      <c r="BJ119" s="157" t="s">
        <v>80</v>
      </c>
      <c r="BK119" s="239">
        <f t="shared" si="19"/>
        <v>0</v>
      </c>
      <c r="BL119" s="157" t="s">
        <v>145</v>
      </c>
      <c r="BM119" s="157" t="s">
        <v>417</v>
      </c>
    </row>
    <row r="120" spans="2:65" s="317" customFormat="1" ht="22.5" customHeight="1">
      <c r="B120" s="232"/>
      <c r="C120" s="233">
        <v>26</v>
      </c>
      <c r="D120" s="233" t="s">
        <v>142</v>
      </c>
      <c r="E120" s="234" t="s">
        <v>591</v>
      </c>
      <c r="F120" s="235" t="s">
        <v>592</v>
      </c>
      <c r="G120" s="236" t="s">
        <v>233</v>
      </c>
      <c r="H120" s="237">
        <v>1</v>
      </c>
      <c r="I120" s="238"/>
      <c r="J120" s="238">
        <f t="shared" si="10"/>
        <v>0</v>
      </c>
      <c r="K120" s="235" t="s">
        <v>581</v>
      </c>
      <c r="L120" s="165"/>
      <c r="M120" s="338" t="s">
        <v>20</v>
      </c>
      <c r="N120" s="339" t="s">
        <v>40</v>
      </c>
      <c r="O120" s="340">
        <v>0.5</v>
      </c>
      <c r="P120" s="340">
        <f t="shared" si="11"/>
        <v>0.5</v>
      </c>
      <c r="Q120" s="340">
        <v>0.06405</v>
      </c>
      <c r="R120" s="340">
        <f t="shared" si="12"/>
        <v>0.06405</v>
      </c>
      <c r="S120" s="340">
        <v>0</v>
      </c>
      <c r="T120" s="341">
        <f t="shared" si="13"/>
        <v>0</v>
      </c>
      <c r="AR120" s="157" t="s">
        <v>145</v>
      </c>
      <c r="AT120" s="157" t="s">
        <v>142</v>
      </c>
      <c r="AU120" s="157" t="s">
        <v>95</v>
      </c>
      <c r="AY120" s="157" t="s">
        <v>141</v>
      </c>
      <c r="BE120" s="239">
        <f t="shared" si="14"/>
        <v>0</v>
      </c>
      <c r="BF120" s="239">
        <f t="shared" si="15"/>
        <v>0</v>
      </c>
      <c r="BG120" s="239">
        <f t="shared" si="16"/>
        <v>0</v>
      </c>
      <c r="BH120" s="239">
        <f t="shared" si="17"/>
        <v>0</v>
      </c>
      <c r="BI120" s="239">
        <f t="shared" si="18"/>
        <v>0</v>
      </c>
      <c r="BJ120" s="157" t="s">
        <v>80</v>
      </c>
      <c r="BK120" s="239">
        <f t="shared" si="19"/>
        <v>0</v>
      </c>
      <c r="BL120" s="157" t="s">
        <v>145</v>
      </c>
      <c r="BM120" s="157" t="s">
        <v>593</v>
      </c>
    </row>
    <row r="121" spans="2:65" s="317" customFormat="1" ht="31.5" customHeight="1">
      <c r="B121" s="232"/>
      <c r="C121" s="233">
        <v>27</v>
      </c>
      <c r="D121" s="233" t="s">
        <v>142</v>
      </c>
      <c r="E121" s="234" t="s">
        <v>594</v>
      </c>
      <c r="F121" s="235" t="s">
        <v>595</v>
      </c>
      <c r="G121" s="236" t="s">
        <v>233</v>
      </c>
      <c r="H121" s="237">
        <v>1</v>
      </c>
      <c r="I121" s="238"/>
      <c r="J121" s="238">
        <f t="shared" si="10"/>
        <v>0</v>
      </c>
      <c r="K121" s="235" t="s">
        <v>581</v>
      </c>
      <c r="L121" s="165"/>
      <c r="M121" s="338" t="s">
        <v>20</v>
      </c>
      <c r="N121" s="339" t="s">
        <v>40</v>
      </c>
      <c r="O121" s="340">
        <v>0.166</v>
      </c>
      <c r="P121" s="340">
        <f t="shared" si="11"/>
        <v>0.166</v>
      </c>
      <c r="Q121" s="340">
        <v>0.00598</v>
      </c>
      <c r="R121" s="340">
        <f t="shared" si="12"/>
        <v>0.00598</v>
      </c>
      <c r="S121" s="340">
        <v>0</v>
      </c>
      <c r="T121" s="341">
        <f t="shared" si="13"/>
        <v>0</v>
      </c>
      <c r="AR121" s="157" t="s">
        <v>145</v>
      </c>
      <c r="AT121" s="157" t="s">
        <v>142</v>
      </c>
      <c r="AU121" s="157" t="s">
        <v>95</v>
      </c>
      <c r="AY121" s="157" t="s">
        <v>141</v>
      </c>
      <c r="BE121" s="239">
        <f t="shared" si="14"/>
        <v>0</v>
      </c>
      <c r="BF121" s="239">
        <f t="shared" si="15"/>
        <v>0</v>
      </c>
      <c r="BG121" s="239">
        <f t="shared" si="16"/>
        <v>0</v>
      </c>
      <c r="BH121" s="239">
        <f t="shared" si="17"/>
        <v>0</v>
      </c>
      <c r="BI121" s="239">
        <f t="shared" si="18"/>
        <v>0</v>
      </c>
      <c r="BJ121" s="157" t="s">
        <v>80</v>
      </c>
      <c r="BK121" s="239">
        <f t="shared" si="19"/>
        <v>0</v>
      </c>
      <c r="BL121" s="157" t="s">
        <v>145</v>
      </c>
      <c r="BM121" s="157" t="s">
        <v>596</v>
      </c>
    </row>
    <row r="122" spans="2:65" s="317" customFormat="1" ht="22.5" customHeight="1">
      <c r="B122" s="232"/>
      <c r="C122" s="233">
        <v>28</v>
      </c>
      <c r="D122" s="233" t="s">
        <v>142</v>
      </c>
      <c r="E122" s="234" t="s">
        <v>597</v>
      </c>
      <c r="F122" s="235" t="s">
        <v>598</v>
      </c>
      <c r="G122" s="236" t="s">
        <v>233</v>
      </c>
      <c r="H122" s="237">
        <v>1</v>
      </c>
      <c r="I122" s="238"/>
      <c r="J122" s="238">
        <f t="shared" si="10"/>
        <v>0</v>
      </c>
      <c r="K122" s="235" t="s">
        <v>581</v>
      </c>
      <c r="L122" s="165"/>
      <c r="M122" s="338" t="s">
        <v>20</v>
      </c>
      <c r="N122" s="339" t="s">
        <v>40</v>
      </c>
      <c r="O122" s="340">
        <v>0.22</v>
      </c>
      <c r="P122" s="340">
        <f t="shared" si="11"/>
        <v>0.22</v>
      </c>
      <c r="Q122" s="340">
        <v>0</v>
      </c>
      <c r="R122" s="340">
        <f t="shared" si="12"/>
        <v>0</v>
      </c>
      <c r="S122" s="340">
        <v>0</v>
      </c>
      <c r="T122" s="341">
        <f t="shared" si="13"/>
        <v>0</v>
      </c>
      <c r="AR122" s="157" t="s">
        <v>145</v>
      </c>
      <c r="AT122" s="157" t="s">
        <v>142</v>
      </c>
      <c r="AU122" s="157" t="s">
        <v>95</v>
      </c>
      <c r="AY122" s="157" t="s">
        <v>141</v>
      </c>
      <c r="BE122" s="239">
        <f t="shared" si="14"/>
        <v>0</v>
      </c>
      <c r="BF122" s="239">
        <f t="shared" si="15"/>
        <v>0</v>
      </c>
      <c r="BG122" s="239">
        <f t="shared" si="16"/>
        <v>0</v>
      </c>
      <c r="BH122" s="239">
        <f t="shared" si="17"/>
        <v>0</v>
      </c>
      <c r="BI122" s="239">
        <f t="shared" si="18"/>
        <v>0</v>
      </c>
      <c r="BJ122" s="157" t="s">
        <v>80</v>
      </c>
      <c r="BK122" s="239">
        <f t="shared" si="19"/>
        <v>0</v>
      </c>
      <c r="BL122" s="157" t="s">
        <v>145</v>
      </c>
      <c r="BM122" s="157" t="s">
        <v>599</v>
      </c>
    </row>
    <row r="123" spans="2:65" s="317" customFormat="1" ht="31.5" customHeight="1">
      <c r="B123" s="232"/>
      <c r="C123" s="233">
        <v>29</v>
      </c>
      <c r="D123" s="233" t="s">
        <v>142</v>
      </c>
      <c r="E123" s="234" t="s">
        <v>600</v>
      </c>
      <c r="F123" s="235" t="s">
        <v>601</v>
      </c>
      <c r="G123" s="236" t="s">
        <v>233</v>
      </c>
      <c r="H123" s="237">
        <v>1</v>
      </c>
      <c r="I123" s="238"/>
      <c r="J123" s="238">
        <f t="shared" si="10"/>
        <v>0</v>
      </c>
      <c r="K123" s="235" t="s">
        <v>581</v>
      </c>
      <c r="L123" s="165"/>
      <c r="M123" s="338" t="s">
        <v>20</v>
      </c>
      <c r="N123" s="339" t="s">
        <v>40</v>
      </c>
      <c r="O123" s="340">
        <v>0.666</v>
      </c>
      <c r="P123" s="340">
        <f t="shared" si="11"/>
        <v>0.666</v>
      </c>
      <c r="Q123" s="340">
        <v>0.0606</v>
      </c>
      <c r="R123" s="340">
        <f t="shared" si="12"/>
        <v>0.0606</v>
      </c>
      <c r="S123" s="340">
        <v>0</v>
      </c>
      <c r="T123" s="341">
        <f t="shared" si="13"/>
        <v>0</v>
      </c>
      <c r="AR123" s="157" t="s">
        <v>145</v>
      </c>
      <c r="AT123" s="157" t="s">
        <v>142</v>
      </c>
      <c r="AU123" s="157" t="s">
        <v>95</v>
      </c>
      <c r="AY123" s="157" t="s">
        <v>141</v>
      </c>
      <c r="BE123" s="239">
        <f t="shared" si="14"/>
        <v>0</v>
      </c>
      <c r="BF123" s="239">
        <f t="shared" si="15"/>
        <v>0</v>
      </c>
      <c r="BG123" s="239">
        <f t="shared" si="16"/>
        <v>0</v>
      </c>
      <c r="BH123" s="239">
        <f t="shared" si="17"/>
        <v>0</v>
      </c>
      <c r="BI123" s="239">
        <f t="shared" si="18"/>
        <v>0</v>
      </c>
      <c r="BJ123" s="157" t="s">
        <v>80</v>
      </c>
      <c r="BK123" s="239">
        <f t="shared" si="19"/>
        <v>0</v>
      </c>
      <c r="BL123" s="157" t="s">
        <v>145</v>
      </c>
      <c r="BM123" s="157" t="s">
        <v>602</v>
      </c>
    </row>
    <row r="124" spans="2:65" s="317" customFormat="1" ht="22.5" customHeight="1">
      <c r="B124" s="232"/>
      <c r="C124" s="233">
        <v>30</v>
      </c>
      <c r="D124" s="233" t="s">
        <v>142</v>
      </c>
      <c r="E124" s="234" t="s">
        <v>603</v>
      </c>
      <c r="F124" s="235" t="s">
        <v>604</v>
      </c>
      <c r="G124" s="236" t="s">
        <v>233</v>
      </c>
      <c r="H124" s="237">
        <v>1</v>
      </c>
      <c r="I124" s="238"/>
      <c r="J124" s="238">
        <f t="shared" si="10"/>
        <v>0</v>
      </c>
      <c r="K124" s="235" t="s">
        <v>581</v>
      </c>
      <c r="L124" s="165"/>
      <c r="M124" s="338" t="s">
        <v>20</v>
      </c>
      <c r="N124" s="339" t="s">
        <v>40</v>
      </c>
      <c r="O124" s="340">
        <v>0.667</v>
      </c>
      <c r="P124" s="340">
        <f t="shared" si="11"/>
        <v>0.667</v>
      </c>
      <c r="Q124" s="340">
        <v>0.10661</v>
      </c>
      <c r="R124" s="340">
        <f t="shared" si="12"/>
        <v>0.10661</v>
      </c>
      <c r="S124" s="340">
        <v>0</v>
      </c>
      <c r="T124" s="341">
        <f t="shared" si="13"/>
        <v>0</v>
      </c>
      <c r="AR124" s="157" t="s">
        <v>145</v>
      </c>
      <c r="AT124" s="157" t="s">
        <v>142</v>
      </c>
      <c r="AU124" s="157" t="s">
        <v>95</v>
      </c>
      <c r="AY124" s="157" t="s">
        <v>141</v>
      </c>
      <c r="BE124" s="239">
        <f t="shared" si="14"/>
        <v>0</v>
      </c>
      <c r="BF124" s="239">
        <f t="shared" si="15"/>
        <v>0</v>
      </c>
      <c r="BG124" s="239">
        <f t="shared" si="16"/>
        <v>0</v>
      </c>
      <c r="BH124" s="239">
        <f t="shared" si="17"/>
        <v>0</v>
      </c>
      <c r="BI124" s="239">
        <f t="shared" si="18"/>
        <v>0</v>
      </c>
      <c r="BJ124" s="157" t="s">
        <v>80</v>
      </c>
      <c r="BK124" s="239">
        <f t="shared" si="19"/>
        <v>0</v>
      </c>
      <c r="BL124" s="157" t="s">
        <v>145</v>
      </c>
      <c r="BM124" s="157" t="s">
        <v>605</v>
      </c>
    </row>
    <row r="125" spans="2:65" s="317" customFormat="1" ht="22.5" customHeight="1">
      <c r="B125" s="232"/>
      <c r="C125" s="233">
        <v>31</v>
      </c>
      <c r="D125" s="233" t="s">
        <v>142</v>
      </c>
      <c r="E125" s="234" t="s">
        <v>606</v>
      </c>
      <c r="F125" s="235" t="s">
        <v>607</v>
      </c>
      <c r="G125" s="236" t="s">
        <v>233</v>
      </c>
      <c r="H125" s="237">
        <v>1</v>
      </c>
      <c r="I125" s="238"/>
      <c r="J125" s="238">
        <f t="shared" si="10"/>
        <v>0</v>
      </c>
      <c r="K125" s="235" t="s">
        <v>581</v>
      </c>
      <c r="L125" s="165"/>
      <c r="M125" s="338" t="s">
        <v>20</v>
      </c>
      <c r="N125" s="339" t="s">
        <v>40</v>
      </c>
      <c r="O125" s="340">
        <v>0.167</v>
      </c>
      <c r="P125" s="340">
        <f t="shared" si="11"/>
        <v>0.167</v>
      </c>
      <c r="Q125" s="340">
        <v>0.02424</v>
      </c>
      <c r="R125" s="340">
        <f t="shared" si="12"/>
        <v>0.02424</v>
      </c>
      <c r="S125" s="340">
        <v>0</v>
      </c>
      <c r="T125" s="341">
        <f t="shared" si="13"/>
        <v>0</v>
      </c>
      <c r="AR125" s="157" t="s">
        <v>145</v>
      </c>
      <c r="AT125" s="157" t="s">
        <v>142</v>
      </c>
      <c r="AU125" s="157" t="s">
        <v>95</v>
      </c>
      <c r="AY125" s="157" t="s">
        <v>141</v>
      </c>
      <c r="BE125" s="239">
        <f t="shared" si="14"/>
        <v>0</v>
      </c>
      <c r="BF125" s="239">
        <f t="shared" si="15"/>
        <v>0</v>
      </c>
      <c r="BG125" s="239">
        <f t="shared" si="16"/>
        <v>0</v>
      </c>
      <c r="BH125" s="239">
        <f t="shared" si="17"/>
        <v>0</v>
      </c>
      <c r="BI125" s="239">
        <f t="shared" si="18"/>
        <v>0</v>
      </c>
      <c r="BJ125" s="157" t="s">
        <v>80</v>
      </c>
      <c r="BK125" s="239">
        <f t="shared" si="19"/>
        <v>0</v>
      </c>
      <c r="BL125" s="157" t="s">
        <v>145</v>
      </c>
      <c r="BM125" s="157" t="s">
        <v>608</v>
      </c>
    </row>
    <row r="126" spans="2:65" s="317" customFormat="1" ht="22.5" customHeight="1">
      <c r="B126" s="232"/>
      <c r="C126" s="233">
        <v>32</v>
      </c>
      <c r="D126" s="233" t="s">
        <v>142</v>
      </c>
      <c r="E126" s="234" t="s">
        <v>418</v>
      </c>
      <c r="F126" s="235" t="s">
        <v>419</v>
      </c>
      <c r="G126" s="236" t="s">
        <v>233</v>
      </c>
      <c r="H126" s="237">
        <v>1</v>
      </c>
      <c r="I126" s="238"/>
      <c r="J126" s="238">
        <f t="shared" si="10"/>
        <v>0</v>
      </c>
      <c r="K126" s="235" t="s">
        <v>581</v>
      </c>
      <c r="L126" s="165"/>
      <c r="M126" s="338" t="s">
        <v>20</v>
      </c>
      <c r="N126" s="339" t="s">
        <v>40</v>
      </c>
      <c r="O126" s="340">
        <v>0.333</v>
      </c>
      <c r="P126" s="340">
        <f t="shared" si="11"/>
        <v>0.333</v>
      </c>
      <c r="Q126" s="340">
        <v>0</v>
      </c>
      <c r="R126" s="340">
        <f t="shared" si="12"/>
        <v>0</v>
      </c>
      <c r="S126" s="340">
        <v>0</v>
      </c>
      <c r="T126" s="341">
        <f t="shared" si="13"/>
        <v>0</v>
      </c>
      <c r="AR126" s="157" t="s">
        <v>145</v>
      </c>
      <c r="AT126" s="157" t="s">
        <v>142</v>
      </c>
      <c r="AU126" s="157" t="s">
        <v>95</v>
      </c>
      <c r="AY126" s="157" t="s">
        <v>141</v>
      </c>
      <c r="BE126" s="239">
        <f t="shared" si="14"/>
        <v>0</v>
      </c>
      <c r="BF126" s="239">
        <f t="shared" si="15"/>
        <v>0</v>
      </c>
      <c r="BG126" s="239">
        <f t="shared" si="16"/>
        <v>0</v>
      </c>
      <c r="BH126" s="239">
        <f t="shared" si="17"/>
        <v>0</v>
      </c>
      <c r="BI126" s="239">
        <f t="shared" si="18"/>
        <v>0</v>
      </c>
      <c r="BJ126" s="157" t="s">
        <v>80</v>
      </c>
      <c r="BK126" s="239">
        <f t="shared" si="19"/>
        <v>0</v>
      </c>
      <c r="BL126" s="157" t="s">
        <v>145</v>
      </c>
      <c r="BM126" s="157" t="s">
        <v>420</v>
      </c>
    </row>
    <row r="127" spans="2:65" s="317" customFormat="1" ht="22.5" customHeight="1">
      <c r="B127" s="232"/>
      <c r="C127" s="233">
        <v>33</v>
      </c>
      <c r="D127" s="233" t="s">
        <v>142</v>
      </c>
      <c r="E127" s="234" t="s">
        <v>421</v>
      </c>
      <c r="F127" s="235" t="s">
        <v>422</v>
      </c>
      <c r="G127" s="236" t="s">
        <v>233</v>
      </c>
      <c r="H127" s="237">
        <v>1</v>
      </c>
      <c r="I127" s="238"/>
      <c r="J127" s="238">
        <f t="shared" si="10"/>
        <v>0</v>
      </c>
      <c r="K127" s="235" t="s">
        <v>581</v>
      </c>
      <c r="L127" s="165"/>
      <c r="M127" s="338" t="s">
        <v>20</v>
      </c>
      <c r="N127" s="339" t="s">
        <v>40</v>
      </c>
      <c r="O127" s="340">
        <v>1.751</v>
      </c>
      <c r="P127" s="340">
        <f t="shared" si="11"/>
        <v>1.751</v>
      </c>
      <c r="Q127" s="340">
        <v>0.34036</v>
      </c>
      <c r="R127" s="340">
        <f t="shared" si="12"/>
        <v>0.34036</v>
      </c>
      <c r="S127" s="340">
        <v>0</v>
      </c>
      <c r="T127" s="341">
        <f t="shared" si="13"/>
        <v>0</v>
      </c>
      <c r="AR127" s="157" t="s">
        <v>145</v>
      </c>
      <c r="AT127" s="157" t="s">
        <v>142</v>
      </c>
      <c r="AU127" s="157" t="s">
        <v>95</v>
      </c>
      <c r="AY127" s="157" t="s">
        <v>141</v>
      </c>
      <c r="BE127" s="239">
        <f t="shared" si="14"/>
        <v>0</v>
      </c>
      <c r="BF127" s="239">
        <f t="shared" si="15"/>
        <v>0</v>
      </c>
      <c r="BG127" s="239">
        <f t="shared" si="16"/>
        <v>0</v>
      </c>
      <c r="BH127" s="239">
        <f t="shared" si="17"/>
        <v>0</v>
      </c>
      <c r="BI127" s="239">
        <f t="shared" si="18"/>
        <v>0</v>
      </c>
      <c r="BJ127" s="157" t="s">
        <v>80</v>
      </c>
      <c r="BK127" s="239">
        <f t="shared" si="19"/>
        <v>0</v>
      </c>
      <c r="BL127" s="157" t="s">
        <v>145</v>
      </c>
      <c r="BM127" s="157" t="s">
        <v>423</v>
      </c>
    </row>
    <row r="128" spans="2:65" s="317" customFormat="1" ht="22.5" customHeight="1">
      <c r="B128" s="232"/>
      <c r="C128" s="233">
        <v>34</v>
      </c>
      <c r="D128" s="233" t="s">
        <v>142</v>
      </c>
      <c r="E128" s="234" t="s">
        <v>424</v>
      </c>
      <c r="F128" s="235" t="s">
        <v>425</v>
      </c>
      <c r="G128" s="236" t="s">
        <v>196</v>
      </c>
      <c r="H128" s="237">
        <v>5</v>
      </c>
      <c r="I128" s="238"/>
      <c r="J128" s="238">
        <f t="shared" si="10"/>
        <v>0</v>
      </c>
      <c r="K128" s="235" t="s">
        <v>581</v>
      </c>
      <c r="L128" s="165"/>
      <c r="M128" s="338" t="s">
        <v>20</v>
      </c>
      <c r="N128" s="339" t="s">
        <v>40</v>
      </c>
      <c r="O128" s="340">
        <v>0.054</v>
      </c>
      <c r="P128" s="340">
        <f t="shared" si="11"/>
        <v>0.27</v>
      </c>
      <c r="Q128" s="340">
        <v>0.00019</v>
      </c>
      <c r="R128" s="340">
        <f t="shared" si="12"/>
        <v>0.0009500000000000001</v>
      </c>
      <c r="S128" s="340">
        <v>0</v>
      </c>
      <c r="T128" s="341">
        <f t="shared" si="13"/>
        <v>0</v>
      </c>
      <c r="AR128" s="157" t="s">
        <v>145</v>
      </c>
      <c r="AT128" s="157" t="s">
        <v>142</v>
      </c>
      <c r="AU128" s="157" t="s">
        <v>95</v>
      </c>
      <c r="AY128" s="157" t="s">
        <v>141</v>
      </c>
      <c r="BE128" s="239">
        <f t="shared" si="14"/>
        <v>0</v>
      </c>
      <c r="BF128" s="239">
        <f t="shared" si="15"/>
        <v>0</v>
      </c>
      <c r="BG128" s="239">
        <f t="shared" si="16"/>
        <v>0</v>
      </c>
      <c r="BH128" s="239">
        <f t="shared" si="17"/>
        <v>0</v>
      </c>
      <c r="BI128" s="239">
        <f t="shared" si="18"/>
        <v>0</v>
      </c>
      <c r="BJ128" s="157" t="s">
        <v>80</v>
      </c>
      <c r="BK128" s="239">
        <f t="shared" si="19"/>
        <v>0</v>
      </c>
      <c r="BL128" s="157" t="s">
        <v>145</v>
      </c>
      <c r="BM128" s="157" t="s">
        <v>426</v>
      </c>
    </row>
    <row r="129" spans="2:47" s="317" customFormat="1" ht="22.5" customHeight="1">
      <c r="B129" s="165"/>
      <c r="D129" s="244" t="s">
        <v>354</v>
      </c>
      <c r="F129" s="255" t="s">
        <v>427</v>
      </c>
      <c r="L129" s="165"/>
      <c r="M129" s="342"/>
      <c r="N129" s="316"/>
      <c r="O129" s="316"/>
      <c r="P129" s="316"/>
      <c r="Q129" s="316"/>
      <c r="R129" s="316"/>
      <c r="S129" s="316"/>
      <c r="T129" s="343"/>
      <c r="AT129" s="157" t="s">
        <v>354</v>
      </c>
      <c r="AU129" s="157" t="s">
        <v>95</v>
      </c>
    </row>
    <row r="130" spans="2:65" s="317" customFormat="1" ht="22.5" customHeight="1">
      <c r="B130" s="232"/>
      <c r="C130" s="233">
        <v>35</v>
      </c>
      <c r="D130" s="233" t="s">
        <v>142</v>
      </c>
      <c r="E130" s="234" t="s">
        <v>428</v>
      </c>
      <c r="F130" s="235" t="s">
        <v>429</v>
      </c>
      <c r="G130" s="236" t="s">
        <v>196</v>
      </c>
      <c r="H130" s="237">
        <v>5</v>
      </c>
      <c r="I130" s="238"/>
      <c r="J130" s="238">
        <f>ROUND(I130*H130,2)</f>
        <v>0</v>
      </c>
      <c r="K130" s="235" t="s">
        <v>581</v>
      </c>
      <c r="L130" s="165"/>
      <c r="M130" s="338" t="s">
        <v>20</v>
      </c>
      <c r="N130" s="339" t="s">
        <v>40</v>
      </c>
      <c r="O130" s="340">
        <v>0.025</v>
      </c>
      <c r="P130" s="340">
        <f>O130*H130</f>
        <v>0.125</v>
      </c>
      <c r="Q130" s="340">
        <v>9E-05</v>
      </c>
      <c r="R130" s="340">
        <f>Q130*H130</f>
        <v>0.00045000000000000004</v>
      </c>
      <c r="S130" s="340">
        <v>0</v>
      </c>
      <c r="T130" s="341">
        <f>S130*H130</f>
        <v>0</v>
      </c>
      <c r="AR130" s="157" t="s">
        <v>145</v>
      </c>
      <c r="AT130" s="157" t="s">
        <v>142</v>
      </c>
      <c r="AU130" s="157" t="s">
        <v>95</v>
      </c>
      <c r="AY130" s="157" t="s">
        <v>141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57" t="s">
        <v>80</v>
      </c>
      <c r="BK130" s="239">
        <f>ROUND(I130*H130,2)</f>
        <v>0</v>
      </c>
      <c r="BL130" s="157" t="s">
        <v>145</v>
      </c>
      <c r="BM130" s="157" t="s">
        <v>430</v>
      </c>
    </row>
    <row r="131" spans="2:47" s="317" customFormat="1" ht="22.5" customHeight="1">
      <c r="B131" s="165"/>
      <c r="D131" s="240" t="s">
        <v>354</v>
      </c>
      <c r="F131" s="241" t="s">
        <v>431</v>
      </c>
      <c r="L131" s="165"/>
      <c r="M131" s="342"/>
      <c r="N131" s="316"/>
      <c r="O131" s="316"/>
      <c r="P131" s="316"/>
      <c r="Q131" s="316"/>
      <c r="R131" s="316"/>
      <c r="S131" s="316"/>
      <c r="T131" s="343"/>
      <c r="AT131" s="157" t="s">
        <v>354</v>
      </c>
      <c r="AU131" s="157" t="s">
        <v>95</v>
      </c>
    </row>
    <row r="132" spans="2:63" s="222" customFormat="1" ht="29.85" customHeight="1">
      <c r="B132" s="223"/>
      <c r="D132" s="229" t="s">
        <v>74</v>
      </c>
      <c r="E132" s="230" t="s">
        <v>432</v>
      </c>
      <c r="F132" s="230" t="s">
        <v>433</v>
      </c>
      <c r="J132" s="231">
        <f>BK132</f>
        <v>0</v>
      </c>
      <c r="L132" s="223"/>
      <c r="M132" s="334"/>
      <c r="N132" s="335"/>
      <c r="O132" s="335"/>
      <c r="P132" s="336">
        <f>SUM(P133:P136)</f>
        <v>2.1328</v>
      </c>
      <c r="Q132" s="335"/>
      <c r="R132" s="336">
        <f>SUM(R133:R136)</f>
        <v>0</v>
      </c>
      <c r="S132" s="335"/>
      <c r="T132" s="337">
        <f>SUM(T133:T136)</f>
        <v>0</v>
      </c>
      <c r="AR132" s="224" t="s">
        <v>80</v>
      </c>
      <c r="AT132" s="227" t="s">
        <v>74</v>
      </c>
      <c r="AU132" s="227" t="s">
        <v>80</v>
      </c>
      <c r="AY132" s="224" t="s">
        <v>141</v>
      </c>
      <c r="BK132" s="228">
        <f>SUM(BK133:BK136)</f>
        <v>0</v>
      </c>
    </row>
    <row r="133" spans="2:65" s="317" customFormat="1" ht="22.5" customHeight="1">
      <c r="B133" s="232"/>
      <c r="C133" s="233">
        <v>36</v>
      </c>
      <c r="D133" s="233" t="s">
        <v>142</v>
      </c>
      <c r="E133" s="234" t="s">
        <v>434</v>
      </c>
      <c r="F133" s="235" t="s">
        <v>435</v>
      </c>
      <c r="G133" s="236" t="s">
        <v>174</v>
      </c>
      <c r="H133" s="237">
        <v>6.2</v>
      </c>
      <c r="I133" s="238"/>
      <c r="J133" s="238">
        <f>ROUND(I133*H133,2)</f>
        <v>0</v>
      </c>
      <c r="K133" s="235" t="s">
        <v>581</v>
      </c>
      <c r="L133" s="165"/>
      <c r="M133" s="338" t="s">
        <v>20</v>
      </c>
      <c r="N133" s="339" t="s">
        <v>40</v>
      </c>
      <c r="O133" s="340">
        <v>0.125</v>
      </c>
      <c r="P133" s="340">
        <f>O133*H133</f>
        <v>0.775</v>
      </c>
      <c r="Q133" s="340">
        <v>0</v>
      </c>
      <c r="R133" s="340">
        <f>Q133*H133</f>
        <v>0</v>
      </c>
      <c r="S133" s="340">
        <v>0</v>
      </c>
      <c r="T133" s="341">
        <f>S133*H133</f>
        <v>0</v>
      </c>
      <c r="AR133" s="157" t="s">
        <v>145</v>
      </c>
      <c r="AT133" s="157" t="s">
        <v>142</v>
      </c>
      <c r="AU133" s="157" t="s">
        <v>95</v>
      </c>
      <c r="AY133" s="157" t="s">
        <v>141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57" t="s">
        <v>80</v>
      </c>
      <c r="BK133" s="239">
        <f>ROUND(I133*H133,2)</f>
        <v>0</v>
      </c>
      <c r="BL133" s="157" t="s">
        <v>145</v>
      </c>
      <c r="BM133" s="157" t="s">
        <v>436</v>
      </c>
    </row>
    <row r="134" spans="2:65" s="317" customFormat="1" ht="22.5" customHeight="1">
      <c r="B134" s="232"/>
      <c r="C134" s="233">
        <v>37</v>
      </c>
      <c r="D134" s="233" t="s">
        <v>142</v>
      </c>
      <c r="E134" s="234" t="s">
        <v>437</v>
      </c>
      <c r="F134" s="235" t="s">
        <v>438</v>
      </c>
      <c r="G134" s="236" t="s">
        <v>174</v>
      </c>
      <c r="H134" s="237">
        <v>62</v>
      </c>
      <c r="I134" s="238"/>
      <c r="J134" s="238">
        <f>ROUND(I134*H134,2)</f>
        <v>0</v>
      </c>
      <c r="K134" s="235" t="s">
        <v>581</v>
      </c>
      <c r="L134" s="165"/>
      <c r="M134" s="338" t="s">
        <v>20</v>
      </c>
      <c r="N134" s="339" t="s">
        <v>40</v>
      </c>
      <c r="O134" s="340">
        <v>0.006</v>
      </c>
      <c r="P134" s="340">
        <f>O134*H134</f>
        <v>0.372</v>
      </c>
      <c r="Q134" s="340">
        <v>0</v>
      </c>
      <c r="R134" s="340">
        <f>Q134*H134</f>
        <v>0</v>
      </c>
      <c r="S134" s="340">
        <v>0</v>
      </c>
      <c r="T134" s="341">
        <f>S134*H134</f>
        <v>0</v>
      </c>
      <c r="AR134" s="157" t="s">
        <v>145</v>
      </c>
      <c r="AT134" s="157" t="s">
        <v>142</v>
      </c>
      <c r="AU134" s="157" t="s">
        <v>95</v>
      </c>
      <c r="AY134" s="157" t="s">
        <v>141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57" t="s">
        <v>80</v>
      </c>
      <c r="BK134" s="239">
        <f>ROUND(I134*H134,2)</f>
        <v>0</v>
      </c>
      <c r="BL134" s="157" t="s">
        <v>145</v>
      </c>
      <c r="BM134" s="157" t="s">
        <v>439</v>
      </c>
    </row>
    <row r="135" spans="2:65" s="317" customFormat="1" ht="22.5" customHeight="1">
      <c r="B135" s="232"/>
      <c r="C135" s="233">
        <v>38</v>
      </c>
      <c r="D135" s="233" t="s">
        <v>142</v>
      </c>
      <c r="E135" s="234" t="s">
        <v>440</v>
      </c>
      <c r="F135" s="235" t="s">
        <v>441</v>
      </c>
      <c r="G135" s="236" t="s">
        <v>174</v>
      </c>
      <c r="H135" s="237">
        <v>6.2</v>
      </c>
      <c r="I135" s="238"/>
      <c r="J135" s="238">
        <f>ROUND(I135*H135,2)</f>
        <v>0</v>
      </c>
      <c r="K135" s="235" t="s">
        <v>581</v>
      </c>
      <c r="L135" s="165"/>
      <c r="M135" s="338" t="s">
        <v>20</v>
      </c>
      <c r="N135" s="339" t="s">
        <v>40</v>
      </c>
      <c r="O135" s="340">
        <v>0.159</v>
      </c>
      <c r="P135" s="340">
        <f>O135*H135</f>
        <v>0.9858</v>
      </c>
      <c r="Q135" s="340">
        <v>0</v>
      </c>
      <c r="R135" s="340">
        <f>Q135*H135</f>
        <v>0</v>
      </c>
      <c r="S135" s="340">
        <v>0</v>
      </c>
      <c r="T135" s="341">
        <f>S135*H135</f>
        <v>0</v>
      </c>
      <c r="AR135" s="157" t="s">
        <v>145</v>
      </c>
      <c r="AT135" s="157" t="s">
        <v>142</v>
      </c>
      <c r="AU135" s="157" t="s">
        <v>95</v>
      </c>
      <c r="AY135" s="157" t="s">
        <v>141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57" t="s">
        <v>80</v>
      </c>
      <c r="BK135" s="239">
        <f>ROUND(I135*H135,2)</f>
        <v>0</v>
      </c>
      <c r="BL135" s="157" t="s">
        <v>145</v>
      </c>
      <c r="BM135" s="157" t="s">
        <v>442</v>
      </c>
    </row>
    <row r="136" spans="2:65" s="317" customFormat="1" ht="22.5" customHeight="1">
      <c r="B136" s="232"/>
      <c r="C136" s="233">
        <v>39</v>
      </c>
      <c r="D136" s="233" t="s">
        <v>142</v>
      </c>
      <c r="E136" s="234" t="s">
        <v>256</v>
      </c>
      <c r="F136" s="235" t="s">
        <v>257</v>
      </c>
      <c r="G136" s="236" t="s">
        <v>174</v>
      </c>
      <c r="H136" s="237">
        <v>6.2</v>
      </c>
      <c r="I136" s="238"/>
      <c r="J136" s="238">
        <f>ROUND(I136*H136,2)</f>
        <v>0</v>
      </c>
      <c r="K136" s="235" t="s">
        <v>581</v>
      </c>
      <c r="L136" s="165"/>
      <c r="M136" s="338" t="s">
        <v>20</v>
      </c>
      <c r="N136" s="339" t="s">
        <v>40</v>
      </c>
      <c r="O136" s="340">
        <v>0</v>
      </c>
      <c r="P136" s="340">
        <f>O136*H136</f>
        <v>0</v>
      </c>
      <c r="Q136" s="340">
        <v>0</v>
      </c>
      <c r="R136" s="340">
        <f>Q136*H136</f>
        <v>0</v>
      </c>
      <c r="S136" s="340">
        <v>0</v>
      </c>
      <c r="T136" s="341">
        <f>S136*H136</f>
        <v>0</v>
      </c>
      <c r="AR136" s="157" t="s">
        <v>145</v>
      </c>
      <c r="AT136" s="157" t="s">
        <v>142</v>
      </c>
      <c r="AU136" s="157" t="s">
        <v>95</v>
      </c>
      <c r="AY136" s="157" t="s">
        <v>141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57" t="s">
        <v>80</v>
      </c>
      <c r="BK136" s="239">
        <f>ROUND(I136*H136,2)</f>
        <v>0</v>
      </c>
      <c r="BL136" s="157" t="s">
        <v>145</v>
      </c>
      <c r="BM136" s="157" t="s">
        <v>443</v>
      </c>
    </row>
    <row r="137" spans="2:63" s="222" customFormat="1" ht="29.85" customHeight="1">
      <c r="B137" s="223"/>
      <c r="D137" s="229" t="s">
        <v>74</v>
      </c>
      <c r="E137" s="230" t="s">
        <v>444</v>
      </c>
      <c r="F137" s="230" t="s">
        <v>445</v>
      </c>
      <c r="J137" s="231">
        <f>BK137</f>
        <v>0</v>
      </c>
      <c r="L137" s="223"/>
      <c r="M137" s="334"/>
      <c r="N137" s="335"/>
      <c r="O137" s="335"/>
      <c r="P137" s="336">
        <f>SUM(P138:P140)</f>
        <v>3.892524</v>
      </c>
      <c r="Q137" s="335"/>
      <c r="R137" s="336">
        <f>SUM(R138:R140)</f>
        <v>0</v>
      </c>
      <c r="S137" s="335"/>
      <c r="T137" s="337">
        <f>SUM(T138:T140)</f>
        <v>0</v>
      </c>
      <c r="AR137" s="224" t="s">
        <v>80</v>
      </c>
      <c r="AT137" s="227" t="s">
        <v>74</v>
      </c>
      <c r="AU137" s="227" t="s">
        <v>80</v>
      </c>
      <c r="AY137" s="224" t="s">
        <v>141</v>
      </c>
      <c r="BK137" s="228">
        <f>SUM(BK138:BK140)</f>
        <v>0</v>
      </c>
    </row>
    <row r="138" spans="2:65" s="317" customFormat="1" ht="31.5" customHeight="1">
      <c r="B138" s="232"/>
      <c r="C138" s="233">
        <v>40</v>
      </c>
      <c r="D138" s="233" t="s">
        <v>142</v>
      </c>
      <c r="E138" s="234" t="s">
        <v>262</v>
      </c>
      <c r="F138" s="235" t="s">
        <v>263</v>
      </c>
      <c r="G138" s="236" t="s">
        <v>174</v>
      </c>
      <c r="H138" s="237">
        <v>4.906</v>
      </c>
      <c r="I138" s="238"/>
      <c r="J138" s="238">
        <f>ROUND(I138*H138,2)</f>
        <v>0</v>
      </c>
      <c r="K138" s="235" t="s">
        <v>581</v>
      </c>
      <c r="L138" s="165"/>
      <c r="M138" s="338" t="s">
        <v>20</v>
      </c>
      <c r="N138" s="339" t="s">
        <v>40</v>
      </c>
      <c r="O138" s="340">
        <v>0.066</v>
      </c>
      <c r="P138" s="340">
        <f>O138*H138</f>
        <v>0.323796</v>
      </c>
      <c r="Q138" s="340">
        <v>0</v>
      </c>
      <c r="R138" s="340">
        <f>Q138*H138</f>
        <v>0</v>
      </c>
      <c r="S138" s="340">
        <v>0</v>
      </c>
      <c r="T138" s="341">
        <f>S138*H138</f>
        <v>0</v>
      </c>
      <c r="AR138" s="157" t="s">
        <v>145</v>
      </c>
      <c r="AT138" s="157" t="s">
        <v>142</v>
      </c>
      <c r="AU138" s="157" t="s">
        <v>95</v>
      </c>
      <c r="AY138" s="157" t="s">
        <v>141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57" t="s">
        <v>80</v>
      </c>
      <c r="BK138" s="239">
        <f>ROUND(I138*H138,2)</f>
        <v>0</v>
      </c>
      <c r="BL138" s="157" t="s">
        <v>145</v>
      </c>
      <c r="BM138" s="157" t="s">
        <v>446</v>
      </c>
    </row>
    <row r="139" spans="2:65" s="317" customFormat="1" ht="22.5" customHeight="1">
      <c r="B139" s="232"/>
      <c r="C139" s="233">
        <v>41</v>
      </c>
      <c r="D139" s="233" t="s">
        <v>142</v>
      </c>
      <c r="E139" s="234" t="s">
        <v>447</v>
      </c>
      <c r="F139" s="235" t="s">
        <v>448</v>
      </c>
      <c r="G139" s="236" t="s">
        <v>174</v>
      </c>
      <c r="H139" s="237">
        <v>1.446</v>
      </c>
      <c r="I139" s="238"/>
      <c r="J139" s="238">
        <f>ROUND(I139*H139,2)</f>
        <v>0</v>
      </c>
      <c r="K139" s="235" t="s">
        <v>581</v>
      </c>
      <c r="L139" s="165"/>
      <c r="M139" s="338" t="s">
        <v>20</v>
      </c>
      <c r="N139" s="339" t="s">
        <v>40</v>
      </c>
      <c r="O139" s="340">
        <v>1.48</v>
      </c>
      <c r="P139" s="340">
        <f>O139*H139</f>
        <v>2.1400799999999998</v>
      </c>
      <c r="Q139" s="340">
        <v>0</v>
      </c>
      <c r="R139" s="340">
        <f>Q139*H139</f>
        <v>0</v>
      </c>
      <c r="S139" s="340">
        <v>0</v>
      </c>
      <c r="T139" s="341">
        <f>S139*H139</f>
        <v>0</v>
      </c>
      <c r="AR139" s="157" t="s">
        <v>145</v>
      </c>
      <c r="AT139" s="157" t="s">
        <v>142</v>
      </c>
      <c r="AU139" s="157" t="s">
        <v>95</v>
      </c>
      <c r="AY139" s="157" t="s">
        <v>141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57" t="s">
        <v>80</v>
      </c>
      <c r="BK139" s="239">
        <f>ROUND(I139*H139,2)</f>
        <v>0</v>
      </c>
      <c r="BL139" s="157" t="s">
        <v>145</v>
      </c>
      <c r="BM139" s="157" t="s">
        <v>449</v>
      </c>
    </row>
    <row r="140" spans="2:65" s="317" customFormat="1" ht="31.5" customHeight="1">
      <c r="B140" s="232"/>
      <c r="C140" s="233">
        <v>42</v>
      </c>
      <c r="D140" s="233" t="s">
        <v>142</v>
      </c>
      <c r="E140" s="234" t="s">
        <v>450</v>
      </c>
      <c r="F140" s="235" t="s">
        <v>451</v>
      </c>
      <c r="G140" s="236" t="s">
        <v>174</v>
      </c>
      <c r="H140" s="237">
        <v>1.446</v>
      </c>
      <c r="I140" s="238"/>
      <c r="J140" s="238">
        <f>ROUND(I140*H140,2)</f>
        <v>0</v>
      </c>
      <c r="K140" s="235" t="s">
        <v>581</v>
      </c>
      <c r="L140" s="165"/>
      <c r="M140" s="338" t="s">
        <v>20</v>
      </c>
      <c r="N140" s="339" t="s">
        <v>40</v>
      </c>
      <c r="O140" s="340">
        <v>0.988</v>
      </c>
      <c r="P140" s="340">
        <f>O140*H140</f>
        <v>1.428648</v>
      </c>
      <c r="Q140" s="340">
        <v>0</v>
      </c>
      <c r="R140" s="340">
        <f>Q140*H140</f>
        <v>0</v>
      </c>
      <c r="S140" s="340">
        <v>0</v>
      </c>
      <c r="T140" s="341">
        <f>S140*H140</f>
        <v>0</v>
      </c>
      <c r="AR140" s="157" t="s">
        <v>145</v>
      </c>
      <c r="AT140" s="157" t="s">
        <v>142</v>
      </c>
      <c r="AU140" s="157" t="s">
        <v>95</v>
      </c>
      <c r="AY140" s="157" t="s">
        <v>141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57" t="s">
        <v>80</v>
      </c>
      <c r="BK140" s="239">
        <f>ROUND(I140*H140,2)</f>
        <v>0</v>
      </c>
      <c r="BL140" s="157" t="s">
        <v>145</v>
      </c>
      <c r="BM140" s="157" t="s">
        <v>452</v>
      </c>
    </row>
    <row r="141" spans="2:63" s="222" customFormat="1" ht="37.35" customHeight="1">
      <c r="B141" s="223"/>
      <c r="D141" s="224" t="s">
        <v>74</v>
      </c>
      <c r="E141" s="225" t="s">
        <v>121</v>
      </c>
      <c r="F141" s="225" t="s">
        <v>453</v>
      </c>
      <c r="J141" s="226">
        <f>BK141</f>
        <v>0</v>
      </c>
      <c r="L141" s="223"/>
      <c r="M141" s="334"/>
      <c r="N141" s="335"/>
      <c r="O141" s="335"/>
      <c r="P141" s="336">
        <f>P142+P144</f>
        <v>0</v>
      </c>
      <c r="Q141" s="335"/>
      <c r="R141" s="336">
        <f>R142+R144</f>
        <v>0</v>
      </c>
      <c r="S141" s="335"/>
      <c r="T141" s="337">
        <f>T142+T144</f>
        <v>0</v>
      </c>
      <c r="AR141" s="224" t="s">
        <v>155</v>
      </c>
      <c r="AT141" s="227" t="s">
        <v>74</v>
      </c>
      <c r="AU141" s="227" t="s">
        <v>75</v>
      </c>
      <c r="AY141" s="224" t="s">
        <v>141</v>
      </c>
      <c r="BK141" s="228">
        <f>BK142+BK144</f>
        <v>0</v>
      </c>
    </row>
    <row r="142" spans="2:63" s="222" customFormat="1" ht="19.9" customHeight="1">
      <c r="B142" s="223"/>
      <c r="D142" s="229" t="s">
        <v>74</v>
      </c>
      <c r="E142" s="230" t="s">
        <v>454</v>
      </c>
      <c r="F142" s="230" t="s">
        <v>455</v>
      </c>
      <c r="J142" s="231">
        <f>BK142</f>
        <v>0</v>
      </c>
      <c r="L142" s="223"/>
      <c r="M142" s="334"/>
      <c r="N142" s="335"/>
      <c r="O142" s="335"/>
      <c r="P142" s="336">
        <f>SUM(P143:P143)</f>
        <v>0</v>
      </c>
      <c r="Q142" s="335"/>
      <c r="R142" s="336">
        <f>SUM(R143:R143)</f>
        <v>0</v>
      </c>
      <c r="S142" s="335"/>
      <c r="T142" s="337">
        <f>SUM(T143:T143)</f>
        <v>0</v>
      </c>
      <c r="AR142" s="224" t="s">
        <v>155</v>
      </c>
      <c r="AT142" s="227" t="s">
        <v>74</v>
      </c>
      <c r="AU142" s="227" t="s">
        <v>80</v>
      </c>
      <c r="AY142" s="224" t="s">
        <v>141</v>
      </c>
      <c r="BK142" s="228">
        <f>SUM(BK143:BK143)</f>
        <v>0</v>
      </c>
    </row>
    <row r="143" spans="2:65" s="317" customFormat="1" ht="22.5" customHeight="1">
      <c r="B143" s="232"/>
      <c r="C143" s="233">
        <v>43</v>
      </c>
      <c r="D143" s="233" t="s">
        <v>142</v>
      </c>
      <c r="E143" s="234" t="s">
        <v>456</v>
      </c>
      <c r="F143" s="235" t="s">
        <v>457</v>
      </c>
      <c r="G143" s="236" t="s">
        <v>403</v>
      </c>
      <c r="H143" s="237">
        <v>1</v>
      </c>
      <c r="I143" s="238"/>
      <c r="J143" s="238">
        <f>ROUND(I143*H143,2)</f>
        <v>0</v>
      </c>
      <c r="K143" s="235" t="s">
        <v>581</v>
      </c>
      <c r="L143" s="165"/>
      <c r="M143" s="338" t="s">
        <v>20</v>
      </c>
      <c r="N143" s="339" t="s">
        <v>40</v>
      </c>
      <c r="O143" s="340">
        <v>0</v>
      </c>
      <c r="P143" s="340">
        <f>O143*H143</f>
        <v>0</v>
      </c>
      <c r="Q143" s="340">
        <v>0</v>
      </c>
      <c r="R143" s="340">
        <f>Q143*H143</f>
        <v>0</v>
      </c>
      <c r="S143" s="340">
        <v>0</v>
      </c>
      <c r="T143" s="341">
        <f>S143*H143</f>
        <v>0</v>
      </c>
      <c r="AR143" s="157" t="s">
        <v>458</v>
      </c>
      <c r="AT143" s="157" t="s">
        <v>142</v>
      </c>
      <c r="AU143" s="157" t="s">
        <v>95</v>
      </c>
      <c r="AY143" s="157" t="s">
        <v>141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57" t="s">
        <v>80</v>
      </c>
      <c r="BK143" s="239">
        <f>ROUND(I143*H143,2)</f>
        <v>0</v>
      </c>
      <c r="BL143" s="157" t="s">
        <v>458</v>
      </c>
      <c r="BM143" s="157" t="s">
        <v>459</v>
      </c>
    </row>
    <row r="144" spans="2:63" s="222" customFormat="1" ht="29.85" customHeight="1">
      <c r="B144" s="223"/>
      <c r="D144" s="229" t="s">
        <v>74</v>
      </c>
      <c r="E144" s="230" t="s">
        <v>460</v>
      </c>
      <c r="F144" s="230" t="s">
        <v>461</v>
      </c>
      <c r="J144" s="231">
        <f>BK144</f>
        <v>0</v>
      </c>
      <c r="L144" s="223"/>
      <c r="M144" s="334"/>
      <c r="N144" s="335"/>
      <c r="O144" s="335"/>
      <c r="P144" s="336">
        <f>SUM(P145:P147)</f>
        <v>0</v>
      </c>
      <c r="Q144" s="335"/>
      <c r="R144" s="336">
        <f>SUM(R145:R147)</f>
        <v>0</v>
      </c>
      <c r="S144" s="335"/>
      <c r="T144" s="337">
        <f>SUM(T145:T147)</f>
        <v>0</v>
      </c>
      <c r="AR144" s="224" t="s">
        <v>155</v>
      </c>
      <c r="AT144" s="227" t="s">
        <v>74</v>
      </c>
      <c r="AU144" s="227" t="s">
        <v>80</v>
      </c>
      <c r="AY144" s="224" t="s">
        <v>141</v>
      </c>
      <c r="BK144" s="228">
        <f>SUM(BK145:BK147)</f>
        <v>0</v>
      </c>
    </row>
    <row r="145" spans="2:65" s="317" customFormat="1" ht="22.5" customHeight="1">
      <c r="B145" s="232"/>
      <c r="C145" s="233">
        <v>44</v>
      </c>
      <c r="D145" s="233" t="s">
        <v>142</v>
      </c>
      <c r="E145" s="234" t="s">
        <v>462</v>
      </c>
      <c r="F145" s="235" t="s">
        <v>463</v>
      </c>
      <c r="G145" s="236" t="s">
        <v>403</v>
      </c>
      <c r="H145" s="237">
        <v>1</v>
      </c>
      <c r="I145" s="238"/>
      <c r="J145" s="238">
        <f>ROUND(I145*H145,2)</f>
        <v>0</v>
      </c>
      <c r="K145" s="235" t="s">
        <v>581</v>
      </c>
      <c r="L145" s="165"/>
      <c r="M145" s="338" t="s">
        <v>20</v>
      </c>
      <c r="N145" s="339" t="s">
        <v>40</v>
      </c>
      <c r="O145" s="340">
        <v>0</v>
      </c>
      <c r="P145" s="340">
        <f>O145*H145</f>
        <v>0</v>
      </c>
      <c r="Q145" s="340">
        <v>0</v>
      </c>
      <c r="R145" s="340">
        <f>Q145*H145</f>
        <v>0</v>
      </c>
      <c r="S145" s="340">
        <v>0</v>
      </c>
      <c r="T145" s="341">
        <f>S145*H145</f>
        <v>0</v>
      </c>
      <c r="AR145" s="157" t="s">
        <v>458</v>
      </c>
      <c r="AT145" s="157" t="s">
        <v>142</v>
      </c>
      <c r="AU145" s="157" t="s">
        <v>95</v>
      </c>
      <c r="AY145" s="157" t="s">
        <v>141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57" t="s">
        <v>80</v>
      </c>
      <c r="BK145" s="239">
        <f>ROUND(I145*H145,2)</f>
        <v>0</v>
      </c>
      <c r="BL145" s="157" t="s">
        <v>458</v>
      </c>
      <c r="BM145" s="157" t="s">
        <v>464</v>
      </c>
    </row>
    <row r="146" spans="2:65" s="317" customFormat="1" ht="22.5" customHeight="1">
      <c r="B146" s="232"/>
      <c r="C146" s="233">
        <v>45</v>
      </c>
      <c r="D146" s="233" t="s">
        <v>142</v>
      </c>
      <c r="E146" s="234" t="s">
        <v>465</v>
      </c>
      <c r="F146" s="235" t="s">
        <v>466</v>
      </c>
      <c r="G146" s="236" t="s">
        <v>403</v>
      </c>
      <c r="H146" s="237">
        <v>1</v>
      </c>
      <c r="I146" s="238"/>
      <c r="J146" s="238">
        <f>ROUND(I146*H146,2)</f>
        <v>0</v>
      </c>
      <c r="K146" s="235" t="s">
        <v>20</v>
      </c>
      <c r="L146" s="165"/>
      <c r="M146" s="338" t="s">
        <v>20</v>
      </c>
      <c r="N146" s="339" t="s">
        <v>40</v>
      </c>
      <c r="O146" s="340">
        <v>0</v>
      </c>
      <c r="P146" s="340">
        <f>O146*H146</f>
        <v>0</v>
      </c>
      <c r="Q146" s="340">
        <v>0</v>
      </c>
      <c r="R146" s="340">
        <f>Q146*H146</f>
        <v>0</v>
      </c>
      <c r="S146" s="340">
        <v>0</v>
      </c>
      <c r="T146" s="341">
        <f>S146*H146</f>
        <v>0</v>
      </c>
      <c r="AR146" s="157" t="s">
        <v>458</v>
      </c>
      <c r="AT146" s="157" t="s">
        <v>142</v>
      </c>
      <c r="AU146" s="157" t="s">
        <v>95</v>
      </c>
      <c r="AY146" s="157" t="s">
        <v>141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57" t="s">
        <v>80</v>
      </c>
      <c r="BK146" s="239">
        <f>ROUND(I146*H146,2)</f>
        <v>0</v>
      </c>
      <c r="BL146" s="157" t="s">
        <v>458</v>
      </c>
      <c r="BM146" s="157" t="s">
        <v>467</v>
      </c>
    </row>
    <row r="147" spans="2:47" s="317" customFormat="1" ht="22.5" customHeight="1">
      <c r="B147" s="165"/>
      <c r="D147" s="240" t="s">
        <v>354</v>
      </c>
      <c r="F147" s="241" t="s">
        <v>468</v>
      </c>
      <c r="L147" s="165"/>
      <c r="M147" s="350"/>
      <c r="N147" s="351"/>
      <c r="O147" s="351"/>
      <c r="P147" s="351"/>
      <c r="Q147" s="351"/>
      <c r="R147" s="351"/>
      <c r="S147" s="351"/>
      <c r="T147" s="352"/>
      <c r="AT147" s="157" t="s">
        <v>354</v>
      </c>
      <c r="AU147" s="157" t="s">
        <v>95</v>
      </c>
    </row>
    <row r="148" spans="2:12" s="317" customFormat="1" ht="6.95" customHeight="1">
      <c r="B148" s="186"/>
      <c r="C148" s="187"/>
      <c r="D148" s="187"/>
      <c r="E148" s="187"/>
      <c r="F148" s="187"/>
      <c r="G148" s="187"/>
      <c r="H148" s="187"/>
      <c r="I148" s="187"/>
      <c r="J148" s="187"/>
      <c r="K148" s="187"/>
      <c r="L148" s="165"/>
    </row>
    <row r="149" ht="13.5">
      <c r="AT149" s="256"/>
    </row>
  </sheetData>
  <mergeCells count="9">
    <mergeCell ref="L2:V2"/>
    <mergeCell ref="E47:H47"/>
    <mergeCell ref="E76:H76"/>
    <mergeCell ref="E78:H78"/>
    <mergeCell ref="G1:H1"/>
    <mergeCell ref="E9:H9"/>
    <mergeCell ref="E24:H24"/>
    <mergeCell ref="E45:H45"/>
    <mergeCell ref="E7:M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31496062992125984" right="0.31496062992125984" top="0.3937007874015748" bottom="0.3937007874015748" header="0.31496062992125984" footer="0.31496062992125984"/>
  <pageSetup fitToHeight="4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10"/>
  <sheetViews>
    <sheetView workbookViewId="0" topLeftCell="A87">
      <selection activeCell="F96" sqref="F96:F105"/>
    </sheetView>
  </sheetViews>
  <sheetFormatPr defaultColWidth="11.66015625" defaultRowHeight="13.5"/>
  <cols>
    <col min="1" max="1" width="5.33203125" style="260" bestFit="1" customWidth="1"/>
    <col min="2" max="2" width="12.83203125" style="260" bestFit="1" customWidth="1"/>
    <col min="3" max="3" width="64.33203125" style="260" bestFit="1" customWidth="1"/>
    <col min="4" max="4" width="4.5" style="260" bestFit="1" customWidth="1"/>
    <col min="5" max="5" width="10.66015625" style="260" bestFit="1" customWidth="1"/>
    <col min="6" max="6" width="14.16015625" style="260" bestFit="1" customWidth="1"/>
    <col min="7" max="7" width="19.83203125" style="299" customWidth="1"/>
    <col min="8" max="8" width="7" style="288" hidden="1" customWidth="1"/>
    <col min="9" max="9" width="7" style="260" hidden="1" customWidth="1"/>
    <col min="10" max="10" width="11.66015625" style="260" hidden="1" customWidth="1"/>
    <col min="11" max="11" width="5.83203125" style="260" hidden="1" customWidth="1"/>
    <col min="12" max="254" width="11.66015625" style="260" customWidth="1"/>
    <col min="255" max="255" width="5.33203125" style="260" bestFit="1" customWidth="1"/>
    <col min="256" max="256" width="12.83203125" style="260" bestFit="1" customWidth="1"/>
    <col min="257" max="257" width="64.33203125" style="260" bestFit="1" customWidth="1"/>
    <col min="258" max="258" width="4.5" style="260" bestFit="1" customWidth="1"/>
    <col min="259" max="259" width="10.66015625" style="260" bestFit="1" customWidth="1"/>
    <col min="260" max="260" width="14.16015625" style="260" bestFit="1" customWidth="1"/>
    <col min="261" max="261" width="14.83203125" style="260" bestFit="1" customWidth="1"/>
    <col min="262" max="262" width="8.5" style="260" bestFit="1" customWidth="1"/>
    <col min="263" max="263" width="13" style="260" bestFit="1" customWidth="1"/>
    <col min="264" max="267" width="11.66015625" style="260" hidden="1" customWidth="1"/>
    <col min="268" max="510" width="11.66015625" style="260" customWidth="1"/>
    <col min="511" max="511" width="5.33203125" style="260" bestFit="1" customWidth="1"/>
    <col min="512" max="512" width="12.83203125" style="260" bestFit="1" customWidth="1"/>
    <col min="513" max="513" width="64.33203125" style="260" bestFit="1" customWidth="1"/>
    <col min="514" max="514" width="4.5" style="260" bestFit="1" customWidth="1"/>
    <col min="515" max="515" width="10.66015625" style="260" bestFit="1" customWidth="1"/>
    <col min="516" max="516" width="14.16015625" style="260" bestFit="1" customWidth="1"/>
    <col min="517" max="517" width="14.83203125" style="260" bestFit="1" customWidth="1"/>
    <col min="518" max="518" width="8.5" style="260" bestFit="1" customWidth="1"/>
    <col min="519" max="519" width="13" style="260" bestFit="1" customWidth="1"/>
    <col min="520" max="523" width="11.66015625" style="260" hidden="1" customWidth="1"/>
    <col min="524" max="766" width="11.66015625" style="260" customWidth="1"/>
    <col min="767" max="767" width="5.33203125" style="260" bestFit="1" customWidth="1"/>
    <col min="768" max="768" width="12.83203125" style="260" bestFit="1" customWidth="1"/>
    <col min="769" max="769" width="64.33203125" style="260" bestFit="1" customWidth="1"/>
    <col min="770" max="770" width="4.5" style="260" bestFit="1" customWidth="1"/>
    <col min="771" max="771" width="10.66015625" style="260" bestFit="1" customWidth="1"/>
    <col min="772" max="772" width="14.16015625" style="260" bestFit="1" customWidth="1"/>
    <col min="773" max="773" width="14.83203125" style="260" bestFit="1" customWidth="1"/>
    <col min="774" max="774" width="8.5" style="260" bestFit="1" customWidth="1"/>
    <col min="775" max="775" width="13" style="260" bestFit="1" customWidth="1"/>
    <col min="776" max="779" width="11.66015625" style="260" hidden="1" customWidth="1"/>
    <col min="780" max="1022" width="11.66015625" style="260" customWidth="1"/>
    <col min="1023" max="1023" width="5.33203125" style="260" bestFit="1" customWidth="1"/>
    <col min="1024" max="1024" width="12.83203125" style="260" bestFit="1" customWidth="1"/>
    <col min="1025" max="1025" width="64.33203125" style="260" bestFit="1" customWidth="1"/>
    <col min="1026" max="1026" width="4.5" style="260" bestFit="1" customWidth="1"/>
    <col min="1027" max="1027" width="10.66015625" style="260" bestFit="1" customWidth="1"/>
    <col min="1028" max="1028" width="14.16015625" style="260" bestFit="1" customWidth="1"/>
    <col min="1029" max="1029" width="14.83203125" style="260" bestFit="1" customWidth="1"/>
    <col min="1030" max="1030" width="8.5" style="260" bestFit="1" customWidth="1"/>
    <col min="1031" max="1031" width="13" style="260" bestFit="1" customWidth="1"/>
    <col min="1032" max="1035" width="11.66015625" style="260" hidden="1" customWidth="1"/>
    <col min="1036" max="1278" width="11.66015625" style="260" customWidth="1"/>
    <col min="1279" max="1279" width="5.33203125" style="260" bestFit="1" customWidth="1"/>
    <col min="1280" max="1280" width="12.83203125" style="260" bestFit="1" customWidth="1"/>
    <col min="1281" max="1281" width="64.33203125" style="260" bestFit="1" customWidth="1"/>
    <col min="1282" max="1282" width="4.5" style="260" bestFit="1" customWidth="1"/>
    <col min="1283" max="1283" width="10.66015625" style="260" bestFit="1" customWidth="1"/>
    <col min="1284" max="1284" width="14.16015625" style="260" bestFit="1" customWidth="1"/>
    <col min="1285" max="1285" width="14.83203125" style="260" bestFit="1" customWidth="1"/>
    <col min="1286" max="1286" width="8.5" style="260" bestFit="1" customWidth="1"/>
    <col min="1287" max="1287" width="13" style="260" bestFit="1" customWidth="1"/>
    <col min="1288" max="1291" width="11.66015625" style="260" hidden="1" customWidth="1"/>
    <col min="1292" max="1534" width="11.66015625" style="260" customWidth="1"/>
    <col min="1535" max="1535" width="5.33203125" style="260" bestFit="1" customWidth="1"/>
    <col min="1536" max="1536" width="12.83203125" style="260" bestFit="1" customWidth="1"/>
    <col min="1537" max="1537" width="64.33203125" style="260" bestFit="1" customWidth="1"/>
    <col min="1538" max="1538" width="4.5" style="260" bestFit="1" customWidth="1"/>
    <col min="1539" max="1539" width="10.66015625" style="260" bestFit="1" customWidth="1"/>
    <col min="1540" max="1540" width="14.16015625" style="260" bestFit="1" customWidth="1"/>
    <col min="1541" max="1541" width="14.83203125" style="260" bestFit="1" customWidth="1"/>
    <col min="1542" max="1542" width="8.5" style="260" bestFit="1" customWidth="1"/>
    <col min="1543" max="1543" width="13" style="260" bestFit="1" customWidth="1"/>
    <col min="1544" max="1547" width="11.66015625" style="260" hidden="1" customWidth="1"/>
    <col min="1548" max="1790" width="11.66015625" style="260" customWidth="1"/>
    <col min="1791" max="1791" width="5.33203125" style="260" bestFit="1" customWidth="1"/>
    <col min="1792" max="1792" width="12.83203125" style="260" bestFit="1" customWidth="1"/>
    <col min="1793" max="1793" width="64.33203125" style="260" bestFit="1" customWidth="1"/>
    <col min="1794" max="1794" width="4.5" style="260" bestFit="1" customWidth="1"/>
    <col min="1795" max="1795" width="10.66015625" style="260" bestFit="1" customWidth="1"/>
    <col min="1796" max="1796" width="14.16015625" style="260" bestFit="1" customWidth="1"/>
    <col min="1797" max="1797" width="14.83203125" style="260" bestFit="1" customWidth="1"/>
    <col min="1798" max="1798" width="8.5" style="260" bestFit="1" customWidth="1"/>
    <col min="1799" max="1799" width="13" style="260" bestFit="1" customWidth="1"/>
    <col min="1800" max="1803" width="11.66015625" style="260" hidden="1" customWidth="1"/>
    <col min="1804" max="2046" width="11.66015625" style="260" customWidth="1"/>
    <col min="2047" max="2047" width="5.33203125" style="260" bestFit="1" customWidth="1"/>
    <col min="2048" max="2048" width="12.83203125" style="260" bestFit="1" customWidth="1"/>
    <col min="2049" max="2049" width="64.33203125" style="260" bestFit="1" customWidth="1"/>
    <col min="2050" max="2050" width="4.5" style="260" bestFit="1" customWidth="1"/>
    <col min="2051" max="2051" width="10.66015625" style="260" bestFit="1" customWidth="1"/>
    <col min="2052" max="2052" width="14.16015625" style="260" bestFit="1" customWidth="1"/>
    <col min="2053" max="2053" width="14.83203125" style="260" bestFit="1" customWidth="1"/>
    <col min="2054" max="2054" width="8.5" style="260" bestFit="1" customWidth="1"/>
    <col min="2055" max="2055" width="13" style="260" bestFit="1" customWidth="1"/>
    <col min="2056" max="2059" width="11.66015625" style="260" hidden="1" customWidth="1"/>
    <col min="2060" max="2302" width="11.66015625" style="260" customWidth="1"/>
    <col min="2303" max="2303" width="5.33203125" style="260" bestFit="1" customWidth="1"/>
    <col min="2304" max="2304" width="12.83203125" style="260" bestFit="1" customWidth="1"/>
    <col min="2305" max="2305" width="64.33203125" style="260" bestFit="1" customWidth="1"/>
    <col min="2306" max="2306" width="4.5" style="260" bestFit="1" customWidth="1"/>
    <col min="2307" max="2307" width="10.66015625" style="260" bestFit="1" customWidth="1"/>
    <col min="2308" max="2308" width="14.16015625" style="260" bestFit="1" customWidth="1"/>
    <col min="2309" max="2309" width="14.83203125" style="260" bestFit="1" customWidth="1"/>
    <col min="2310" max="2310" width="8.5" style="260" bestFit="1" customWidth="1"/>
    <col min="2311" max="2311" width="13" style="260" bestFit="1" customWidth="1"/>
    <col min="2312" max="2315" width="11.66015625" style="260" hidden="1" customWidth="1"/>
    <col min="2316" max="2558" width="11.66015625" style="260" customWidth="1"/>
    <col min="2559" max="2559" width="5.33203125" style="260" bestFit="1" customWidth="1"/>
    <col min="2560" max="2560" width="12.83203125" style="260" bestFit="1" customWidth="1"/>
    <col min="2561" max="2561" width="64.33203125" style="260" bestFit="1" customWidth="1"/>
    <col min="2562" max="2562" width="4.5" style="260" bestFit="1" customWidth="1"/>
    <col min="2563" max="2563" width="10.66015625" style="260" bestFit="1" customWidth="1"/>
    <col min="2564" max="2564" width="14.16015625" style="260" bestFit="1" customWidth="1"/>
    <col min="2565" max="2565" width="14.83203125" style="260" bestFit="1" customWidth="1"/>
    <col min="2566" max="2566" width="8.5" style="260" bestFit="1" customWidth="1"/>
    <col min="2567" max="2567" width="13" style="260" bestFit="1" customWidth="1"/>
    <col min="2568" max="2571" width="11.66015625" style="260" hidden="1" customWidth="1"/>
    <col min="2572" max="2814" width="11.66015625" style="260" customWidth="1"/>
    <col min="2815" max="2815" width="5.33203125" style="260" bestFit="1" customWidth="1"/>
    <col min="2816" max="2816" width="12.83203125" style="260" bestFit="1" customWidth="1"/>
    <col min="2817" max="2817" width="64.33203125" style="260" bestFit="1" customWidth="1"/>
    <col min="2818" max="2818" width="4.5" style="260" bestFit="1" customWidth="1"/>
    <col min="2819" max="2819" width="10.66015625" style="260" bestFit="1" customWidth="1"/>
    <col min="2820" max="2820" width="14.16015625" style="260" bestFit="1" customWidth="1"/>
    <col min="2821" max="2821" width="14.83203125" style="260" bestFit="1" customWidth="1"/>
    <col min="2822" max="2822" width="8.5" style="260" bestFit="1" customWidth="1"/>
    <col min="2823" max="2823" width="13" style="260" bestFit="1" customWidth="1"/>
    <col min="2824" max="2827" width="11.66015625" style="260" hidden="1" customWidth="1"/>
    <col min="2828" max="3070" width="11.66015625" style="260" customWidth="1"/>
    <col min="3071" max="3071" width="5.33203125" style="260" bestFit="1" customWidth="1"/>
    <col min="3072" max="3072" width="12.83203125" style="260" bestFit="1" customWidth="1"/>
    <col min="3073" max="3073" width="64.33203125" style="260" bestFit="1" customWidth="1"/>
    <col min="3074" max="3074" width="4.5" style="260" bestFit="1" customWidth="1"/>
    <col min="3075" max="3075" width="10.66015625" style="260" bestFit="1" customWidth="1"/>
    <col min="3076" max="3076" width="14.16015625" style="260" bestFit="1" customWidth="1"/>
    <col min="3077" max="3077" width="14.83203125" style="260" bestFit="1" customWidth="1"/>
    <col min="3078" max="3078" width="8.5" style="260" bestFit="1" customWidth="1"/>
    <col min="3079" max="3079" width="13" style="260" bestFit="1" customWidth="1"/>
    <col min="3080" max="3083" width="11.66015625" style="260" hidden="1" customWidth="1"/>
    <col min="3084" max="3326" width="11.66015625" style="260" customWidth="1"/>
    <col min="3327" max="3327" width="5.33203125" style="260" bestFit="1" customWidth="1"/>
    <col min="3328" max="3328" width="12.83203125" style="260" bestFit="1" customWidth="1"/>
    <col min="3329" max="3329" width="64.33203125" style="260" bestFit="1" customWidth="1"/>
    <col min="3330" max="3330" width="4.5" style="260" bestFit="1" customWidth="1"/>
    <col min="3331" max="3331" width="10.66015625" style="260" bestFit="1" customWidth="1"/>
    <col min="3332" max="3332" width="14.16015625" style="260" bestFit="1" customWidth="1"/>
    <col min="3333" max="3333" width="14.83203125" style="260" bestFit="1" customWidth="1"/>
    <col min="3334" max="3334" width="8.5" style="260" bestFit="1" customWidth="1"/>
    <col min="3335" max="3335" width="13" style="260" bestFit="1" customWidth="1"/>
    <col min="3336" max="3339" width="11.66015625" style="260" hidden="1" customWidth="1"/>
    <col min="3340" max="3582" width="11.66015625" style="260" customWidth="1"/>
    <col min="3583" max="3583" width="5.33203125" style="260" bestFit="1" customWidth="1"/>
    <col min="3584" max="3584" width="12.83203125" style="260" bestFit="1" customWidth="1"/>
    <col min="3585" max="3585" width="64.33203125" style="260" bestFit="1" customWidth="1"/>
    <col min="3586" max="3586" width="4.5" style="260" bestFit="1" customWidth="1"/>
    <col min="3587" max="3587" width="10.66015625" style="260" bestFit="1" customWidth="1"/>
    <col min="3588" max="3588" width="14.16015625" style="260" bestFit="1" customWidth="1"/>
    <col min="3589" max="3589" width="14.83203125" style="260" bestFit="1" customWidth="1"/>
    <col min="3590" max="3590" width="8.5" style="260" bestFit="1" customWidth="1"/>
    <col min="3591" max="3591" width="13" style="260" bestFit="1" customWidth="1"/>
    <col min="3592" max="3595" width="11.66015625" style="260" hidden="1" customWidth="1"/>
    <col min="3596" max="3838" width="11.66015625" style="260" customWidth="1"/>
    <col min="3839" max="3839" width="5.33203125" style="260" bestFit="1" customWidth="1"/>
    <col min="3840" max="3840" width="12.83203125" style="260" bestFit="1" customWidth="1"/>
    <col min="3841" max="3841" width="64.33203125" style="260" bestFit="1" customWidth="1"/>
    <col min="3842" max="3842" width="4.5" style="260" bestFit="1" customWidth="1"/>
    <col min="3843" max="3843" width="10.66015625" style="260" bestFit="1" customWidth="1"/>
    <col min="3844" max="3844" width="14.16015625" style="260" bestFit="1" customWidth="1"/>
    <col min="3845" max="3845" width="14.83203125" style="260" bestFit="1" customWidth="1"/>
    <col min="3846" max="3846" width="8.5" style="260" bestFit="1" customWidth="1"/>
    <col min="3847" max="3847" width="13" style="260" bestFit="1" customWidth="1"/>
    <col min="3848" max="3851" width="11.66015625" style="260" hidden="1" customWidth="1"/>
    <col min="3852" max="4094" width="11.66015625" style="260" customWidth="1"/>
    <col min="4095" max="4095" width="5.33203125" style="260" bestFit="1" customWidth="1"/>
    <col min="4096" max="4096" width="12.83203125" style="260" bestFit="1" customWidth="1"/>
    <col min="4097" max="4097" width="64.33203125" style="260" bestFit="1" customWidth="1"/>
    <col min="4098" max="4098" width="4.5" style="260" bestFit="1" customWidth="1"/>
    <col min="4099" max="4099" width="10.66015625" style="260" bestFit="1" customWidth="1"/>
    <col min="4100" max="4100" width="14.16015625" style="260" bestFit="1" customWidth="1"/>
    <col min="4101" max="4101" width="14.83203125" style="260" bestFit="1" customWidth="1"/>
    <col min="4102" max="4102" width="8.5" style="260" bestFit="1" customWidth="1"/>
    <col min="4103" max="4103" width="13" style="260" bestFit="1" customWidth="1"/>
    <col min="4104" max="4107" width="11.66015625" style="260" hidden="1" customWidth="1"/>
    <col min="4108" max="4350" width="11.66015625" style="260" customWidth="1"/>
    <col min="4351" max="4351" width="5.33203125" style="260" bestFit="1" customWidth="1"/>
    <col min="4352" max="4352" width="12.83203125" style="260" bestFit="1" customWidth="1"/>
    <col min="4353" max="4353" width="64.33203125" style="260" bestFit="1" customWidth="1"/>
    <col min="4354" max="4354" width="4.5" style="260" bestFit="1" customWidth="1"/>
    <col min="4355" max="4355" width="10.66015625" style="260" bestFit="1" customWidth="1"/>
    <col min="4356" max="4356" width="14.16015625" style="260" bestFit="1" customWidth="1"/>
    <col min="4357" max="4357" width="14.83203125" style="260" bestFit="1" customWidth="1"/>
    <col min="4358" max="4358" width="8.5" style="260" bestFit="1" customWidth="1"/>
    <col min="4359" max="4359" width="13" style="260" bestFit="1" customWidth="1"/>
    <col min="4360" max="4363" width="11.66015625" style="260" hidden="1" customWidth="1"/>
    <col min="4364" max="4606" width="11.66015625" style="260" customWidth="1"/>
    <col min="4607" max="4607" width="5.33203125" style="260" bestFit="1" customWidth="1"/>
    <col min="4608" max="4608" width="12.83203125" style="260" bestFit="1" customWidth="1"/>
    <col min="4609" max="4609" width="64.33203125" style="260" bestFit="1" customWidth="1"/>
    <col min="4610" max="4610" width="4.5" style="260" bestFit="1" customWidth="1"/>
    <col min="4611" max="4611" width="10.66015625" style="260" bestFit="1" customWidth="1"/>
    <col min="4612" max="4612" width="14.16015625" style="260" bestFit="1" customWidth="1"/>
    <col min="4613" max="4613" width="14.83203125" style="260" bestFit="1" customWidth="1"/>
    <col min="4614" max="4614" width="8.5" style="260" bestFit="1" customWidth="1"/>
    <col min="4615" max="4615" width="13" style="260" bestFit="1" customWidth="1"/>
    <col min="4616" max="4619" width="11.66015625" style="260" hidden="1" customWidth="1"/>
    <col min="4620" max="4862" width="11.66015625" style="260" customWidth="1"/>
    <col min="4863" max="4863" width="5.33203125" style="260" bestFit="1" customWidth="1"/>
    <col min="4864" max="4864" width="12.83203125" style="260" bestFit="1" customWidth="1"/>
    <col min="4865" max="4865" width="64.33203125" style="260" bestFit="1" customWidth="1"/>
    <col min="4866" max="4866" width="4.5" style="260" bestFit="1" customWidth="1"/>
    <col min="4867" max="4867" width="10.66015625" style="260" bestFit="1" customWidth="1"/>
    <col min="4868" max="4868" width="14.16015625" style="260" bestFit="1" customWidth="1"/>
    <col min="4869" max="4869" width="14.83203125" style="260" bestFit="1" customWidth="1"/>
    <col min="4870" max="4870" width="8.5" style="260" bestFit="1" customWidth="1"/>
    <col min="4871" max="4871" width="13" style="260" bestFit="1" customWidth="1"/>
    <col min="4872" max="4875" width="11.66015625" style="260" hidden="1" customWidth="1"/>
    <col min="4876" max="5118" width="11.66015625" style="260" customWidth="1"/>
    <col min="5119" max="5119" width="5.33203125" style="260" bestFit="1" customWidth="1"/>
    <col min="5120" max="5120" width="12.83203125" style="260" bestFit="1" customWidth="1"/>
    <col min="5121" max="5121" width="64.33203125" style="260" bestFit="1" customWidth="1"/>
    <col min="5122" max="5122" width="4.5" style="260" bestFit="1" customWidth="1"/>
    <col min="5123" max="5123" width="10.66015625" style="260" bestFit="1" customWidth="1"/>
    <col min="5124" max="5124" width="14.16015625" style="260" bestFit="1" customWidth="1"/>
    <col min="5125" max="5125" width="14.83203125" style="260" bestFit="1" customWidth="1"/>
    <col min="5126" max="5126" width="8.5" style="260" bestFit="1" customWidth="1"/>
    <col min="5127" max="5127" width="13" style="260" bestFit="1" customWidth="1"/>
    <col min="5128" max="5131" width="11.66015625" style="260" hidden="1" customWidth="1"/>
    <col min="5132" max="5374" width="11.66015625" style="260" customWidth="1"/>
    <col min="5375" max="5375" width="5.33203125" style="260" bestFit="1" customWidth="1"/>
    <col min="5376" max="5376" width="12.83203125" style="260" bestFit="1" customWidth="1"/>
    <col min="5377" max="5377" width="64.33203125" style="260" bestFit="1" customWidth="1"/>
    <col min="5378" max="5378" width="4.5" style="260" bestFit="1" customWidth="1"/>
    <col min="5379" max="5379" width="10.66015625" style="260" bestFit="1" customWidth="1"/>
    <col min="5380" max="5380" width="14.16015625" style="260" bestFit="1" customWidth="1"/>
    <col min="5381" max="5381" width="14.83203125" style="260" bestFit="1" customWidth="1"/>
    <col min="5382" max="5382" width="8.5" style="260" bestFit="1" customWidth="1"/>
    <col min="5383" max="5383" width="13" style="260" bestFit="1" customWidth="1"/>
    <col min="5384" max="5387" width="11.66015625" style="260" hidden="1" customWidth="1"/>
    <col min="5388" max="5630" width="11.66015625" style="260" customWidth="1"/>
    <col min="5631" max="5631" width="5.33203125" style="260" bestFit="1" customWidth="1"/>
    <col min="5632" max="5632" width="12.83203125" style="260" bestFit="1" customWidth="1"/>
    <col min="5633" max="5633" width="64.33203125" style="260" bestFit="1" customWidth="1"/>
    <col min="5634" max="5634" width="4.5" style="260" bestFit="1" customWidth="1"/>
    <col min="5635" max="5635" width="10.66015625" style="260" bestFit="1" customWidth="1"/>
    <col min="5636" max="5636" width="14.16015625" style="260" bestFit="1" customWidth="1"/>
    <col min="5637" max="5637" width="14.83203125" style="260" bestFit="1" customWidth="1"/>
    <col min="5638" max="5638" width="8.5" style="260" bestFit="1" customWidth="1"/>
    <col min="5639" max="5639" width="13" style="260" bestFit="1" customWidth="1"/>
    <col min="5640" max="5643" width="11.66015625" style="260" hidden="1" customWidth="1"/>
    <col min="5644" max="5886" width="11.66015625" style="260" customWidth="1"/>
    <col min="5887" max="5887" width="5.33203125" style="260" bestFit="1" customWidth="1"/>
    <col min="5888" max="5888" width="12.83203125" style="260" bestFit="1" customWidth="1"/>
    <col min="5889" max="5889" width="64.33203125" style="260" bestFit="1" customWidth="1"/>
    <col min="5890" max="5890" width="4.5" style="260" bestFit="1" customWidth="1"/>
    <col min="5891" max="5891" width="10.66015625" style="260" bestFit="1" customWidth="1"/>
    <col min="5892" max="5892" width="14.16015625" style="260" bestFit="1" customWidth="1"/>
    <col min="5893" max="5893" width="14.83203125" style="260" bestFit="1" customWidth="1"/>
    <col min="5894" max="5894" width="8.5" style="260" bestFit="1" customWidth="1"/>
    <col min="5895" max="5895" width="13" style="260" bestFit="1" customWidth="1"/>
    <col min="5896" max="5899" width="11.66015625" style="260" hidden="1" customWidth="1"/>
    <col min="5900" max="6142" width="11.66015625" style="260" customWidth="1"/>
    <col min="6143" max="6143" width="5.33203125" style="260" bestFit="1" customWidth="1"/>
    <col min="6144" max="6144" width="12.83203125" style="260" bestFit="1" customWidth="1"/>
    <col min="6145" max="6145" width="64.33203125" style="260" bestFit="1" customWidth="1"/>
    <col min="6146" max="6146" width="4.5" style="260" bestFit="1" customWidth="1"/>
    <col min="6147" max="6147" width="10.66015625" style="260" bestFit="1" customWidth="1"/>
    <col min="6148" max="6148" width="14.16015625" style="260" bestFit="1" customWidth="1"/>
    <col min="6149" max="6149" width="14.83203125" style="260" bestFit="1" customWidth="1"/>
    <col min="6150" max="6150" width="8.5" style="260" bestFit="1" customWidth="1"/>
    <col min="6151" max="6151" width="13" style="260" bestFit="1" customWidth="1"/>
    <col min="6152" max="6155" width="11.66015625" style="260" hidden="1" customWidth="1"/>
    <col min="6156" max="6398" width="11.66015625" style="260" customWidth="1"/>
    <col min="6399" max="6399" width="5.33203125" style="260" bestFit="1" customWidth="1"/>
    <col min="6400" max="6400" width="12.83203125" style="260" bestFit="1" customWidth="1"/>
    <col min="6401" max="6401" width="64.33203125" style="260" bestFit="1" customWidth="1"/>
    <col min="6402" max="6402" width="4.5" style="260" bestFit="1" customWidth="1"/>
    <col min="6403" max="6403" width="10.66015625" style="260" bestFit="1" customWidth="1"/>
    <col min="6404" max="6404" width="14.16015625" style="260" bestFit="1" customWidth="1"/>
    <col min="6405" max="6405" width="14.83203125" style="260" bestFit="1" customWidth="1"/>
    <col min="6406" max="6406" width="8.5" style="260" bestFit="1" customWidth="1"/>
    <col min="6407" max="6407" width="13" style="260" bestFit="1" customWidth="1"/>
    <col min="6408" max="6411" width="11.66015625" style="260" hidden="1" customWidth="1"/>
    <col min="6412" max="6654" width="11.66015625" style="260" customWidth="1"/>
    <col min="6655" max="6655" width="5.33203125" style="260" bestFit="1" customWidth="1"/>
    <col min="6656" max="6656" width="12.83203125" style="260" bestFit="1" customWidth="1"/>
    <col min="6657" max="6657" width="64.33203125" style="260" bestFit="1" customWidth="1"/>
    <col min="6658" max="6658" width="4.5" style="260" bestFit="1" customWidth="1"/>
    <col min="6659" max="6659" width="10.66015625" style="260" bestFit="1" customWidth="1"/>
    <col min="6660" max="6660" width="14.16015625" style="260" bestFit="1" customWidth="1"/>
    <col min="6661" max="6661" width="14.83203125" style="260" bestFit="1" customWidth="1"/>
    <col min="6662" max="6662" width="8.5" style="260" bestFit="1" customWidth="1"/>
    <col min="6663" max="6663" width="13" style="260" bestFit="1" customWidth="1"/>
    <col min="6664" max="6667" width="11.66015625" style="260" hidden="1" customWidth="1"/>
    <col min="6668" max="6910" width="11.66015625" style="260" customWidth="1"/>
    <col min="6911" max="6911" width="5.33203125" style="260" bestFit="1" customWidth="1"/>
    <col min="6912" max="6912" width="12.83203125" style="260" bestFit="1" customWidth="1"/>
    <col min="6913" max="6913" width="64.33203125" style="260" bestFit="1" customWidth="1"/>
    <col min="6914" max="6914" width="4.5" style="260" bestFit="1" customWidth="1"/>
    <col min="6915" max="6915" width="10.66015625" style="260" bestFit="1" customWidth="1"/>
    <col min="6916" max="6916" width="14.16015625" style="260" bestFit="1" customWidth="1"/>
    <col min="6917" max="6917" width="14.83203125" style="260" bestFit="1" customWidth="1"/>
    <col min="6918" max="6918" width="8.5" style="260" bestFit="1" customWidth="1"/>
    <col min="6919" max="6919" width="13" style="260" bestFit="1" customWidth="1"/>
    <col min="6920" max="6923" width="11.66015625" style="260" hidden="1" customWidth="1"/>
    <col min="6924" max="7166" width="11.66015625" style="260" customWidth="1"/>
    <col min="7167" max="7167" width="5.33203125" style="260" bestFit="1" customWidth="1"/>
    <col min="7168" max="7168" width="12.83203125" style="260" bestFit="1" customWidth="1"/>
    <col min="7169" max="7169" width="64.33203125" style="260" bestFit="1" customWidth="1"/>
    <col min="7170" max="7170" width="4.5" style="260" bestFit="1" customWidth="1"/>
    <col min="7171" max="7171" width="10.66015625" style="260" bestFit="1" customWidth="1"/>
    <col min="7172" max="7172" width="14.16015625" style="260" bestFit="1" customWidth="1"/>
    <col min="7173" max="7173" width="14.83203125" style="260" bestFit="1" customWidth="1"/>
    <col min="7174" max="7174" width="8.5" style="260" bestFit="1" customWidth="1"/>
    <col min="7175" max="7175" width="13" style="260" bestFit="1" customWidth="1"/>
    <col min="7176" max="7179" width="11.66015625" style="260" hidden="1" customWidth="1"/>
    <col min="7180" max="7422" width="11.66015625" style="260" customWidth="1"/>
    <col min="7423" max="7423" width="5.33203125" style="260" bestFit="1" customWidth="1"/>
    <col min="7424" max="7424" width="12.83203125" style="260" bestFit="1" customWidth="1"/>
    <col min="7425" max="7425" width="64.33203125" style="260" bestFit="1" customWidth="1"/>
    <col min="7426" max="7426" width="4.5" style="260" bestFit="1" customWidth="1"/>
    <col min="7427" max="7427" width="10.66015625" style="260" bestFit="1" customWidth="1"/>
    <col min="7428" max="7428" width="14.16015625" style="260" bestFit="1" customWidth="1"/>
    <col min="7429" max="7429" width="14.83203125" style="260" bestFit="1" customWidth="1"/>
    <col min="7430" max="7430" width="8.5" style="260" bestFit="1" customWidth="1"/>
    <col min="7431" max="7431" width="13" style="260" bestFit="1" customWidth="1"/>
    <col min="7432" max="7435" width="11.66015625" style="260" hidden="1" customWidth="1"/>
    <col min="7436" max="7678" width="11.66015625" style="260" customWidth="1"/>
    <col min="7679" max="7679" width="5.33203125" style="260" bestFit="1" customWidth="1"/>
    <col min="7680" max="7680" width="12.83203125" style="260" bestFit="1" customWidth="1"/>
    <col min="7681" max="7681" width="64.33203125" style="260" bestFit="1" customWidth="1"/>
    <col min="7682" max="7682" width="4.5" style="260" bestFit="1" customWidth="1"/>
    <col min="7683" max="7683" width="10.66015625" style="260" bestFit="1" customWidth="1"/>
    <col min="7684" max="7684" width="14.16015625" style="260" bestFit="1" customWidth="1"/>
    <col min="7685" max="7685" width="14.83203125" style="260" bestFit="1" customWidth="1"/>
    <col min="7686" max="7686" width="8.5" style="260" bestFit="1" customWidth="1"/>
    <col min="7687" max="7687" width="13" style="260" bestFit="1" customWidth="1"/>
    <col min="7688" max="7691" width="11.66015625" style="260" hidden="1" customWidth="1"/>
    <col min="7692" max="7934" width="11.66015625" style="260" customWidth="1"/>
    <col min="7935" max="7935" width="5.33203125" style="260" bestFit="1" customWidth="1"/>
    <col min="7936" max="7936" width="12.83203125" style="260" bestFit="1" customWidth="1"/>
    <col min="7937" max="7937" width="64.33203125" style="260" bestFit="1" customWidth="1"/>
    <col min="7938" max="7938" width="4.5" style="260" bestFit="1" customWidth="1"/>
    <col min="7939" max="7939" width="10.66015625" style="260" bestFit="1" customWidth="1"/>
    <col min="7940" max="7940" width="14.16015625" style="260" bestFit="1" customWidth="1"/>
    <col min="7941" max="7941" width="14.83203125" style="260" bestFit="1" customWidth="1"/>
    <col min="7942" max="7942" width="8.5" style="260" bestFit="1" customWidth="1"/>
    <col min="7943" max="7943" width="13" style="260" bestFit="1" customWidth="1"/>
    <col min="7944" max="7947" width="11.66015625" style="260" hidden="1" customWidth="1"/>
    <col min="7948" max="8190" width="11.66015625" style="260" customWidth="1"/>
    <col min="8191" max="8191" width="5.33203125" style="260" bestFit="1" customWidth="1"/>
    <col min="8192" max="8192" width="12.83203125" style="260" bestFit="1" customWidth="1"/>
    <col min="8193" max="8193" width="64.33203125" style="260" bestFit="1" customWidth="1"/>
    <col min="8194" max="8194" width="4.5" style="260" bestFit="1" customWidth="1"/>
    <col min="8195" max="8195" width="10.66015625" style="260" bestFit="1" customWidth="1"/>
    <col min="8196" max="8196" width="14.16015625" style="260" bestFit="1" customWidth="1"/>
    <col min="8197" max="8197" width="14.83203125" style="260" bestFit="1" customWidth="1"/>
    <col min="8198" max="8198" width="8.5" style="260" bestFit="1" customWidth="1"/>
    <col min="8199" max="8199" width="13" style="260" bestFit="1" customWidth="1"/>
    <col min="8200" max="8203" width="11.66015625" style="260" hidden="1" customWidth="1"/>
    <col min="8204" max="8446" width="11.66015625" style="260" customWidth="1"/>
    <col min="8447" max="8447" width="5.33203125" style="260" bestFit="1" customWidth="1"/>
    <col min="8448" max="8448" width="12.83203125" style="260" bestFit="1" customWidth="1"/>
    <col min="8449" max="8449" width="64.33203125" style="260" bestFit="1" customWidth="1"/>
    <col min="8450" max="8450" width="4.5" style="260" bestFit="1" customWidth="1"/>
    <col min="8451" max="8451" width="10.66015625" style="260" bestFit="1" customWidth="1"/>
    <col min="8452" max="8452" width="14.16015625" style="260" bestFit="1" customWidth="1"/>
    <col min="8453" max="8453" width="14.83203125" style="260" bestFit="1" customWidth="1"/>
    <col min="8454" max="8454" width="8.5" style="260" bestFit="1" customWidth="1"/>
    <col min="8455" max="8455" width="13" style="260" bestFit="1" customWidth="1"/>
    <col min="8456" max="8459" width="11.66015625" style="260" hidden="1" customWidth="1"/>
    <col min="8460" max="8702" width="11.66015625" style="260" customWidth="1"/>
    <col min="8703" max="8703" width="5.33203125" style="260" bestFit="1" customWidth="1"/>
    <col min="8704" max="8704" width="12.83203125" style="260" bestFit="1" customWidth="1"/>
    <col min="8705" max="8705" width="64.33203125" style="260" bestFit="1" customWidth="1"/>
    <col min="8706" max="8706" width="4.5" style="260" bestFit="1" customWidth="1"/>
    <col min="8707" max="8707" width="10.66015625" style="260" bestFit="1" customWidth="1"/>
    <col min="8708" max="8708" width="14.16015625" style="260" bestFit="1" customWidth="1"/>
    <col min="8709" max="8709" width="14.83203125" style="260" bestFit="1" customWidth="1"/>
    <col min="8710" max="8710" width="8.5" style="260" bestFit="1" customWidth="1"/>
    <col min="8711" max="8711" width="13" style="260" bestFit="1" customWidth="1"/>
    <col min="8712" max="8715" width="11.66015625" style="260" hidden="1" customWidth="1"/>
    <col min="8716" max="8958" width="11.66015625" style="260" customWidth="1"/>
    <col min="8959" max="8959" width="5.33203125" style="260" bestFit="1" customWidth="1"/>
    <col min="8960" max="8960" width="12.83203125" style="260" bestFit="1" customWidth="1"/>
    <col min="8961" max="8961" width="64.33203125" style="260" bestFit="1" customWidth="1"/>
    <col min="8962" max="8962" width="4.5" style="260" bestFit="1" customWidth="1"/>
    <col min="8963" max="8963" width="10.66015625" style="260" bestFit="1" customWidth="1"/>
    <col min="8964" max="8964" width="14.16015625" style="260" bestFit="1" customWidth="1"/>
    <col min="8965" max="8965" width="14.83203125" style="260" bestFit="1" customWidth="1"/>
    <col min="8966" max="8966" width="8.5" style="260" bestFit="1" customWidth="1"/>
    <col min="8967" max="8967" width="13" style="260" bestFit="1" customWidth="1"/>
    <col min="8968" max="8971" width="11.66015625" style="260" hidden="1" customWidth="1"/>
    <col min="8972" max="9214" width="11.66015625" style="260" customWidth="1"/>
    <col min="9215" max="9215" width="5.33203125" style="260" bestFit="1" customWidth="1"/>
    <col min="9216" max="9216" width="12.83203125" style="260" bestFit="1" customWidth="1"/>
    <col min="9217" max="9217" width="64.33203125" style="260" bestFit="1" customWidth="1"/>
    <col min="9218" max="9218" width="4.5" style="260" bestFit="1" customWidth="1"/>
    <col min="9219" max="9219" width="10.66015625" style="260" bestFit="1" customWidth="1"/>
    <col min="9220" max="9220" width="14.16015625" style="260" bestFit="1" customWidth="1"/>
    <col min="9221" max="9221" width="14.83203125" style="260" bestFit="1" customWidth="1"/>
    <col min="9222" max="9222" width="8.5" style="260" bestFit="1" customWidth="1"/>
    <col min="9223" max="9223" width="13" style="260" bestFit="1" customWidth="1"/>
    <col min="9224" max="9227" width="11.66015625" style="260" hidden="1" customWidth="1"/>
    <col min="9228" max="9470" width="11.66015625" style="260" customWidth="1"/>
    <col min="9471" max="9471" width="5.33203125" style="260" bestFit="1" customWidth="1"/>
    <col min="9472" max="9472" width="12.83203125" style="260" bestFit="1" customWidth="1"/>
    <col min="9473" max="9473" width="64.33203125" style="260" bestFit="1" customWidth="1"/>
    <col min="9474" max="9474" width="4.5" style="260" bestFit="1" customWidth="1"/>
    <col min="9475" max="9475" width="10.66015625" style="260" bestFit="1" customWidth="1"/>
    <col min="9476" max="9476" width="14.16015625" style="260" bestFit="1" customWidth="1"/>
    <col min="9477" max="9477" width="14.83203125" style="260" bestFit="1" customWidth="1"/>
    <col min="9478" max="9478" width="8.5" style="260" bestFit="1" customWidth="1"/>
    <col min="9479" max="9479" width="13" style="260" bestFit="1" customWidth="1"/>
    <col min="9480" max="9483" width="11.66015625" style="260" hidden="1" customWidth="1"/>
    <col min="9484" max="9726" width="11.66015625" style="260" customWidth="1"/>
    <col min="9727" max="9727" width="5.33203125" style="260" bestFit="1" customWidth="1"/>
    <col min="9728" max="9728" width="12.83203125" style="260" bestFit="1" customWidth="1"/>
    <col min="9729" max="9729" width="64.33203125" style="260" bestFit="1" customWidth="1"/>
    <col min="9730" max="9730" width="4.5" style="260" bestFit="1" customWidth="1"/>
    <col min="9731" max="9731" width="10.66015625" style="260" bestFit="1" customWidth="1"/>
    <col min="9732" max="9732" width="14.16015625" style="260" bestFit="1" customWidth="1"/>
    <col min="9733" max="9733" width="14.83203125" style="260" bestFit="1" customWidth="1"/>
    <col min="9734" max="9734" width="8.5" style="260" bestFit="1" customWidth="1"/>
    <col min="9735" max="9735" width="13" style="260" bestFit="1" customWidth="1"/>
    <col min="9736" max="9739" width="11.66015625" style="260" hidden="1" customWidth="1"/>
    <col min="9740" max="9982" width="11.66015625" style="260" customWidth="1"/>
    <col min="9983" max="9983" width="5.33203125" style="260" bestFit="1" customWidth="1"/>
    <col min="9984" max="9984" width="12.83203125" style="260" bestFit="1" customWidth="1"/>
    <col min="9985" max="9985" width="64.33203125" style="260" bestFit="1" customWidth="1"/>
    <col min="9986" max="9986" width="4.5" style="260" bestFit="1" customWidth="1"/>
    <col min="9987" max="9987" width="10.66015625" style="260" bestFit="1" customWidth="1"/>
    <col min="9988" max="9988" width="14.16015625" style="260" bestFit="1" customWidth="1"/>
    <col min="9989" max="9989" width="14.83203125" style="260" bestFit="1" customWidth="1"/>
    <col min="9990" max="9990" width="8.5" style="260" bestFit="1" customWidth="1"/>
    <col min="9991" max="9991" width="13" style="260" bestFit="1" customWidth="1"/>
    <col min="9992" max="9995" width="11.66015625" style="260" hidden="1" customWidth="1"/>
    <col min="9996" max="10238" width="11.66015625" style="260" customWidth="1"/>
    <col min="10239" max="10239" width="5.33203125" style="260" bestFit="1" customWidth="1"/>
    <col min="10240" max="10240" width="12.83203125" style="260" bestFit="1" customWidth="1"/>
    <col min="10241" max="10241" width="64.33203125" style="260" bestFit="1" customWidth="1"/>
    <col min="10242" max="10242" width="4.5" style="260" bestFit="1" customWidth="1"/>
    <col min="10243" max="10243" width="10.66015625" style="260" bestFit="1" customWidth="1"/>
    <col min="10244" max="10244" width="14.16015625" style="260" bestFit="1" customWidth="1"/>
    <col min="10245" max="10245" width="14.83203125" style="260" bestFit="1" customWidth="1"/>
    <col min="10246" max="10246" width="8.5" style="260" bestFit="1" customWidth="1"/>
    <col min="10247" max="10247" width="13" style="260" bestFit="1" customWidth="1"/>
    <col min="10248" max="10251" width="11.66015625" style="260" hidden="1" customWidth="1"/>
    <col min="10252" max="10494" width="11.66015625" style="260" customWidth="1"/>
    <col min="10495" max="10495" width="5.33203125" style="260" bestFit="1" customWidth="1"/>
    <col min="10496" max="10496" width="12.83203125" style="260" bestFit="1" customWidth="1"/>
    <col min="10497" max="10497" width="64.33203125" style="260" bestFit="1" customWidth="1"/>
    <col min="10498" max="10498" width="4.5" style="260" bestFit="1" customWidth="1"/>
    <col min="10499" max="10499" width="10.66015625" style="260" bestFit="1" customWidth="1"/>
    <col min="10500" max="10500" width="14.16015625" style="260" bestFit="1" customWidth="1"/>
    <col min="10501" max="10501" width="14.83203125" style="260" bestFit="1" customWidth="1"/>
    <col min="10502" max="10502" width="8.5" style="260" bestFit="1" customWidth="1"/>
    <col min="10503" max="10503" width="13" style="260" bestFit="1" customWidth="1"/>
    <col min="10504" max="10507" width="11.66015625" style="260" hidden="1" customWidth="1"/>
    <col min="10508" max="10750" width="11.66015625" style="260" customWidth="1"/>
    <col min="10751" max="10751" width="5.33203125" style="260" bestFit="1" customWidth="1"/>
    <col min="10752" max="10752" width="12.83203125" style="260" bestFit="1" customWidth="1"/>
    <col min="10753" max="10753" width="64.33203125" style="260" bestFit="1" customWidth="1"/>
    <col min="10754" max="10754" width="4.5" style="260" bestFit="1" customWidth="1"/>
    <col min="10755" max="10755" width="10.66015625" style="260" bestFit="1" customWidth="1"/>
    <col min="10756" max="10756" width="14.16015625" style="260" bestFit="1" customWidth="1"/>
    <col min="10757" max="10757" width="14.83203125" style="260" bestFit="1" customWidth="1"/>
    <col min="10758" max="10758" width="8.5" style="260" bestFit="1" customWidth="1"/>
    <col min="10759" max="10759" width="13" style="260" bestFit="1" customWidth="1"/>
    <col min="10760" max="10763" width="11.66015625" style="260" hidden="1" customWidth="1"/>
    <col min="10764" max="11006" width="11.66015625" style="260" customWidth="1"/>
    <col min="11007" max="11007" width="5.33203125" style="260" bestFit="1" customWidth="1"/>
    <col min="11008" max="11008" width="12.83203125" style="260" bestFit="1" customWidth="1"/>
    <col min="11009" max="11009" width="64.33203125" style="260" bestFit="1" customWidth="1"/>
    <col min="11010" max="11010" width="4.5" style="260" bestFit="1" customWidth="1"/>
    <col min="11011" max="11011" width="10.66015625" style="260" bestFit="1" customWidth="1"/>
    <col min="11012" max="11012" width="14.16015625" style="260" bestFit="1" customWidth="1"/>
    <col min="11013" max="11013" width="14.83203125" style="260" bestFit="1" customWidth="1"/>
    <col min="11014" max="11014" width="8.5" style="260" bestFit="1" customWidth="1"/>
    <col min="11015" max="11015" width="13" style="260" bestFit="1" customWidth="1"/>
    <col min="11016" max="11019" width="11.66015625" style="260" hidden="1" customWidth="1"/>
    <col min="11020" max="11262" width="11.66015625" style="260" customWidth="1"/>
    <col min="11263" max="11263" width="5.33203125" style="260" bestFit="1" customWidth="1"/>
    <col min="11264" max="11264" width="12.83203125" style="260" bestFit="1" customWidth="1"/>
    <col min="11265" max="11265" width="64.33203125" style="260" bestFit="1" customWidth="1"/>
    <col min="11266" max="11266" width="4.5" style="260" bestFit="1" customWidth="1"/>
    <col min="11267" max="11267" width="10.66015625" style="260" bestFit="1" customWidth="1"/>
    <col min="11268" max="11268" width="14.16015625" style="260" bestFit="1" customWidth="1"/>
    <col min="11269" max="11269" width="14.83203125" style="260" bestFit="1" customWidth="1"/>
    <col min="11270" max="11270" width="8.5" style="260" bestFit="1" customWidth="1"/>
    <col min="11271" max="11271" width="13" style="260" bestFit="1" customWidth="1"/>
    <col min="11272" max="11275" width="11.66015625" style="260" hidden="1" customWidth="1"/>
    <col min="11276" max="11518" width="11.66015625" style="260" customWidth="1"/>
    <col min="11519" max="11519" width="5.33203125" style="260" bestFit="1" customWidth="1"/>
    <col min="11520" max="11520" width="12.83203125" style="260" bestFit="1" customWidth="1"/>
    <col min="11521" max="11521" width="64.33203125" style="260" bestFit="1" customWidth="1"/>
    <col min="11522" max="11522" width="4.5" style="260" bestFit="1" customWidth="1"/>
    <col min="11523" max="11523" width="10.66015625" style="260" bestFit="1" customWidth="1"/>
    <col min="11524" max="11524" width="14.16015625" style="260" bestFit="1" customWidth="1"/>
    <col min="11525" max="11525" width="14.83203125" style="260" bestFit="1" customWidth="1"/>
    <col min="11526" max="11526" width="8.5" style="260" bestFit="1" customWidth="1"/>
    <col min="11527" max="11527" width="13" style="260" bestFit="1" customWidth="1"/>
    <col min="11528" max="11531" width="11.66015625" style="260" hidden="1" customWidth="1"/>
    <col min="11532" max="11774" width="11.66015625" style="260" customWidth="1"/>
    <col min="11775" max="11775" width="5.33203125" style="260" bestFit="1" customWidth="1"/>
    <col min="11776" max="11776" width="12.83203125" style="260" bestFit="1" customWidth="1"/>
    <col min="11777" max="11777" width="64.33203125" style="260" bestFit="1" customWidth="1"/>
    <col min="11778" max="11778" width="4.5" style="260" bestFit="1" customWidth="1"/>
    <col min="11779" max="11779" width="10.66015625" style="260" bestFit="1" customWidth="1"/>
    <col min="11780" max="11780" width="14.16015625" style="260" bestFit="1" customWidth="1"/>
    <col min="11781" max="11781" width="14.83203125" style="260" bestFit="1" customWidth="1"/>
    <col min="11782" max="11782" width="8.5" style="260" bestFit="1" customWidth="1"/>
    <col min="11783" max="11783" width="13" style="260" bestFit="1" customWidth="1"/>
    <col min="11784" max="11787" width="11.66015625" style="260" hidden="1" customWidth="1"/>
    <col min="11788" max="12030" width="11.66015625" style="260" customWidth="1"/>
    <col min="12031" max="12031" width="5.33203125" style="260" bestFit="1" customWidth="1"/>
    <col min="12032" max="12032" width="12.83203125" style="260" bestFit="1" customWidth="1"/>
    <col min="12033" max="12033" width="64.33203125" style="260" bestFit="1" customWidth="1"/>
    <col min="12034" max="12034" width="4.5" style="260" bestFit="1" customWidth="1"/>
    <col min="12035" max="12035" width="10.66015625" style="260" bestFit="1" customWidth="1"/>
    <col min="12036" max="12036" width="14.16015625" style="260" bestFit="1" customWidth="1"/>
    <col min="12037" max="12037" width="14.83203125" style="260" bestFit="1" customWidth="1"/>
    <col min="12038" max="12038" width="8.5" style="260" bestFit="1" customWidth="1"/>
    <col min="12039" max="12039" width="13" style="260" bestFit="1" customWidth="1"/>
    <col min="12040" max="12043" width="11.66015625" style="260" hidden="1" customWidth="1"/>
    <col min="12044" max="12286" width="11.66015625" style="260" customWidth="1"/>
    <col min="12287" max="12287" width="5.33203125" style="260" bestFit="1" customWidth="1"/>
    <col min="12288" max="12288" width="12.83203125" style="260" bestFit="1" customWidth="1"/>
    <col min="12289" max="12289" width="64.33203125" style="260" bestFit="1" customWidth="1"/>
    <col min="12290" max="12290" width="4.5" style="260" bestFit="1" customWidth="1"/>
    <col min="12291" max="12291" width="10.66015625" style="260" bestFit="1" customWidth="1"/>
    <col min="12292" max="12292" width="14.16015625" style="260" bestFit="1" customWidth="1"/>
    <col min="12293" max="12293" width="14.83203125" style="260" bestFit="1" customWidth="1"/>
    <col min="12294" max="12294" width="8.5" style="260" bestFit="1" customWidth="1"/>
    <col min="12295" max="12295" width="13" style="260" bestFit="1" customWidth="1"/>
    <col min="12296" max="12299" width="11.66015625" style="260" hidden="1" customWidth="1"/>
    <col min="12300" max="12542" width="11.66015625" style="260" customWidth="1"/>
    <col min="12543" max="12543" width="5.33203125" style="260" bestFit="1" customWidth="1"/>
    <col min="12544" max="12544" width="12.83203125" style="260" bestFit="1" customWidth="1"/>
    <col min="12545" max="12545" width="64.33203125" style="260" bestFit="1" customWidth="1"/>
    <col min="12546" max="12546" width="4.5" style="260" bestFit="1" customWidth="1"/>
    <col min="12547" max="12547" width="10.66015625" style="260" bestFit="1" customWidth="1"/>
    <col min="12548" max="12548" width="14.16015625" style="260" bestFit="1" customWidth="1"/>
    <col min="12549" max="12549" width="14.83203125" style="260" bestFit="1" customWidth="1"/>
    <col min="12550" max="12550" width="8.5" style="260" bestFit="1" customWidth="1"/>
    <col min="12551" max="12551" width="13" style="260" bestFit="1" customWidth="1"/>
    <col min="12552" max="12555" width="11.66015625" style="260" hidden="1" customWidth="1"/>
    <col min="12556" max="12798" width="11.66015625" style="260" customWidth="1"/>
    <col min="12799" max="12799" width="5.33203125" style="260" bestFit="1" customWidth="1"/>
    <col min="12800" max="12800" width="12.83203125" style="260" bestFit="1" customWidth="1"/>
    <col min="12801" max="12801" width="64.33203125" style="260" bestFit="1" customWidth="1"/>
    <col min="12802" max="12802" width="4.5" style="260" bestFit="1" customWidth="1"/>
    <col min="12803" max="12803" width="10.66015625" style="260" bestFit="1" customWidth="1"/>
    <col min="12804" max="12804" width="14.16015625" style="260" bestFit="1" customWidth="1"/>
    <col min="12805" max="12805" width="14.83203125" style="260" bestFit="1" customWidth="1"/>
    <col min="12806" max="12806" width="8.5" style="260" bestFit="1" customWidth="1"/>
    <col min="12807" max="12807" width="13" style="260" bestFit="1" customWidth="1"/>
    <col min="12808" max="12811" width="11.66015625" style="260" hidden="1" customWidth="1"/>
    <col min="12812" max="13054" width="11.66015625" style="260" customWidth="1"/>
    <col min="13055" max="13055" width="5.33203125" style="260" bestFit="1" customWidth="1"/>
    <col min="13056" max="13056" width="12.83203125" style="260" bestFit="1" customWidth="1"/>
    <col min="13057" max="13057" width="64.33203125" style="260" bestFit="1" customWidth="1"/>
    <col min="13058" max="13058" width="4.5" style="260" bestFit="1" customWidth="1"/>
    <col min="13059" max="13059" width="10.66015625" style="260" bestFit="1" customWidth="1"/>
    <col min="13060" max="13060" width="14.16015625" style="260" bestFit="1" customWidth="1"/>
    <col min="13061" max="13061" width="14.83203125" style="260" bestFit="1" customWidth="1"/>
    <col min="13062" max="13062" width="8.5" style="260" bestFit="1" customWidth="1"/>
    <col min="13063" max="13063" width="13" style="260" bestFit="1" customWidth="1"/>
    <col min="13064" max="13067" width="11.66015625" style="260" hidden="1" customWidth="1"/>
    <col min="13068" max="13310" width="11.66015625" style="260" customWidth="1"/>
    <col min="13311" max="13311" width="5.33203125" style="260" bestFit="1" customWidth="1"/>
    <col min="13312" max="13312" width="12.83203125" style="260" bestFit="1" customWidth="1"/>
    <col min="13313" max="13313" width="64.33203125" style="260" bestFit="1" customWidth="1"/>
    <col min="13314" max="13314" width="4.5" style="260" bestFit="1" customWidth="1"/>
    <col min="13315" max="13315" width="10.66015625" style="260" bestFit="1" customWidth="1"/>
    <col min="13316" max="13316" width="14.16015625" style="260" bestFit="1" customWidth="1"/>
    <col min="13317" max="13317" width="14.83203125" style="260" bestFit="1" customWidth="1"/>
    <col min="13318" max="13318" width="8.5" style="260" bestFit="1" customWidth="1"/>
    <col min="13319" max="13319" width="13" style="260" bestFit="1" customWidth="1"/>
    <col min="13320" max="13323" width="11.66015625" style="260" hidden="1" customWidth="1"/>
    <col min="13324" max="13566" width="11.66015625" style="260" customWidth="1"/>
    <col min="13567" max="13567" width="5.33203125" style="260" bestFit="1" customWidth="1"/>
    <col min="13568" max="13568" width="12.83203125" style="260" bestFit="1" customWidth="1"/>
    <col min="13569" max="13569" width="64.33203125" style="260" bestFit="1" customWidth="1"/>
    <col min="13570" max="13570" width="4.5" style="260" bestFit="1" customWidth="1"/>
    <col min="13571" max="13571" width="10.66015625" style="260" bestFit="1" customWidth="1"/>
    <col min="13572" max="13572" width="14.16015625" style="260" bestFit="1" customWidth="1"/>
    <col min="13573" max="13573" width="14.83203125" style="260" bestFit="1" customWidth="1"/>
    <col min="13574" max="13574" width="8.5" style="260" bestFit="1" customWidth="1"/>
    <col min="13575" max="13575" width="13" style="260" bestFit="1" customWidth="1"/>
    <col min="13576" max="13579" width="11.66015625" style="260" hidden="1" customWidth="1"/>
    <col min="13580" max="13822" width="11.66015625" style="260" customWidth="1"/>
    <col min="13823" max="13823" width="5.33203125" style="260" bestFit="1" customWidth="1"/>
    <col min="13824" max="13824" width="12.83203125" style="260" bestFit="1" customWidth="1"/>
    <col min="13825" max="13825" width="64.33203125" style="260" bestFit="1" customWidth="1"/>
    <col min="13826" max="13826" width="4.5" style="260" bestFit="1" customWidth="1"/>
    <col min="13827" max="13827" width="10.66015625" style="260" bestFit="1" customWidth="1"/>
    <col min="13828" max="13828" width="14.16015625" style="260" bestFit="1" customWidth="1"/>
    <col min="13829" max="13829" width="14.83203125" style="260" bestFit="1" customWidth="1"/>
    <col min="13830" max="13830" width="8.5" style="260" bestFit="1" customWidth="1"/>
    <col min="13831" max="13831" width="13" style="260" bestFit="1" customWidth="1"/>
    <col min="13832" max="13835" width="11.66015625" style="260" hidden="1" customWidth="1"/>
    <col min="13836" max="14078" width="11.66015625" style="260" customWidth="1"/>
    <col min="14079" max="14079" width="5.33203125" style="260" bestFit="1" customWidth="1"/>
    <col min="14080" max="14080" width="12.83203125" style="260" bestFit="1" customWidth="1"/>
    <col min="14081" max="14081" width="64.33203125" style="260" bestFit="1" customWidth="1"/>
    <col min="14082" max="14082" width="4.5" style="260" bestFit="1" customWidth="1"/>
    <col min="14083" max="14083" width="10.66015625" style="260" bestFit="1" customWidth="1"/>
    <col min="14084" max="14084" width="14.16015625" style="260" bestFit="1" customWidth="1"/>
    <col min="14085" max="14085" width="14.83203125" style="260" bestFit="1" customWidth="1"/>
    <col min="14086" max="14086" width="8.5" style="260" bestFit="1" customWidth="1"/>
    <col min="14087" max="14087" width="13" style="260" bestFit="1" customWidth="1"/>
    <col min="14088" max="14091" width="11.66015625" style="260" hidden="1" customWidth="1"/>
    <col min="14092" max="14334" width="11.66015625" style="260" customWidth="1"/>
    <col min="14335" max="14335" width="5.33203125" style="260" bestFit="1" customWidth="1"/>
    <col min="14336" max="14336" width="12.83203125" style="260" bestFit="1" customWidth="1"/>
    <col min="14337" max="14337" width="64.33203125" style="260" bestFit="1" customWidth="1"/>
    <col min="14338" max="14338" width="4.5" style="260" bestFit="1" customWidth="1"/>
    <col min="14339" max="14339" width="10.66015625" style="260" bestFit="1" customWidth="1"/>
    <col min="14340" max="14340" width="14.16015625" style="260" bestFit="1" customWidth="1"/>
    <col min="14341" max="14341" width="14.83203125" style="260" bestFit="1" customWidth="1"/>
    <col min="14342" max="14342" width="8.5" style="260" bestFit="1" customWidth="1"/>
    <col min="14343" max="14343" width="13" style="260" bestFit="1" customWidth="1"/>
    <col min="14344" max="14347" width="11.66015625" style="260" hidden="1" customWidth="1"/>
    <col min="14348" max="14590" width="11.66015625" style="260" customWidth="1"/>
    <col min="14591" max="14591" width="5.33203125" style="260" bestFit="1" customWidth="1"/>
    <col min="14592" max="14592" width="12.83203125" style="260" bestFit="1" customWidth="1"/>
    <col min="14593" max="14593" width="64.33203125" style="260" bestFit="1" customWidth="1"/>
    <col min="14594" max="14594" width="4.5" style="260" bestFit="1" customWidth="1"/>
    <col min="14595" max="14595" width="10.66015625" style="260" bestFit="1" customWidth="1"/>
    <col min="14596" max="14596" width="14.16015625" style="260" bestFit="1" customWidth="1"/>
    <col min="14597" max="14597" width="14.83203125" style="260" bestFit="1" customWidth="1"/>
    <col min="14598" max="14598" width="8.5" style="260" bestFit="1" customWidth="1"/>
    <col min="14599" max="14599" width="13" style="260" bestFit="1" customWidth="1"/>
    <col min="14600" max="14603" width="11.66015625" style="260" hidden="1" customWidth="1"/>
    <col min="14604" max="14846" width="11.66015625" style="260" customWidth="1"/>
    <col min="14847" max="14847" width="5.33203125" style="260" bestFit="1" customWidth="1"/>
    <col min="14848" max="14848" width="12.83203125" style="260" bestFit="1" customWidth="1"/>
    <col min="14849" max="14849" width="64.33203125" style="260" bestFit="1" customWidth="1"/>
    <col min="14850" max="14850" width="4.5" style="260" bestFit="1" customWidth="1"/>
    <col min="14851" max="14851" width="10.66015625" style="260" bestFit="1" customWidth="1"/>
    <col min="14852" max="14852" width="14.16015625" style="260" bestFit="1" customWidth="1"/>
    <col min="14853" max="14853" width="14.83203125" style="260" bestFit="1" customWidth="1"/>
    <col min="14854" max="14854" width="8.5" style="260" bestFit="1" customWidth="1"/>
    <col min="14855" max="14855" width="13" style="260" bestFit="1" customWidth="1"/>
    <col min="14856" max="14859" width="11.66015625" style="260" hidden="1" customWidth="1"/>
    <col min="14860" max="15102" width="11.66015625" style="260" customWidth="1"/>
    <col min="15103" max="15103" width="5.33203125" style="260" bestFit="1" customWidth="1"/>
    <col min="15104" max="15104" width="12.83203125" style="260" bestFit="1" customWidth="1"/>
    <col min="15105" max="15105" width="64.33203125" style="260" bestFit="1" customWidth="1"/>
    <col min="15106" max="15106" width="4.5" style="260" bestFit="1" customWidth="1"/>
    <col min="15107" max="15107" width="10.66015625" style="260" bestFit="1" customWidth="1"/>
    <col min="15108" max="15108" width="14.16015625" style="260" bestFit="1" customWidth="1"/>
    <col min="15109" max="15109" width="14.83203125" style="260" bestFit="1" customWidth="1"/>
    <col min="15110" max="15110" width="8.5" style="260" bestFit="1" customWidth="1"/>
    <col min="15111" max="15111" width="13" style="260" bestFit="1" customWidth="1"/>
    <col min="15112" max="15115" width="11.66015625" style="260" hidden="1" customWidth="1"/>
    <col min="15116" max="15358" width="11.66015625" style="260" customWidth="1"/>
    <col min="15359" max="15359" width="5.33203125" style="260" bestFit="1" customWidth="1"/>
    <col min="15360" max="15360" width="12.83203125" style="260" bestFit="1" customWidth="1"/>
    <col min="15361" max="15361" width="64.33203125" style="260" bestFit="1" customWidth="1"/>
    <col min="15362" max="15362" width="4.5" style="260" bestFit="1" customWidth="1"/>
    <col min="15363" max="15363" width="10.66015625" style="260" bestFit="1" customWidth="1"/>
    <col min="15364" max="15364" width="14.16015625" style="260" bestFit="1" customWidth="1"/>
    <col min="15365" max="15365" width="14.83203125" style="260" bestFit="1" customWidth="1"/>
    <col min="15366" max="15366" width="8.5" style="260" bestFit="1" customWidth="1"/>
    <col min="15367" max="15367" width="13" style="260" bestFit="1" customWidth="1"/>
    <col min="15368" max="15371" width="11.66015625" style="260" hidden="1" customWidth="1"/>
    <col min="15372" max="15614" width="11.66015625" style="260" customWidth="1"/>
    <col min="15615" max="15615" width="5.33203125" style="260" bestFit="1" customWidth="1"/>
    <col min="15616" max="15616" width="12.83203125" style="260" bestFit="1" customWidth="1"/>
    <col min="15617" max="15617" width="64.33203125" style="260" bestFit="1" customWidth="1"/>
    <col min="15618" max="15618" width="4.5" style="260" bestFit="1" customWidth="1"/>
    <col min="15619" max="15619" width="10.66015625" style="260" bestFit="1" customWidth="1"/>
    <col min="15620" max="15620" width="14.16015625" style="260" bestFit="1" customWidth="1"/>
    <col min="15621" max="15621" width="14.83203125" style="260" bestFit="1" customWidth="1"/>
    <col min="15622" max="15622" width="8.5" style="260" bestFit="1" customWidth="1"/>
    <col min="15623" max="15623" width="13" style="260" bestFit="1" customWidth="1"/>
    <col min="15624" max="15627" width="11.66015625" style="260" hidden="1" customWidth="1"/>
    <col min="15628" max="15870" width="11.66015625" style="260" customWidth="1"/>
    <col min="15871" max="15871" width="5.33203125" style="260" bestFit="1" customWidth="1"/>
    <col min="15872" max="15872" width="12.83203125" style="260" bestFit="1" customWidth="1"/>
    <col min="15873" max="15873" width="64.33203125" style="260" bestFit="1" customWidth="1"/>
    <col min="15874" max="15874" width="4.5" style="260" bestFit="1" customWidth="1"/>
    <col min="15875" max="15875" width="10.66015625" style="260" bestFit="1" customWidth="1"/>
    <col min="15876" max="15876" width="14.16015625" style="260" bestFit="1" customWidth="1"/>
    <col min="15877" max="15877" width="14.83203125" style="260" bestFit="1" customWidth="1"/>
    <col min="15878" max="15878" width="8.5" style="260" bestFit="1" customWidth="1"/>
    <col min="15879" max="15879" width="13" style="260" bestFit="1" customWidth="1"/>
    <col min="15880" max="15883" width="11.66015625" style="260" hidden="1" customWidth="1"/>
    <col min="15884" max="16126" width="11.66015625" style="260" customWidth="1"/>
    <col min="16127" max="16127" width="5.33203125" style="260" bestFit="1" customWidth="1"/>
    <col min="16128" max="16128" width="12.83203125" style="260" bestFit="1" customWidth="1"/>
    <col min="16129" max="16129" width="64.33203125" style="260" bestFit="1" customWidth="1"/>
    <col min="16130" max="16130" width="4.5" style="260" bestFit="1" customWidth="1"/>
    <col min="16131" max="16131" width="10.66015625" style="260" bestFit="1" customWidth="1"/>
    <col min="16132" max="16132" width="14.16015625" style="260" bestFit="1" customWidth="1"/>
    <col min="16133" max="16133" width="14.83203125" style="260" bestFit="1" customWidth="1"/>
    <col min="16134" max="16134" width="8.5" style="260" bestFit="1" customWidth="1"/>
    <col min="16135" max="16135" width="13" style="260" bestFit="1" customWidth="1"/>
    <col min="16136" max="16139" width="11.66015625" style="260" hidden="1" customWidth="1"/>
    <col min="16140" max="16384" width="11.66015625" style="260" customWidth="1"/>
  </cols>
  <sheetData>
    <row r="1" spans="1:14" ht="13.5">
      <c r="A1" s="257"/>
      <c r="B1" s="258" t="s">
        <v>20</v>
      </c>
      <c r="C1" s="257"/>
      <c r="D1" s="257"/>
      <c r="E1" s="257"/>
      <c r="F1" s="257"/>
      <c r="G1" s="294"/>
      <c r="H1" s="259"/>
      <c r="I1" s="257"/>
      <c r="J1" s="257"/>
      <c r="K1" s="257"/>
      <c r="L1" s="257"/>
      <c r="M1" s="257"/>
      <c r="N1" s="257"/>
    </row>
    <row r="2" spans="1:14" ht="18">
      <c r="A2" s="257"/>
      <c r="B2" s="445" t="s">
        <v>609</v>
      </c>
      <c r="C2" s="446"/>
      <c r="D2" s="446"/>
      <c r="E2" s="446"/>
      <c r="F2" s="446"/>
      <c r="G2" s="446"/>
      <c r="H2" s="446"/>
      <c r="I2" s="257"/>
      <c r="J2" s="257"/>
      <c r="K2" s="257"/>
      <c r="L2" s="257"/>
      <c r="M2" s="257"/>
      <c r="N2" s="257"/>
    </row>
    <row r="3" spans="1:14" s="293" customFormat="1" ht="18.75">
      <c r="A3" s="291"/>
      <c r="B3" s="290" t="s">
        <v>469</v>
      </c>
      <c r="C3" s="291"/>
      <c r="D3" s="291"/>
      <c r="E3" s="291"/>
      <c r="F3" s="291"/>
      <c r="G3" s="295"/>
      <c r="H3" s="292"/>
      <c r="I3" s="291"/>
      <c r="J3" s="291"/>
      <c r="K3" s="291"/>
      <c r="L3" s="291"/>
      <c r="M3" s="291"/>
      <c r="N3" s="291"/>
    </row>
    <row r="4" spans="1:14" s="293" customFormat="1" ht="18.75">
      <c r="A4" s="291"/>
      <c r="B4" s="290"/>
      <c r="C4" s="291"/>
      <c r="D4" s="291"/>
      <c r="E4" s="291"/>
      <c r="F4" s="291"/>
      <c r="G4" s="295"/>
      <c r="H4" s="292"/>
      <c r="I4" s="291"/>
      <c r="J4" s="291"/>
      <c r="K4" s="291"/>
      <c r="L4" s="291"/>
      <c r="M4" s="291"/>
      <c r="N4" s="291"/>
    </row>
    <row r="5" spans="1:14" s="293" customFormat="1" ht="18.75">
      <c r="A5" s="291"/>
      <c r="B5" s="290"/>
      <c r="C5" s="303" t="s">
        <v>577</v>
      </c>
      <c r="D5" s="291"/>
      <c r="E5" s="291"/>
      <c r="F5" s="291"/>
      <c r="G5" s="295">
        <f>SUM(G11+G39+G45+G73+G87)</f>
        <v>0</v>
      </c>
      <c r="H5" s="292"/>
      <c r="I5" s="291"/>
      <c r="J5" s="291"/>
      <c r="K5" s="291"/>
      <c r="L5" s="291"/>
      <c r="M5" s="291"/>
      <c r="N5" s="291"/>
    </row>
    <row r="6" spans="1:8" s="261" customFormat="1" ht="33.95" customHeight="1">
      <c r="A6" s="261" t="s">
        <v>470</v>
      </c>
      <c r="G6" s="296"/>
      <c r="H6" s="262"/>
    </row>
    <row r="7" spans="1:11" ht="13.5">
      <c r="A7" s="263" t="s">
        <v>471</v>
      </c>
      <c r="B7" s="264" t="s">
        <v>472</v>
      </c>
      <c r="C7" s="263" t="s">
        <v>473</v>
      </c>
      <c r="D7" s="263" t="s">
        <v>474</v>
      </c>
      <c r="E7" s="265" t="s">
        <v>475</v>
      </c>
      <c r="F7" s="265" t="s">
        <v>476</v>
      </c>
      <c r="G7" s="297" t="s">
        <v>477</v>
      </c>
      <c r="H7" s="266" t="s">
        <v>39</v>
      </c>
      <c r="I7" s="260" t="s">
        <v>478</v>
      </c>
      <c r="J7" s="260" t="s">
        <v>479</v>
      </c>
      <c r="K7" s="260" t="s">
        <v>480</v>
      </c>
    </row>
    <row r="8" spans="1:8" s="267" customFormat="1" ht="20.1" customHeight="1">
      <c r="A8" s="267" t="s">
        <v>481</v>
      </c>
      <c r="B8" s="268"/>
      <c r="E8" s="269"/>
      <c r="F8" s="269"/>
      <c r="G8" s="298"/>
      <c r="H8" s="270"/>
    </row>
    <row r="9" spans="1:11" ht="13.5">
      <c r="A9" s="260">
        <v>1</v>
      </c>
      <c r="B9" s="271">
        <v>722641</v>
      </c>
      <c r="C9" s="272" t="s">
        <v>616</v>
      </c>
      <c r="D9" s="272" t="s">
        <v>199</v>
      </c>
      <c r="E9" s="273">
        <v>1</v>
      </c>
      <c r="F9" s="273"/>
      <c r="G9" s="299">
        <f>SUM(E9*F9)</f>
        <v>0</v>
      </c>
      <c r="H9" s="274" t="s">
        <v>482</v>
      </c>
      <c r="I9" s="260" t="s">
        <v>483</v>
      </c>
      <c r="K9" s="272" t="s">
        <v>484</v>
      </c>
    </row>
    <row r="10" spans="1:11" ht="13.5">
      <c r="A10" s="275">
        <v>2</v>
      </c>
      <c r="B10" s="276">
        <v>0</v>
      </c>
      <c r="C10" s="277" t="s">
        <v>485</v>
      </c>
      <c r="D10" s="277" t="s">
        <v>199</v>
      </c>
      <c r="E10" s="278">
        <v>1</v>
      </c>
      <c r="F10" s="278"/>
      <c r="G10" s="300">
        <f>E10*F10</f>
        <v>0</v>
      </c>
      <c r="H10" s="279" t="s">
        <v>486</v>
      </c>
      <c r="I10" s="260" t="s">
        <v>483</v>
      </c>
      <c r="K10" s="272" t="s">
        <v>484</v>
      </c>
    </row>
    <row r="11" spans="2:11" s="280" customFormat="1" ht="14.25">
      <c r="B11" s="281"/>
      <c r="C11" s="282" t="s">
        <v>487</v>
      </c>
      <c r="D11" s="282"/>
      <c r="E11" s="283"/>
      <c r="F11" s="283"/>
      <c r="G11" s="301">
        <f>SUM(G9:G10)</f>
        <v>0</v>
      </c>
      <c r="H11" s="284"/>
      <c r="K11" s="282" t="s">
        <v>484</v>
      </c>
    </row>
    <row r="12" spans="1:11" s="267" customFormat="1" ht="20.1" customHeight="1">
      <c r="A12" s="267" t="s">
        <v>488</v>
      </c>
      <c r="B12" s="268"/>
      <c r="C12" s="285"/>
      <c r="D12" s="285"/>
      <c r="E12" s="269"/>
      <c r="F12" s="269"/>
      <c r="G12" s="298"/>
      <c r="H12" s="286"/>
      <c r="K12" s="285"/>
    </row>
    <row r="13" spans="1:11" ht="13.5">
      <c r="A13" s="260">
        <v>3</v>
      </c>
      <c r="B13" s="271">
        <v>101105</v>
      </c>
      <c r="C13" s="272" t="s">
        <v>489</v>
      </c>
      <c r="D13" s="272" t="s">
        <v>196</v>
      </c>
      <c r="E13" s="273">
        <v>12</v>
      </c>
      <c r="F13" s="273"/>
      <c r="G13" s="299">
        <f>SUM(E13*F13)</f>
        <v>0</v>
      </c>
      <c r="H13" s="274" t="s">
        <v>486</v>
      </c>
      <c r="I13" s="260" t="s">
        <v>483</v>
      </c>
      <c r="K13" s="272" t="s">
        <v>490</v>
      </c>
    </row>
    <row r="14" spans="1:11" ht="13.5">
      <c r="A14" s="260">
        <v>4</v>
      </c>
      <c r="B14" s="271">
        <v>101106</v>
      </c>
      <c r="C14" s="272" t="s">
        <v>491</v>
      </c>
      <c r="D14" s="272" t="s">
        <v>196</v>
      </c>
      <c r="E14" s="273">
        <v>20</v>
      </c>
      <c r="F14" s="273"/>
      <c r="G14" s="299">
        <f aca="true" t="shared" si="0" ref="G14:G38">SUM(E14*F14)</f>
        <v>0</v>
      </c>
      <c r="H14" s="274" t="s">
        <v>486</v>
      </c>
      <c r="I14" s="260" t="s">
        <v>483</v>
      </c>
      <c r="K14" s="272" t="s">
        <v>490</v>
      </c>
    </row>
    <row r="15" spans="1:11" ht="13.5">
      <c r="A15" s="260">
        <v>5</v>
      </c>
      <c r="B15" s="271">
        <v>101308</v>
      </c>
      <c r="C15" s="272" t="s">
        <v>492</v>
      </c>
      <c r="D15" s="272" t="s">
        <v>196</v>
      </c>
      <c r="E15" s="273">
        <v>2</v>
      </c>
      <c r="F15" s="273"/>
      <c r="G15" s="299">
        <f t="shared" si="0"/>
        <v>0</v>
      </c>
      <c r="H15" s="274" t="s">
        <v>486</v>
      </c>
      <c r="I15" s="260" t="s">
        <v>483</v>
      </c>
      <c r="K15" s="272" t="s">
        <v>490</v>
      </c>
    </row>
    <row r="16" spans="1:11" ht="13.5">
      <c r="A16" s="260">
        <v>6</v>
      </c>
      <c r="B16" s="271">
        <v>101209</v>
      </c>
      <c r="C16" s="272" t="s">
        <v>493</v>
      </c>
      <c r="D16" s="272" t="s">
        <v>196</v>
      </c>
      <c r="E16" s="273">
        <v>46</v>
      </c>
      <c r="F16" s="273"/>
      <c r="G16" s="299">
        <f t="shared" si="0"/>
        <v>0</v>
      </c>
      <c r="H16" s="274" t="s">
        <v>486</v>
      </c>
      <c r="I16" s="260" t="s">
        <v>483</v>
      </c>
      <c r="K16" s="272" t="s">
        <v>490</v>
      </c>
    </row>
    <row r="17" spans="1:11" ht="13.5">
      <c r="A17" s="260">
        <v>7</v>
      </c>
      <c r="B17" s="271">
        <v>171108</v>
      </c>
      <c r="C17" s="272" t="s">
        <v>494</v>
      </c>
      <c r="D17" s="272" t="s">
        <v>196</v>
      </c>
      <c r="E17" s="273">
        <v>12</v>
      </c>
      <c r="F17" s="273"/>
      <c r="G17" s="299">
        <f t="shared" si="0"/>
        <v>0</v>
      </c>
      <c r="H17" s="274" t="s">
        <v>486</v>
      </c>
      <c r="I17" s="260" t="s">
        <v>483</v>
      </c>
      <c r="K17" s="272" t="s">
        <v>490</v>
      </c>
    </row>
    <row r="18" spans="1:11" ht="13.5">
      <c r="A18" s="260">
        <v>8</v>
      </c>
      <c r="B18" s="271">
        <v>191408</v>
      </c>
      <c r="C18" s="272" t="s">
        <v>495</v>
      </c>
      <c r="D18" s="272" t="s">
        <v>199</v>
      </c>
      <c r="E18" s="273">
        <v>3</v>
      </c>
      <c r="F18" s="273"/>
      <c r="G18" s="299">
        <f t="shared" si="0"/>
        <v>0</v>
      </c>
      <c r="H18" s="274" t="s">
        <v>486</v>
      </c>
      <c r="I18" s="260" t="s">
        <v>483</v>
      </c>
      <c r="K18" s="272" t="s">
        <v>490</v>
      </c>
    </row>
    <row r="19" spans="1:11" ht="13.5">
      <c r="A19" s="260">
        <v>9</v>
      </c>
      <c r="B19" s="271">
        <v>190108</v>
      </c>
      <c r="C19" s="272" t="s">
        <v>496</v>
      </c>
      <c r="D19" s="272" t="s">
        <v>199</v>
      </c>
      <c r="E19" s="273">
        <v>9</v>
      </c>
      <c r="F19" s="273"/>
      <c r="G19" s="299">
        <f t="shared" si="0"/>
        <v>0</v>
      </c>
      <c r="H19" s="274" t="s">
        <v>486</v>
      </c>
      <c r="K19" s="272" t="s">
        <v>490</v>
      </c>
    </row>
    <row r="20" spans="1:11" ht="13.5">
      <c r="A20" s="260">
        <v>10</v>
      </c>
      <c r="B20" s="271">
        <v>125</v>
      </c>
      <c r="C20" s="272" t="s">
        <v>497</v>
      </c>
      <c r="D20" s="272" t="s">
        <v>196</v>
      </c>
      <c r="E20" s="273">
        <v>0.2</v>
      </c>
      <c r="F20" s="273"/>
      <c r="G20" s="299">
        <f t="shared" si="0"/>
        <v>0</v>
      </c>
      <c r="H20" s="274" t="s">
        <v>486</v>
      </c>
      <c r="K20" s="272" t="s">
        <v>490</v>
      </c>
    </row>
    <row r="21" spans="1:11" ht="13.5">
      <c r="A21" s="260">
        <v>11</v>
      </c>
      <c r="B21" s="271">
        <v>192309</v>
      </c>
      <c r="C21" s="272" t="s">
        <v>498</v>
      </c>
      <c r="D21" s="272" t="s">
        <v>199</v>
      </c>
      <c r="E21" s="273">
        <v>2</v>
      </c>
      <c r="F21" s="273"/>
      <c r="G21" s="299">
        <f t="shared" si="0"/>
        <v>0</v>
      </c>
      <c r="H21" s="274" t="s">
        <v>486</v>
      </c>
      <c r="I21" s="260" t="s">
        <v>483</v>
      </c>
      <c r="K21" s="272" t="s">
        <v>490</v>
      </c>
    </row>
    <row r="22" spans="1:11" ht="13.5">
      <c r="A22" s="260">
        <v>12</v>
      </c>
      <c r="B22" s="271">
        <v>190109</v>
      </c>
      <c r="C22" s="272" t="s">
        <v>499</v>
      </c>
      <c r="D22" s="272" t="s">
        <v>199</v>
      </c>
      <c r="E22" s="273">
        <v>8</v>
      </c>
      <c r="F22" s="273"/>
      <c r="G22" s="299">
        <f t="shared" si="0"/>
        <v>0</v>
      </c>
      <c r="H22" s="274" t="s">
        <v>486</v>
      </c>
      <c r="K22" s="272" t="s">
        <v>490</v>
      </c>
    </row>
    <row r="23" spans="1:11" ht="13.5">
      <c r="A23" s="260">
        <v>13</v>
      </c>
      <c r="B23" s="271">
        <v>295001</v>
      </c>
      <c r="C23" s="272" t="s">
        <v>500</v>
      </c>
      <c r="D23" s="272" t="s">
        <v>196</v>
      </c>
      <c r="E23" s="273">
        <v>58</v>
      </c>
      <c r="F23" s="273"/>
      <c r="G23" s="299">
        <f t="shared" si="0"/>
        <v>0</v>
      </c>
      <c r="H23" s="274" t="s">
        <v>486</v>
      </c>
      <c r="I23" s="260" t="s">
        <v>483</v>
      </c>
      <c r="K23" s="272" t="s">
        <v>490</v>
      </c>
    </row>
    <row r="24" spans="1:11" ht="13.5">
      <c r="A24" s="260">
        <v>14</v>
      </c>
      <c r="B24" s="271">
        <v>295011</v>
      </c>
      <c r="C24" s="272" t="s">
        <v>501</v>
      </c>
      <c r="D24" s="272" t="s">
        <v>196</v>
      </c>
      <c r="E24" s="273">
        <v>10</v>
      </c>
      <c r="F24" s="273"/>
      <c r="G24" s="299">
        <f t="shared" si="0"/>
        <v>0</v>
      </c>
      <c r="H24" s="274" t="s">
        <v>486</v>
      </c>
      <c r="I24" s="260" t="s">
        <v>483</v>
      </c>
      <c r="K24" s="272" t="s">
        <v>490</v>
      </c>
    </row>
    <row r="25" spans="1:11" ht="13.5">
      <c r="A25" s="260">
        <v>15</v>
      </c>
      <c r="B25" s="271">
        <v>295011</v>
      </c>
      <c r="C25" s="272" t="s">
        <v>501</v>
      </c>
      <c r="D25" s="272" t="s">
        <v>196</v>
      </c>
      <c r="E25" s="273">
        <v>15</v>
      </c>
      <c r="F25" s="273"/>
      <c r="G25" s="299">
        <f t="shared" si="0"/>
        <v>0</v>
      </c>
      <c r="H25" s="274" t="s">
        <v>486</v>
      </c>
      <c r="I25" s="260" t="s">
        <v>483</v>
      </c>
      <c r="K25" s="272" t="s">
        <v>490</v>
      </c>
    </row>
    <row r="26" spans="1:11" ht="13.5">
      <c r="A26" s="260">
        <v>16</v>
      </c>
      <c r="B26" s="271">
        <v>199096</v>
      </c>
      <c r="C26" s="272" t="s">
        <v>502</v>
      </c>
      <c r="D26" s="272" t="s">
        <v>199</v>
      </c>
      <c r="E26" s="273">
        <v>1</v>
      </c>
      <c r="F26" s="273"/>
      <c r="G26" s="299">
        <f t="shared" si="0"/>
        <v>0</v>
      </c>
      <c r="H26" s="274" t="s">
        <v>486</v>
      </c>
      <c r="I26" s="260" t="s">
        <v>483</v>
      </c>
      <c r="K26" s="272" t="s">
        <v>490</v>
      </c>
    </row>
    <row r="27" spans="1:11" ht="13.5">
      <c r="A27" s="260">
        <v>17</v>
      </c>
      <c r="B27" s="271">
        <v>313123</v>
      </c>
      <c r="C27" s="272" t="s">
        <v>503</v>
      </c>
      <c r="D27" s="272" t="s">
        <v>199</v>
      </c>
      <c r="E27" s="273">
        <v>2</v>
      </c>
      <c r="F27" s="273"/>
      <c r="G27" s="299">
        <f t="shared" si="0"/>
        <v>0</v>
      </c>
      <c r="H27" s="274" t="s">
        <v>486</v>
      </c>
      <c r="I27" s="260" t="s">
        <v>483</v>
      </c>
      <c r="K27" s="272" t="s">
        <v>490</v>
      </c>
    </row>
    <row r="28" spans="1:11" ht="13.5">
      <c r="A28" s="260">
        <v>18</v>
      </c>
      <c r="B28" s="271">
        <v>313121</v>
      </c>
      <c r="C28" s="272" t="s">
        <v>504</v>
      </c>
      <c r="D28" s="272" t="s">
        <v>199</v>
      </c>
      <c r="E28" s="273">
        <v>1</v>
      </c>
      <c r="F28" s="273"/>
      <c r="G28" s="299">
        <f t="shared" si="0"/>
        <v>0</v>
      </c>
      <c r="H28" s="274" t="s">
        <v>486</v>
      </c>
      <c r="I28" s="260" t="s">
        <v>483</v>
      </c>
      <c r="K28" s="272" t="s">
        <v>490</v>
      </c>
    </row>
    <row r="29" spans="1:11" ht="13.5">
      <c r="A29" s="260">
        <v>19</v>
      </c>
      <c r="B29" s="271">
        <v>333021</v>
      </c>
      <c r="C29" s="272" t="s">
        <v>505</v>
      </c>
      <c r="D29" s="272" t="s">
        <v>196</v>
      </c>
      <c r="E29" s="273">
        <v>10</v>
      </c>
      <c r="F29" s="273"/>
      <c r="G29" s="299">
        <f t="shared" si="0"/>
        <v>0</v>
      </c>
      <c r="H29" s="274" t="s">
        <v>486</v>
      </c>
      <c r="I29" s="260" t="s">
        <v>483</v>
      </c>
      <c r="K29" s="272" t="s">
        <v>490</v>
      </c>
    </row>
    <row r="30" spans="1:11" ht="13.5">
      <c r="A30" s="260">
        <v>20</v>
      </c>
      <c r="B30" s="271">
        <v>333041</v>
      </c>
      <c r="C30" s="272" t="s">
        <v>506</v>
      </c>
      <c r="D30" s="272" t="s">
        <v>196</v>
      </c>
      <c r="E30" s="273">
        <v>6</v>
      </c>
      <c r="F30" s="273"/>
      <c r="G30" s="299">
        <f t="shared" si="0"/>
        <v>0</v>
      </c>
      <c r="H30" s="274" t="s">
        <v>486</v>
      </c>
      <c r="I30" s="260" t="s">
        <v>483</v>
      </c>
      <c r="K30" s="272" t="s">
        <v>490</v>
      </c>
    </row>
    <row r="31" spans="1:11" ht="13.5">
      <c r="A31" s="260">
        <v>21</v>
      </c>
      <c r="B31" s="271">
        <v>201</v>
      </c>
      <c r="C31" s="272" t="s">
        <v>507</v>
      </c>
      <c r="D31" s="272" t="s">
        <v>294</v>
      </c>
      <c r="E31" s="273">
        <v>4</v>
      </c>
      <c r="F31" s="273"/>
      <c r="G31" s="299">
        <f t="shared" si="0"/>
        <v>0</v>
      </c>
      <c r="H31" s="274" t="s">
        <v>486</v>
      </c>
      <c r="K31" s="272" t="s">
        <v>490</v>
      </c>
    </row>
    <row r="32" spans="1:11" ht="13.5">
      <c r="A32" s="260">
        <v>22</v>
      </c>
      <c r="B32" s="271">
        <v>432216</v>
      </c>
      <c r="C32" s="272" t="s">
        <v>508</v>
      </c>
      <c r="D32" s="272" t="s">
        <v>199</v>
      </c>
      <c r="E32" s="273">
        <v>1</v>
      </c>
      <c r="F32" s="273"/>
      <c r="G32" s="299">
        <f t="shared" si="0"/>
        <v>0</v>
      </c>
      <c r="H32" s="274" t="s">
        <v>486</v>
      </c>
      <c r="I32" s="260" t="s">
        <v>483</v>
      </c>
      <c r="K32" s="272" t="s">
        <v>490</v>
      </c>
    </row>
    <row r="33" spans="1:11" ht="13.5">
      <c r="A33" s="260">
        <v>23</v>
      </c>
      <c r="B33" s="271">
        <v>432232</v>
      </c>
      <c r="C33" s="272" t="s">
        <v>509</v>
      </c>
      <c r="D33" s="272" t="s">
        <v>199</v>
      </c>
      <c r="E33" s="273">
        <v>3</v>
      </c>
      <c r="F33" s="273"/>
      <c r="G33" s="299">
        <f t="shared" si="0"/>
        <v>0</v>
      </c>
      <c r="H33" s="274" t="s">
        <v>486</v>
      </c>
      <c r="I33" s="260" t="s">
        <v>483</v>
      </c>
      <c r="K33" s="272" t="s">
        <v>490</v>
      </c>
    </row>
    <row r="34" spans="1:11" ht="13.5">
      <c r="A34" s="260">
        <v>24</v>
      </c>
      <c r="B34" s="271">
        <v>612843169</v>
      </c>
      <c r="C34" s="272" t="s">
        <v>510</v>
      </c>
      <c r="D34" s="272" t="s">
        <v>199</v>
      </c>
      <c r="E34" s="273">
        <v>1</v>
      </c>
      <c r="F34" s="273"/>
      <c r="G34" s="299">
        <f t="shared" si="0"/>
        <v>0</v>
      </c>
      <c r="H34" s="274" t="s">
        <v>486</v>
      </c>
      <c r="I34" s="260" t="s">
        <v>483</v>
      </c>
      <c r="K34" s="272" t="s">
        <v>490</v>
      </c>
    </row>
    <row r="35" spans="1:11" ht="13.5">
      <c r="A35" s="260">
        <v>25</v>
      </c>
      <c r="B35" s="271">
        <v>420006</v>
      </c>
      <c r="C35" s="272" t="s">
        <v>511</v>
      </c>
      <c r="D35" s="272" t="s">
        <v>199</v>
      </c>
      <c r="E35" s="273">
        <v>1</v>
      </c>
      <c r="F35" s="273"/>
      <c r="G35" s="299">
        <f t="shared" si="0"/>
        <v>0</v>
      </c>
      <c r="H35" s="274" t="s">
        <v>486</v>
      </c>
      <c r="I35" s="260" t="s">
        <v>483</v>
      </c>
      <c r="K35" s="272" t="s">
        <v>490</v>
      </c>
    </row>
    <row r="36" spans="1:11" ht="13.5">
      <c r="A36" s="260">
        <v>26</v>
      </c>
      <c r="B36" s="271">
        <v>420091</v>
      </c>
      <c r="C36" s="272" t="s">
        <v>512</v>
      </c>
      <c r="D36" s="272" t="s">
        <v>199</v>
      </c>
      <c r="E36" s="273">
        <v>1</v>
      </c>
      <c r="F36" s="273"/>
      <c r="G36" s="299">
        <f t="shared" si="0"/>
        <v>0</v>
      </c>
      <c r="H36" s="274" t="s">
        <v>486</v>
      </c>
      <c r="K36" s="272" t="s">
        <v>490</v>
      </c>
    </row>
    <row r="37" spans="1:11" ht="13.5">
      <c r="A37" s="260">
        <v>27</v>
      </c>
      <c r="B37" s="271">
        <v>295413</v>
      </c>
      <c r="C37" s="272" t="s">
        <v>513</v>
      </c>
      <c r="D37" s="272" t="s">
        <v>199</v>
      </c>
      <c r="E37" s="273">
        <v>1</v>
      </c>
      <c r="F37" s="273"/>
      <c r="G37" s="299">
        <f t="shared" si="0"/>
        <v>0</v>
      </c>
      <c r="H37" s="274" t="s">
        <v>486</v>
      </c>
      <c r="I37" s="260" t="s">
        <v>483</v>
      </c>
      <c r="K37" s="272" t="s">
        <v>490</v>
      </c>
    </row>
    <row r="38" spans="1:11" ht="13.5">
      <c r="A38" s="275">
        <v>28</v>
      </c>
      <c r="B38" s="276">
        <v>902005</v>
      </c>
      <c r="C38" s="277" t="s">
        <v>514</v>
      </c>
      <c r="D38" s="277" t="s">
        <v>199</v>
      </c>
      <c r="E38" s="278">
        <v>7</v>
      </c>
      <c r="F38" s="273"/>
      <c r="G38" s="299">
        <f t="shared" si="0"/>
        <v>0</v>
      </c>
      <c r="H38" s="279" t="s">
        <v>486</v>
      </c>
      <c r="I38" s="260" t="s">
        <v>483</v>
      </c>
      <c r="K38" s="272" t="s">
        <v>490</v>
      </c>
    </row>
    <row r="39" spans="2:11" s="280" customFormat="1" ht="14.25">
      <c r="B39" s="281"/>
      <c r="C39" s="282" t="s">
        <v>487</v>
      </c>
      <c r="D39" s="282"/>
      <c r="E39" s="283"/>
      <c r="F39" s="283"/>
      <c r="G39" s="301">
        <f>SUM(G13:G38)</f>
        <v>0</v>
      </c>
      <c r="H39" s="284"/>
      <c r="K39" s="282" t="s">
        <v>490</v>
      </c>
    </row>
    <row r="40" spans="1:11" s="267" customFormat="1" ht="20.1" customHeight="1">
      <c r="A40" s="267" t="s">
        <v>515</v>
      </c>
      <c r="B40" s="268"/>
      <c r="C40" s="285"/>
      <c r="D40" s="285"/>
      <c r="E40" s="269"/>
      <c r="F40" s="269"/>
      <c r="G40" s="298"/>
      <c r="H40" s="286"/>
      <c r="K40" s="285"/>
    </row>
    <row r="41" spans="1:11" ht="13.5">
      <c r="A41" s="260">
        <v>29</v>
      </c>
      <c r="B41" s="271">
        <v>46133</v>
      </c>
      <c r="C41" s="272" t="s">
        <v>516</v>
      </c>
      <c r="D41" s="272" t="s">
        <v>150</v>
      </c>
      <c r="E41" s="273">
        <v>4.32</v>
      </c>
      <c r="F41" s="273"/>
      <c r="G41" s="299">
        <f aca="true" t="shared" si="1" ref="G41:G44">SUM(E41*F41)</f>
        <v>0</v>
      </c>
      <c r="H41" s="274" t="s">
        <v>486</v>
      </c>
      <c r="K41" s="272" t="s">
        <v>517</v>
      </c>
    </row>
    <row r="42" spans="1:11" ht="13.5">
      <c r="A42" s="260">
        <v>30</v>
      </c>
      <c r="B42" s="271">
        <v>46383</v>
      </c>
      <c r="C42" s="272" t="s">
        <v>518</v>
      </c>
      <c r="D42" s="272" t="s">
        <v>196</v>
      </c>
      <c r="E42" s="273">
        <v>42</v>
      </c>
      <c r="F42" s="273"/>
      <c r="G42" s="299">
        <f t="shared" si="1"/>
        <v>0</v>
      </c>
      <c r="H42" s="274" t="s">
        <v>486</v>
      </c>
      <c r="K42" s="272" t="s">
        <v>517</v>
      </c>
    </row>
    <row r="43" spans="1:11" ht="13.5">
      <c r="A43" s="260">
        <v>31</v>
      </c>
      <c r="B43" s="271">
        <v>46514</v>
      </c>
      <c r="C43" s="272" t="s">
        <v>519</v>
      </c>
      <c r="D43" s="272" t="s">
        <v>196</v>
      </c>
      <c r="E43" s="273">
        <v>42</v>
      </c>
      <c r="F43" s="273"/>
      <c r="G43" s="299">
        <f t="shared" si="1"/>
        <v>0</v>
      </c>
      <c r="H43" s="274" t="s">
        <v>486</v>
      </c>
      <c r="K43" s="272" t="s">
        <v>517</v>
      </c>
    </row>
    <row r="44" spans="1:11" ht="13.5">
      <c r="A44" s="275">
        <v>32</v>
      </c>
      <c r="B44" s="276">
        <v>46524</v>
      </c>
      <c r="C44" s="277" t="s">
        <v>520</v>
      </c>
      <c r="D44" s="277" t="s">
        <v>199</v>
      </c>
      <c r="E44" s="278">
        <v>7</v>
      </c>
      <c r="F44" s="273"/>
      <c r="G44" s="299">
        <f t="shared" si="1"/>
        <v>0</v>
      </c>
      <c r="H44" s="279" t="s">
        <v>486</v>
      </c>
      <c r="K44" s="272" t="s">
        <v>517</v>
      </c>
    </row>
    <row r="45" spans="2:11" s="280" customFormat="1" ht="14.25">
      <c r="B45" s="281"/>
      <c r="C45" s="282" t="s">
        <v>487</v>
      </c>
      <c r="D45" s="282"/>
      <c r="E45" s="283"/>
      <c r="F45" s="283"/>
      <c r="G45" s="301">
        <f>SUM(G41:G44)</f>
        <v>0</v>
      </c>
      <c r="H45" s="284"/>
      <c r="K45" s="282" t="s">
        <v>517</v>
      </c>
    </row>
    <row r="46" spans="1:11" s="267" customFormat="1" ht="20.1" customHeight="1">
      <c r="A46" s="267" t="s">
        <v>521</v>
      </c>
      <c r="B46" s="268"/>
      <c r="C46" s="285"/>
      <c r="D46" s="285"/>
      <c r="E46" s="269"/>
      <c r="F46" s="269"/>
      <c r="G46" s="298"/>
      <c r="H46" s="286"/>
      <c r="K46" s="285"/>
    </row>
    <row r="47" spans="1:11" ht="13.5">
      <c r="A47" s="260">
        <v>33</v>
      </c>
      <c r="B47" s="271">
        <v>210810008</v>
      </c>
      <c r="C47" s="272" t="s">
        <v>522</v>
      </c>
      <c r="D47" s="272" t="s">
        <v>196</v>
      </c>
      <c r="E47" s="273">
        <v>12</v>
      </c>
      <c r="F47" s="273"/>
      <c r="G47" s="299">
        <f aca="true" t="shared" si="2" ref="G47:G72">SUM(E47*F47)</f>
        <v>0</v>
      </c>
      <c r="H47" s="274" t="s">
        <v>486</v>
      </c>
      <c r="K47" s="272" t="s">
        <v>523</v>
      </c>
    </row>
    <row r="48" spans="1:11" ht="13.5">
      <c r="A48" s="260">
        <v>34</v>
      </c>
      <c r="B48" s="271">
        <v>210810008</v>
      </c>
      <c r="C48" s="272" t="s">
        <v>522</v>
      </c>
      <c r="D48" s="272" t="s">
        <v>196</v>
      </c>
      <c r="E48" s="273">
        <v>20</v>
      </c>
      <c r="F48" s="273"/>
      <c r="G48" s="299">
        <f t="shared" si="2"/>
        <v>0</v>
      </c>
      <c r="H48" s="274" t="s">
        <v>486</v>
      </c>
      <c r="K48" s="272" t="s">
        <v>523</v>
      </c>
    </row>
    <row r="49" spans="1:11" ht="13.5">
      <c r="A49" s="260">
        <v>35</v>
      </c>
      <c r="B49" s="271">
        <v>210810012</v>
      </c>
      <c r="C49" s="272" t="s">
        <v>524</v>
      </c>
      <c r="D49" s="272" t="s">
        <v>196</v>
      </c>
      <c r="E49" s="273">
        <v>2</v>
      </c>
      <c r="F49" s="273"/>
      <c r="G49" s="299">
        <f t="shared" si="2"/>
        <v>0</v>
      </c>
      <c r="H49" s="274" t="s">
        <v>486</v>
      </c>
      <c r="K49" s="272" t="s">
        <v>523</v>
      </c>
    </row>
    <row r="50" spans="1:11" ht="13.5">
      <c r="A50" s="260">
        <v>36</v>
      </c>
      <c r="B50" s="271">
        <v>210810013</v>
      </c>
      <c r="C50" s="272" t="s">
        <v>525</v>
      </c>
      <c r="D50" s="272" t="s">
        <v>196</v>
      </c>
      <c r="E50" s="273">
        <v>46</v>
      </c>
      <c r="F50" s="273"/>
      <c r="G50" s="299">
        <f t="shared" si="2"/>
        <v>0</v>
      </c>
      <c r="H50" s="274" t="s">
        <v>486</v>
      </c>
      <c r="K50" s="272" t="s">
        <v>523</v>
      </c>
    </row>
    <row r="51" spans="1:11" ht="13.5">
      <c r="A51" s="260">
        <v>37</v>
      </c>
      <c r="B51" s="271">
        <v>210800831</v>
      </c>
      <c r="C51" s="272" t="s">
        <v>526</v>
      </c>
      <c r="D51" s="272" t="s">
        <v>196</v>
      </c>
      <c r="E51" s="273">
        <v>12</v>
      </c>
      <c r="F51" s="273"/>
      <c r="G51" s="299">
        <f t="shared" si="2"/>
        <v>0</v>
      </c>
      <c r="H51" s="274" t="s">
        <v>486</v>
      </c>
      <c r="K51" s="272" t="s">
        <v>523</v>
      </c>
    </row>
    <row r="52" spans="1:11" ht="13.5">
      <c r="A52" s="260">
        <v>38</v>
      </c>
      <c r="B52" s="271">
        <v>210100001</v>
      </c>
      <c r="C52" s="272" t="s">
        <v>527</v>
      </c>
      <c r="D52" s="272" t="s">
        <v>199</v>
      </c>
      <c r="E52" s="273">
        <v>9</v>
      </c>
      <c r="F52" s="273"/>
      <c r="G52" s="299">
        <f t="shared" si="2"/>
        <v>0</v>
      </c>
      <c r="H52" s="274" t="s">
        <v>486</v>
      </c>
      <c r="I52" s="260" t="s">
        <v>483</v>
      </c>
      <c r="K52" s="272" t="s">
        <v>523</v>
      </c>
    </row>
    <row r="53" spans="1:11" ht="13.5">
      <c r="A53" s="260">
        <v>39</v>
      </c>
      <c r="B53" s="271">
        <v>210100002</v>
      </c>
      <c r="C53" s="272" t="s">
        <v>528</v>
      </c>
      <c r="D53" s="272" t="s">
        <v>199</v>
      </c>
      <c r="E53" s="273">
        <v>12</v>
      </c>
      <c r="F53" s="273"/>
      <c r="G53" s="299">
        <f t="shared" si="2"/>
        <v>0</v>
      </c>
      <c r="H53" s="274" t="s">
        <v>486</v>
      </c>
      <c r="I53" s="260" t="s">
        <v>483</v>
      </c>
      <c r="K53" s="272" t="s">
        <v>523</v>
      </c>
    </row>
    <row r="54" spans="1:11" ht="13.5">
      <c r="A54" s="260">
        <v>40</v>
      </c>
      <c r="B54" s="271">
        <v>210100003</v>
      </c>
      <c r="C54" s="272" t="s">
        <v>529</v>
      </c>
      <c r="D54" s="272" t="s">
        <v>199</v>
      </c>
      <c r="E54" s="273">
        <v>8</v>
      </c>
      <c r="F54" s="273"/>
      <c r="G54" s="299">
        <f t="shared" si="2"/>
        <v>0</v>
      </c>
      <c r="H54" s="274" t="s">
        <v>486</v>
      </c>
      <c r="I54" s="260" t="s">
        <v>483</v>
      </c>
      <c r="K54" s="272" t="s">
        <v>523</v>
      </c>
    </row>
    <row r="55" spans="1:11" ht="13.5">
      <c r="A55" s="260">
        <v>41</v>
      </c>
      <c r="B55" s="271">
        <v>210100251</v>
      </c>
      <c r="C55" s="272" t="s">
        <v>530</v>
      </c>
      <c r="D55" s="272" t="s">
        <v>199</v>
      </c>
      <c r="E55" s="273">
        <v>3</v>
      </c>
      <c r="F55" s="273"/>
      <c r="G55" s="299">
        <f t="shared" si="2"/>
        <v>0</v>
      </c>
      <c r="H55" s="274" t="s">
        <v>486</v>
      </c>
      <c r="K55" s="272" t="s">
        <v>523</v>
      </c>
    </row>
    <row r="56" spans="1:11" ht="13.5">
      <c r="A56" s="260">
        <v>42</v>
      </c>
      <c r="B56" s="271">
        <v>210100259</v>
      </c>
      <c r="C56" s="272" t="s">
        <v>531</v>
      </c>
      <c r="D56" s="272" t="s">
        <v>199</v>
      </c>
      <c r="E56" s="273">
        <v>2</v>
      </c>
      <c r="F56" s="273"/>
      <c r="G56" s="299">
        <f t="shared" si="2"/>
        <v>0</v>
      </c>
      <c r="H56" s="274" t="s">
        <v>486</v>
      </c>
      <c r="I56" s="260" t="s">
        <v>483</v>
      </c>
      <c r="K56" s="272" t="s">
        <v>523</v>
      </c>
    </row>
    <row r="57" spans="1:11" ht="13.5">
      <c r="A57" s="260">
        <v>43</v>
      </c>
      <c r="B57" s="271">
        <v>210100641</v>
      </c>
      <c r="C57" s="272" t="s">
        <v>532</v>
      </c>
      <c r="D57" s="272" t="s">
        <v>199</v>
      </c>
      <c r="E57" s="273">
        <v>2</v>
      </c>
      <c r="F57" s="273"/>
      <c r="G57" s="299">
        <f t="shared" si="2"/>
        <v>0</v>
      </c>
      <c r="H57" s="274" t="s">
        <v>486</v>
      </c>
      <c r="K57" s="272" t="s">
        <v>523</v>
      </c>
    </row>
    <row r="58" spans="1:11" ht="13.5">
      <c r="A58" s="260">
        <v>44</v>
      </c>
      <c r="B58" s="271">
        <v>210220021</v>
      </c>
      <c r="C58" s="272" t="s">
        <v>533</v>
      </c>
      <c r="D58" s="272" t="s">
        <v>196</v>
      </c>
      <c r="E58" s="273">
        <v>58</v>
      </c>
      <c r="F58" s="273"/>
      <c r="G58" s="299">
        <f t="shared" si="2"/>
        <v>0</v>
      </c>
      <c r="H58" s="274" t="s">
        <v>486</v>
      </c>
      <c r="K58" s="272" t="s">
        <v>523</v>
      </c>
    </row>
    <row r="59" spans="1:11" ht="13.5">
      <c r="A59" s="260">
        <v>45</v>
      </c>
      <c r="B59" s="271">
        <v>210220022</v>
      </c>
      <c r="C59" s="272" t="s">
        <v>534</v>
      </c>
      <c r="D59" s="272" t="s">
        <v>196</v>
      </c>
      <c r="E59" s="273">
        <v>10</v>
      </c>
      <c r="F59" s="273"/>
      <c r="G59" s="299">
        <f t="shared" si="2"/>
        <v>0</v>
      </c>
      <c r="H59" s="274" t="s">
        <v>486</v>
      </c>
      <c r="K59" s="272" t="s">
        <v>523</v>
      </c>
    </row>
    <row r="60" spans="1:11" ht="13.5">
      <c r="A60" s="260">
        <v>46</v>
      </c>
      <c r="B60" s="271">
        <v>210220002</v>
      </c>
      <c r="C60" s="272" t="s">
        <v>535</v>
      </c>
      <c r="D60" s="272" t="s">
        <v>196</v>
      </c>
      <c r="E60" s="273">
        <v>15</v>
      </c>
      <c r="F60" s="273"/>
      <c r="G60" s="299">
        <f t="shared" si="2"/>
        <v>0</v>
      </c>
      <c r="H60" s="274" t="s">
        <v>486</v>
      </c>
      <c r="K60" s="272" t="s">
        <v>523</v>
      </c>
    </row>
    <row r="61" spans="1:11" ht="13.5">
      <c r="A61" s="260">
        <v>47</v>
      </c>
      <c r="B61" s="271">
        <v>210192562</v>
      </c>
      <c r="C61" s="272" t="s">
        <v>536</v>
      </c>
      <c r="D61" s="272" t="s">
        <v>199</v>
      </c>
      <c r="E61" s="273">
        <v>1</v>
      </c>
      <c r="F61" s="273"/>
      <c r="G61" s="299">
        <f t="shared" si="2"/>
        <v>0</v>
      </c>
      <c r="H61" s="274" t="s">
        <v>486</v>
      </c>
      <c r="K61" s="272" t="s">
        <v>523</v>
      </c>
    </row>
    <row r="62" spans="1:11" ht="13.5">
      <c r="A62" s="260">
        <v>48</v>
      </c>
      <c r="B62" s="271">
        <v>210010332</v>
      </c>
      <c r="C62" s="272" t="s">
        <v>537</v>
      </c>
      <c r="D62" s="272" t="s">
        <v>199</v>
      </c>
      <c r="E62" s="273">
        <v>2</v>
      </c>
      <c r="F62" s="273"/>
      <c r="G62" s="299">
        <f t="shared" si="2"/>
        <v>0</v>
      </c>
      <c r="H62" s="274" t="s">
        <v>486</v>
      </c>
      <c r="K62" s="272" t="s">
        <v>523</v>
      </c>
    </row>
    <row r="63" spans="1:11" ht="13.5">
      <c r="A63" s="260">
        <v>49</v>
      </c>
      <c r="B63" s="271">
        <v>210010331</v>
      </c>
      <c r="C63" s="272" t="s">
        <v>538</v>
      </c>
      <c r="D63" s="272" t="s">
        <v>199</v>
      </c>
      <c r="E63" s="273">
        <v>1</v>
      </c>
      <c r="F63" s="273"/>
      <c r="G63" s="299">
        <f t="shared" si="2"/>
        <v>0</v>
      </c>
      <c r="H63" s="274" t="s">
        <v>486</v>
      </c>
      <c r="K63" s="272" t="s">
        <v>523</v>
      </c>
    </row>
    <row r="64" spans="1:11" ht="13.5">
      <c r="A64" s="260">
        <v>50</v>
      </c>
      <c r="B64" s="271">
        <v>210010111</v>
      </c>
      <c r="C64" s="272" t="s">
        <v>539</v>
      </c>
      <c r="D64" s="272" t="s">
        <v>196</v>
      </c>
      <c r="E64" s="273">
        <v>10</v>
      </c>
      <c r="F64" s="273"/>
      <c r="G64" s="299">
        <f t="shared" si="2"/>
        <v>0</v>
      </c>
      <c r="H64" s="274" t="s">
        <v>486</v>
      </c>
      <c r="K64" s="272" t="s">
        <v>523</v>
      </c>
    </row>
    <row r="65" spans="1:11" ht="13.5">
      <c r="A65" s="260">
        <v>51</v>
      </c>
      <c r="B65" s="271">
        <v>210010105</v>
      </c>
      <c r="C65" s="272" t="s">
        <v>540</v>
      </c>
      <c r="D65" s="272" t="s">
        <v>196</v>
      </c>
      <c r="E65" s="273">
        <v>6</v>
      </c>
      <c r="F65" s="273"/>
      <c r="G65" s="299">
        <f t="shared" si="2"/>
        <v>0</v>
      </c>
      <c r="H65" s="274" t="s">
        <v>486</v>
      </c>
      <c r="K65" s="272" t="s">
        <v>523</v>
      </c>
    </row>
    <row r="66" spans="1:11" ht="13.5">
      <c r="A66" s="260">
        <v>52</v>
      </c>
      <c r="B66" s="271">
        <v>210020651</v>
      </c>
      <c r="C66" s="272" t="s">
        <v>541</v>
      </c>
      <c r="D66" s="272" t="s">
        <v>199</v>
      </c>
      <c r="E66" s="273">
        <v>2</v>
      </c>
      <c r="F66" s="273"/>
      <c r="G66" s="299">
        <f t="shared" si="2"/>
        <v>0</v>
      </c>
      <c r="H66" s="274" t="s">
        <v>486</v>
      </c>
      <c r="I66" s="260" t="s">
        <v>483</v>
      </c>
      <c r="K66" s="272" t="s">
        <v>523</v>
      </c>
    </row>
    <row r="67" spans="1:11" ht="13.5">
      <c r="A67" s="260">
        <v>53</v>
      </c>
      <c r="B67" s="271">
        <v>210120015</v>
      </c>
      <c r="C67" s="272" t="s">
        <v>542</v>
      </c>
      <c r="D67" s="272" t="s">
        <v>199</v>
      </c>
      <c r="E67" s="273">
        <v>1</v>
      </c>
      <c r="F67" s="273"/>
      <c r="G67" s="299">
        <f t="shared" si="2"/>
        <v>0</v>
      </c>
      <c r="H67" s="274" t="s">
        <v>486</v>
      </c>
      <c r="K67" s="272" t="s">
        <v>523</v>
      </c>
    </row>
    <row r="68" spans="1:11" ht="13.5">
      <c r="A68" s="260">
        <v>54</v>
      </c>
      <c r="B68" s="271">
        <v>210120102</v>
      </c>
      <c r="C68" s="272" t="s">
        <v>543</v>
      </c>
      <c r="D68" s="272" t="s">
        <v>199</v>
      </c>
      <c r="E68" s="273">
        <v>3</v>
      </c>
      <c r="F68" s="273"/>
      <c r="G68" s="299">
        <f t="shared" si="2"/>
        <v>0</v>
      </c>
      <c r="H68" s="274" t="s">
        <v>486</v>
      </c>
      <c r="K68" s="272" t="s">
        <v>523</v>
      </c>
    </row>
    <row r="69" spans="1:11" ht="13.5">
      <c r="A69" s="260">
        <v>55</v>
      </c>
      <c r="B69" s="271">
        <v>210190001</v>
      </c>
      <c r="C69" s="272" t="s">
        <v>544</v>
      </c>
      <c r="D69" s="272" t="s">
        <v>199</v>
      </c>
      <c r="E69" s="273">
        <v>2</v>
      </c>
      <c r="F69" s="273"/>
      <c r="G69" s="299">
        <f t="shared" si="2"/>
        <v>0</v>
      </c>
      <c r="H69" s="274" t="s">
        <v>486</v>
      </c>
      <c r="I69" s="260" t="s">
        <v>483</v>
      </c>
      <c r="K69" s="272" t="s">
        <v>523</v>
      </c>
    </row>
    <row r="70" spans="1:11" ht="13.5">
      <c r="A70" s="260">
        <v>56</v>
      </c>
      <c r="B70" s="271">
        <v>210191546</v>
      </c>
      <c r="C70" s="272" t="s">
        <v>545</v>
      </c>
      <c r="D70" s="272" t="s">
        <v>199</v>
      </c>
      <c r="E70" s="273">
        <v>1</v>
      </c>
      <c r="F70" s="273"/>
      <c r="G70" s="299">
        <f t="shared" si="2"/>
        <v>0</v>
      </c>
      <c r="H70" s="274" t="s">
        <v>486</v>
      </c>
      <c r="K70" s="272" t="s">
        <v>523</v>
      </c>
    </row>
    <row r="71" spans="1:11" ht="13.5">
      <c r="A71" s="260">
        <v>57</v>
      </c>
      <c r="B71" s="271">
        <v>210220301</v>
      </c>
      <c r="C71" s="272" t="s">
        <v>546</v>
      </c>
      <c r="D71" s="272" t="s">
        <v>199</v>
      </c>
      <c r="E71" s="273">
        <v>1</v>
      </c>
      <c r="F71" s="273"/>
      <c r="G71" s="299">
        <f t="shared" si="2"/>
        <v>0</v>
      </c>
      <c r="H71" s="274" t="s">
        <v>486</v>
      </c>
      <c r="K71" s="272" t="s">
        <v>523</v>
      </c>
    </row>
    <row r="72" spans="1:11" ht="13.5">
      <c r="A72" s="275">
        <v>58</v>
      </c>
      <c r="B72" s="276">
        <v>210992235</v>
      </c>
      <c r="C72" s="277" t="s">
        <v>547</v>
      </c>
      <c r="D72" s="277" t="s">
        <v>199</v>
      </c>
      <c r="E72" s="278">
        <v>7</v>
      </c>
      <c r="F72" s="273"/>
      <c r="G72" s="299">
        <f t="shared" si="2"/>
        <v>0</v>
      </c>
      <c r="H72" s="279" t="s">
        <v>486</v>
      </c>
      <c r="K72" s="272" t="s">
        <v>523</v>
      </c>
    </row>
    <row r="73" spans="2:11" s="280" customFormat="1" ht="14.25">
      <c r="B73" s="281"/>
      <c r="C73" s="282" t="s">
        <v>487</v>
      </c>
      <c r="D73" s="282"/>
      <c r="E73" s="283"/>
      <c r="F73" s="283"/>
      <c r="G73" s="301">
        <f>SUM(G47:G72)</f>
        <v>0</v>
      </c>
      <c r="H73" s="284"/>
      <c r="K73" s="282" t="s">
        <v>523</v>
      </c>
    </row>
    <row r="74" spans="1:11" s="267" customFormat="1" ht="20.1" customHeight="1">
      <c r="A74" s="267" t="s">
        <v>350</v>
      </c>
      <c r="B74" s="268"/>
      <c r="C74" s="285"/>
      <c r="D74" s="285"/>
      <c r="E74" s="269"/>
      <c r="F74" s="269"/>
      <c r="G74" s="298"/>
      <c r="H74" s="286"/>
      <c r="K74" s="285"/>
    </row>
    <row r="75" spans="1:11" ht="13.5">
      <c r="A75" s="260">
        <v>59</v>
      </c>
      <c r="B75" s="271">
        <v>460200283</v>
      </c>
      <c r="C75" s="272" t="s">
        <v>548</v>
      </c>
      <c r="D75" s="272" t="s">
        <v>196</v>
      </c>
      <c r="E75" s="273">
        <v>42</v>
      </c>
      <c r="F75" s="273"/>
      <c r="G75" s="299">
        <f aca="true" t="shared" si="3" ref="G75:G86">SUM(E75*F75)</f>
        <v>0</v>
      </c>
      <c r="H75" s="274" t="s">
        <v>486</v>
      </c>
      <c r="I75" s="260" t="s">
        <v>483</v>
      </c>
      <c r="K75" s="272" t="s">
        <v>549</v>
      </c>
    </row>
    <row r="76" spans="1:11" ht="13.5">
      <c r="A76" s="260">
        <v>60</v>
      </c>
      <c r="B76" s="271">
        <v>460030072</v>
      </c>
      <c r="C76" s="272" t="s">
        <v>550</v>
      </c>
      <c r="D76" s="272" t="s">
        <v>144</v>
      </c>
      <c r="E76" s="273">
        <v>14</v>
      </c>
      <c r="F76" s="273"/>
      <c r="G76" s="299">
        <f t="shared" si="3"/>
        <v>0</v>
      </c>
      <c r="H76" s="274" t="s">
        <v>486</v>
      </c>
      <c r="K76" s="272" t="s">
        <v>549</v>
      </c>
    </row>
    <row r="77" spans="1:11" ht="13.5">
      <c r="A77" s="260">
        <v>62</v>
      </c>
      <c r="B77" s="271">
        <v>460080102</v>
      </c>
      <c r="C77" s="272" t="s">
        <v>552</v>
      </c>
      <c r="D77" s="272" t="s">
        <v>144</v>
      </c>
      <c r="E77" s="273">
        <v>21</v>
      </c>
      <c r="F77" s="273"/>
      <c r="G77" s="299">
        <f t="shared" si="3"/>
        <v>0</v>
      </c>
      <c r="H77" s="274" t="s">
        <v>486</v>
      </c>
      <c r="K77" s="272" t="s">
        <v>549</v>
      </c>
    </row>
    <row r="78" spans="1:11" ht="13.5">
      <c r="A78" s="260">
        <v>63</v>
      </c>
      <c r="B78" s="271">
        <v>460490012</v>
      </c>
      <c r="C78" s="272" t="s">
        <v>553</v>
      </c>
      <c r="D78" s="272" t="s">
        <v>196</v>
      </c>
      <c r="E78" s="273">
        <v>42</v>
      </c>
      <c r="F78" s="273"/>
      <c r="G78" s="299">
        <f t="shared" si="3"/>
        <v>0</v>
      </c>
      <c r="H78" s="274" t="s">
        <v>486</v>
      </c>
      <c r="K78" s="272" t="s">
        <v>549</v>
      </c>
    </row>
    <row r="79" spans="1:11" ht="13.5">
      <c r="A79" s="260">
        <v>64</v>
      </c>
      <c r="B79" s="271">
        <v>460510031</v>
      </c>
      <c r="C79" s="272" t="s">
        <v>554</v>
      </c>
      <c r="D79" s="272" t="s">
        <v>196</v>
      </c>
      <c r="E79" s="273">
        <v>42</v>
      </c>
      <c r="F79" s="273"/>
      <c r="G79" s="299">
        <f t="shared" si="3"/>
        <v>0</v>
      </c>
      <c r="H79" s="274" t="s">
        <v>486</v>
      </c>
      <c r="K79" s="272" t="s">
        <v>549</v>
      </c>
    </row>
    <row r="80" spans="1:11" ht="13.5">
      <c r="A80" s="260">
        <v>65</v>
      </c>
      <c r="B80" s="271">
        <v>460560283</v>
      </c>
      <c r="C80" s="272" t="s">
        <v>555</v>
      </c>
      <c r="D80" s="272" t="s">
        <v>196</v>
      </c>
      <c r="E80" s="273">
        <v>42</v>
      </c>
      <c r="F80" s="273"/>
      <c r="G80" s="299">
        <f t="shared" si="3"/>
        <v>0</v>
      </c>
      <c r="H80" s="274" t="s">
        <v>486</v>
      </c>
      <c r="K80" s="272" t="s">
        <v>549</v>
      </c>
    </row>
    <row r="81" spans="1:11" ht="13.5">
      <c r="A81" s="260">
        <v>66</v>
      </c>
      <c r="B81" s="271">
        <v>460600001</v>
      </c>
      <c r="C81" s="272" t="s">
        <v>556</v>
      </c>
      <c r="D81" s="272" t="s">
        <v>150</v>
      </c>
      <c r="E81" s="273">
        <v>7.76</v>
      </c>
      <c r="F81" s="273"/>
      <c r="G81" s="299">
        <f t="shared" si="3"/>
        <v>0</v>
      </c>
      <c r="H81" s="274" t="s">
        <v>486</v>
      </c>
      <c r="K81" s="272" t="s">
        <v>549</v>
      </c>
    </row>
    <row r="82" spans="1:11" ht="13.5">
      <c r="A82" s="260">
        <v>67</v>
      </c>
      <c r="B82" s="271">
        <v>460650017</v>
      </c>
      <c r="C82" s="272" t="s">
        <v>557</v>
      </c>
      <c r="D82" s="272" t="s">
        <v>150</v>
      </c>
      <c r="E82" s="273">
        <v>1.1</v>
      </c>
      <c r="F82" s="273"/>
      <c r="G82" s="299">
        <f t="shared" si="3"/>
        <v>0</v>
      </c>
      <c r="H82" s="274" t="s">
        <v>486</v>
      </c>
      <c r="K82" s="272" t="s">
        <v>549</v>
      </c>
    </row>
    <row r="83" spans="1:11" ht="13.5">
      <c r="A83" s="260">
        <v>69</v>
      </c>
      <c r="B83" s="271">
        <v>460650042</v>
      </c>
      <c r="C83" s="272" t="s">
        <v>559</v>
      </c>
      <c r="D83" s="272" t="s">
        <v>144</v>
      </c>
      <c r="E83" s="273">
        <v>8</v>
      </c>
      <c r="F83" s="273"/>
      <c r="G83" s="299">
        <f t="shared" si="3"/>
        <v>0</v>
      </c>
      <c r="H83" s="274" t="s">
        <v>486</v>
      </c>
      <c r="K83" s="272" t="s">
        <v>549</v>
      </c>
    </row>
    <row r="84" spans="1:11" ht="13.5">
      <c r="A84" s="260">
        <v>76</v>
      </c>
      <c r="B84" s="271">
        <v>460650021</v>
      </c>
      <c r="C84" s="272" t="s">
        <v>558</v>
      </c>
      <c r="D84" s="272" t="s">
        <v>144</v>
      </c>
      <c r="E84" s="273">
        <v>6</v>
      </c>
      <c r="F84" s="273"/>
      <c r="G84" s="299">
        <f t="shared" si="3"/>
        <v>0</v>
      </c>
      <c r="H84" s="274" t="s">
        <v>486</v>
      </c>
      <c r="K84" s="272" t="s">
        <v>549</v>
      </c>
    </row>
    <row r="85" spans="1:11" ht="13.5">
      <c r="A85" s="260">
        <v>78</v>
      </c>
      <c r="B85" s="271">
        <v>460050603</v>
      </c>
      <c r="C85" s="272" t="s">
        <v>560</v>
      </c>
      <c r="D85" s="272" t="s">
        <v>150</v>
      </c>
      <c r="E85" s="273">
        <v>0.5</v>
      </c>
      <c r="F85" s="273"/>
      <c r="G85" s="299">
        <f t="shared" si="3"/>
        <v>0</v>
      </c>
      <c r="H85" s="274" t="s">
        <v>486</v>
      </c>
      <c r="I85" s="260" t="s">
        <v>483</v>
      </c>
      <c r="K85" s="272" t="s">
        <v>549</v>
      </c>
    </row>
    <row r="86" spans="1:11" ht="13.5">
      <c r="A86" s="275">
        <v>79</v>
      </c>
      <c r="B86" s="276">
        <v>460030081</v>
      </c>
      <c r="C86" s="277" t="s">
        <v>551</v>
      </c>
      <c r="D86" s="277" t="s">
        <v>196</v>
      </c>
      <c r="E86" s="278">
        <v>12</v>
      </c>
      <c r="F86" s="273"/>
      <c r="G86" s="299">
        <f t="shared" si="3"/>
        <v>0</v>
      </c>
      <c r="H86" s="279" t="s">
        <v>486</v>
      </c>
      <c r="I86" s="260" t="s">
        <v>483</v>
      </c>
      <c r="K86" s="272" t="s">
        <v>549</v>
      </c>
    </row>
    <row r="87" spans="3:11" s="280" customFormat="1" ht="14.25">
      <c r="C87" s="280" t="s">
        <v>487</v>
      </c>
      <c r="G87" s="301">
        <f>SUM(G75:G86)</f>
        <v>0</v>
      </c>
      <c r="H87" s="287"/>
      <c r="K87" s="280" t="s">
        <v>549</v>
      </c>
    </row>
    <row r="88" spans="1:8" ht="13.5">
      <c r="A88" s="257"/>
      <c r="B88" s="258"/>
      <c r="C88" s="257"/>
      <c r="D88" s="257"/>
      <c r="E88" s="257"/>
      <c r="F88" s="257"/>
      <c r="G88" s="294"/>
      <c r="H88" s="257"/>
    </row>
    <row r="89" spans="1:8" ht="13.5">
      <c r="A89" s="257"/>
      <c r="B89" s="258"/>
      <c r="C89" s="257"/>
      <c r="D89" s="257"/>
      <c r="E89" s="257"/>
      <c r="F89" s="257"/>
      <c r="G89" s="294"/>
      <c r="H89" s="257"/>
    </row>
    <row r="90" spans="1:8" ht="13.5">
      <c r="A90" s="257"/>
      <c r="B90" s="258"/>
      <c r="C90" s="257"/>
      <c r="D90" s="257"/>
      <c r="E90" s="257"/>
      <c r="F90" s="257"/>
      <c r="G90" s="294"/>
      <c r="H90" s="257"/>
    </row>
    <row r="91" spans="1:8" ht="18.75">
      <c r="A91" s="257"/>
      <c r="B91" s="290" t="s">
        <v>561</v>
      </c>
      <c r="C91" s="257"/>
      <c r="D91" s="257"/>
      <c r="E91" s="257"/>
      <c r="F91" s="257"/>
      <c r="G91" s="294"/>
      <c r="H91" s="257"/>
    </row>
    <row r="92" spans="1:8" ht="13.5">
      <c r="A92" s="257"/>
      <c r="B92" s="258"/>
      <c r="C92" s="257"/>
      <c r="D92" s="257"/>
      <c r="E92" s="257"/>
      <c r="F92" s="257"/>
      <c r="G92" s="294"/>
      <c r="H92" s="257"/>
    </row>
    <row r="93" spans="1:7" s="289" customFormat="1" ht="33.95" customHeight="1">
      <c r="A93" s="289" t="s">
        <v>470</v>
      </c>
      <c r="G93" s="302"/>
    </row>
    <row r="94" spans="1:8" ht="13.5">
      <c r="A94" s="263" t="s">
        <v>471</v>
      </c>
      <c r="B94" s="264" t="s">
        <v>472</v>
      </c>
      <c r="C94" s="263" t="s">
        <v>473</v>
      </c>
      <c r="D94" s="263" t="s">
        <v>474</v>
      </c>
      <c r="E94" s="265" t="s">
        <v>475</v>
      </c>
      <c r="F94" s="265" t="s">
        <v>562</v>
      </c>
      <c r="G94" s="297" t="s">
        <v>477</v>
      </c>
      <c r="H94" s="260"/>
    </row>
    <row r="95" spans="2:7" s="267" customFormat="1" ht="20.1" customHeight="1">
      <c r="B95" s="268" t="s">
        <v>563</v>
      </c>
      <c r="E95" s="269"/>
      <c r="F95" s="269"/>
      <c r="G95" s="298"/>
    </row>
    <row r="96" spans="1:8" ht="13.5">
      <c r="A96" s="260">
        <v>1</v>
      </c>
      <c r="B96" s="271">
        <v>612845361</v>
      </c>
      <c r="C96" s="272" t="s">
        <v>564</v>
      </c>
      <c r="D96" s="272" t="s">
        <v>199</v>
      </c>
      <c r="E96" s="273">
        <v>1</v>
      </c>
      <c r="F96" s="273"/>
      <c r="G96" s="299">
        <f aca="true" t="shared" si="4" ref="G96:G105">SUM(E96*F96)</f>
        <v>0</v>
      </c>
      <c r="H96" s="260"/>
    </row>
    <row r="97" spans="1:8" ht="13.5">
      <c r="A97" s="260">
        <v>2</v>
      </c>
      <c r="B97" s="271">
        <v>615510181</v>
      </c>
      <c r="C97" s="272" t="s">
        <v>565</v>
      </c>
      <c r="D97" s="272" t="s">
        <v>199</v>
      </c>
      <c r="E97" s="273">
        <v>1</v>
      </c>
      <c r="F97" s="273"/>
      <c r="G97" s="299">
        <f t="shared" si="4"/>
        <v>0</v>
      </c>
      <c r="H97" s="260"/>
    </row>
    <row r="98" spans="1:8" ht="13.5">
      <c r="A98" s="260">
        <v>3</v>
      </c>
      <c r="B98" s="271">
        <v>612233502</v>
      </c>
      <c r="C98" s="272" t="s">
        <v>566</v>
      </c>
      <c r="D98" s="272" t="s">
        <v>199</v>
      </c>
      <c r="E98" s="273">
        <v>1</v>
      </c>
      <c r="F98" s="273"/>
      <c r="G98" s="299">
        <f t="shared" si="4"/>
        <v>0</v>
      </c>
      <c r="H98" s="260"/>
    </row>
    <row r="99" spans="1:8" ht="13.5">
      <c r="A99" s="260">
        <v>4</v>
      </c>
      <c r="B99" s="271">
        <v>615660909</v>
      </c>
      <c r="C99" s="272" t="s">
        <v>567</v>
      </c>
      <c r="D99" s="272" t="s">
        <v>199</v>
      </c>
      <c r="E99" s="273">
        <v>1</v>
      </c>
      <c r="F99" s="273"/>
      <c r="G99" s="299">
        <f t="shared" si="4"/>
        <v>0</v>
      </c>
      <c r="H99" s="260"/>
    </row>
    <row r="100" spans="1:8" ht="13.5">
      <c r="A100" s="260">
        <v>5</v>
      </c>
      <c r="B100" s="271">
        <v>614123764</v>
      </c>
      <c r="C100" s="272" t="s">
        <v>568</v>
      </c>
      <c r="D100" s="272" t="s">
        <v>199</v>
      </c>
      <c r="E100" s="273">
        <v>3</v>
      </c>
      <c r="F100" s="273"/>
      <c r="G100" s="299">
        <f t="shared" si="4"/>
        <v>0</v>
      </c>
      <c r="H100" s="260"/>
    </row>
    <row r="101" spans="1:8" ht="13.5">
      <c r="A101" s="260">
        <v>6</v>
      </c>
      <c r="B101" s="271">
        <v>614062452</v>
      </c>
      <c r="C101" s="272" t="s">
        <v>569</v>
      </c>
      <c r="D101" s="272" t="s">
        <v>199</v>
      </c>
      <c r="E101" s="273">
        <v>6</v>
      </c>
      <c r="F101" s="273"/>
      <c r="G101" s="299">
        <f t="shared" si="4"/>
        <v>0</v>
      </c>
      <c r="H101" s="260"/>
    </row>
    <row r="102" spans="1:8" ht="13.5">
      <c r="A102" s="260">
        <v>7</v>
      </c>
      <c r="B102" s="271">
        <v>614062469</v>
      </c>
      <c r="C102" s="272" t="s">
        <v>570</v>
      </c>
      <c r="D102" s="272" t="s">
        <v>199</v>
      </c>
      <c r="E102" s="273">
        <v>3</v>
      </c>
      <c r="F102" s="273"/>
      <c r="G102" s="299">
        <f t="shared" si="4"/>
        <v>0</v>
      </c>
      <c r="H102" s="260"/>
    </row>
    <row r="103" spans="1:8" ht="13.5">
      <c r="A103" s="260">
        <v>8</v>
      </c>
      <c r="B103" s="271">
        <v>614613692</v>
      </c>
      <c r="C103" s="272" t="s">
        <v>571</v>
      </c>
      <c r="D103" s="272" t="s">
        <v>199</v>
      </c>
      <c r="E103" s="273">
        <v>2</v>
      </c>
      <c r="F103" s="273"/>
      <c r="G103" s="299">
        <f t="shared" si="4"/>
        <v>0</v>
      </c>
      <c r="H103" s="260"/>
    </row>
    <row r="104" spans="1:8" ht="13.5">
      <c r="A104" s="260">
        <v>9</v>
      </c>
      <c r="B104" s="271">
        <v>614613708</v>
      </c>
      <c r="C104" s="272" t="s">
        <v>572</v>
      </c>
      <c r="D104" s="272" t="s">
        <v>199</v>
      </c>
      <c r="E104" s="273">
        <v>3</v>
      </c>
      <c r="F104" s="273"/>
      <c r="G104" s="299">
        <f t="shared" si="4"/>
        <v>0</v>
      </c>
      <c r="H104" s="260"/>
    </row>
    <row r="105" spans="1:8" ht="13.5">
      <c r="A105" s="275">
        <v>10</v>
      </c>
      <c r="B105" s="276">
        <v>616664159</v>
      </c>
      <c r="C105" s="277" t="s">
        <v>573</v>
      </c>
      <c r="D105" s="277" t="s">
        <v>199</v>
      </c>
      <c r="E105" s="278">
        <v>1</v>
      </c>
      <c r="F105" s="273"/>
      <c r="G105" s="299">
        <f t="shared" si="4"/>
        <v>0</v>
      </c>
      <c r="H105" s="260"/>
    </row>
    <row r="106" spans="3:7" s="280" customFormat="1" ht="14.25">
      <c r="C106" s="280" t="s">
        <v>574</v>
      </c>
      <c r="G106" s="301">
        <f>SUM(G96:G105)</f>
        <v>0</v>
      </c>
    </row>
    <row r="107" ht="13.5">
      <c r="H107" s="260"/>
    </row>
    <row r="108" spans="1:8" ht="13.5">
      <c r="A108" s="260" t="s">
        <v>579</v>
      </c>
      <c r="H108" s="260"/>
    </row>
    <row r="109" spans="1:8" ht="13.5">
      <c r="A109" s="260" t="s">
        <v>34</v>
      </c>
      <c r="B109" s="260" t="s">
        <v>34</v>
      </c>
      <c r="C109" s="260" t="s">
        <v>34</v>
      </c>
      <c r="H109" s="260"/>
    </row>
    <row r="110" ht="13.5">
      <c r="H110" s="260"/>
    </row>
  </sheetData>
  <mergeCells count="1">
    <mergeCell ref="B2:H2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Franta\Fulin</dc:creator>
  <cp:keywords/>
  <dc:description/>
  <cp:lastModifiedBy>Pavlína Tůmová</cp:lastModifiedBy>
  <cp:lastPrinted>2020-10-02T08:00:57Z</cp:lastPrinted>
  <dcterms:created xsi:type="dcterms:W3CDTF">2017-06-06T07:44:54Z</dcterms:created>
  <dcterms:modified xsi:type="dcterms:W3CDTF">2021-05-11T08:10:08Z</dcterms:modified>
  <cp:category/>
  <cp:version/>
  <cp:contentType/>
  <cp:contentStatus/>
</cp:coreProperties>
</file>