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ozpočet srovnávací" sheetId="1" r:id="rId1"/>
  </sheets>
  <definedNames>
    <definedName name="_xlnm.Print_Titles" localSheetId="0">'Rozpočet srovnávací'!$11:$12</definedName>
    <definedName name="vorn_sum">#REF!</definedName>
  </definedNames>
  <calcPr fullCalcOnLoad="1"/>
</workbook>
</file>

<file path=xl/sharedStrings.xml><?xml version="1.0" encoding="utf-8"?>
<sst xmlns="http://schemas.openxmlformats.org/spreadsheetml/2006/main" count="2335" uniqueCount="883">
  <si>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</si>
  <si>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</si>
  <si>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</si>
  <si>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</si>
  <si>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</si>
  <si>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</si>
  <si>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</si>
  <si>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</si>
  <si>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</si>
  <si>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</si>
  <si>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</si>
  <si>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</si>
  <si>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</si>
  <si>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</si>
  <si>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</si>
  <si>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</si>
  <si>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</si>
  <si>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</si>
  <si>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</si>
  <si>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</si>
  <si>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</si>
  <si>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</si>
  <si>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</si>
  <si>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</si>
  <si>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</si>
  <si>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</si>
  <si>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</si>
  <si>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</si>
  <si>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</si>
  <si>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</si>
  <si>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</si>
  <si>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</si>
  <si>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</si>
  <si>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</si>
  <si>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</si>
  <si>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</si>
  <si>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</si>
  <si>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</si>
  <si>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</si>
  <si>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</si>
  <si>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</si>
  <si>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</si>
  <si>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</si>
  <si>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</si>
  <si>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</si>
  <si>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</si>
  <si>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</si>
  <si>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</si>
  <si>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</si>
  <si>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</si>
  <si>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</si>
  <si>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</si>
  <si>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</si>
  <si>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</si>
  <si>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</si>
  <si>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</si>
  <si>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</si>
  <si>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</si>
  <si>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</si>
  <si>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</si>
  <si>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</si>
  <si>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</si>
  <si>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</si>
  <si>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</si>
  <si>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</si>
  <si>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</si>
  <si>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</si>
  <si>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</si>
  <si>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</si>
  <si>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</si>
  <si>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</si>
  <si>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</si>
  <si>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</si>
  <si>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</si>
  <si>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</si>
  <si>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</si>
  <si>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</si>
  <si>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</si>
  <si>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</si>
  <si>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</si>
  <si>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</si>
  <si>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</si>
  <si>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</si>
  <si>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</si>
  <si>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</si>
  <si>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</si>
  <si>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</si>
  <si>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</si>
  <si>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</si>
  <si>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</si>
  <si>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</si>
  <si>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</si>
  <si>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</si>
  <si>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</si>
  <si>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</si>
  <si>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</si>
  <si>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</si>
  <si>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</si>
  <si>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</si>
  <si>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</si>
  <si>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</si>
  <si>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</si>
  <si>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</si>
  <si>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</si>
  <si>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</si>
  <si>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</si>
  <si>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</si>
  <si>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</si>
  <si>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</si>
  <si>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</si>
  <si>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</si>
  <si>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</si>
  <si>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</si>
  <si>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</si>
  <si>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</si>
  <si>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</si>
  <si>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</si>
  <si>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</si>
  <si>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</si>
  <si>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</si>
  <si>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</si>
  <si>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</si>
  <si>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</si>
  <si>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</si>
  <si>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</si>
  <si>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</si>
  <si>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</si>
  <si>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</si>
  <si>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</si>
  <si>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</si>
  <si>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</si>
  <si>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</si>
  <si>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</si>
  <si>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</si>
  <si>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</si>
  <si>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</si>
  <si>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</si>
  <si>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</si>
  <si>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</si>
  <si>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</si>
  <si>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</si>
  <si>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</si>
  <si>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</si>
  <si>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</si>
  <si>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</si>
  <si>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</si>
  <si>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</si>
  <si>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</si>
  <si>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</si>
  <si>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</si>
  <si>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</si>
  <si>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</si>
  <si>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</si>
  <si>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</si>
  <si>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</si>
  <si>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</si>
  <si>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Objekt</t>
  </si>
  <si>
    <t>SO.03A</t>
  </si>
  <si>
    <t>SO.03B</t>
  </si>
  <si>
    <t>Kód</t>
  </si>
  <si>
    <t>115101301R00</t>
  </si>
  <si>
    <t>121101103R00</t>
  </si>
  <si>
    <t>122301102R00</t>
  </si>
  <si>
    <t>122301109R00</t>
  </si>
  <si>
    <t>131301112R00</t>
  </si>
  <si>
    <t>131301119R00</t>
  </si>
  <si>
    <t>132301110R00</t>
  </si>
  <si>
    <t>132301119R00</t>
  </si>
  <si>
    <t>132301210R00</t>
  </si>
  <si>
    <t>132301219R00</t>
  </si>
  <si>
    <t>139601103R00</t>
  </si>
  <si>
    <t>162301101R00</t>
  </si>
  <si>
    <t>167101102R00</t>
  </si>
  <si>
    <t>162701105R00</t>
  </si>
  <si>
    <t>162701109R00</t>
  </si>
  <si>
    <t>171101101R00</t>
  </si>
  <si>
    <t>175101201R00</t>
  </si>
  <si>
    <t>175101209R00</t>
  </si>
  <si>
    <t>199000002R00</t>
  </si>
  <si>
    <t>215901101RT5</t>
  </si>
  <si>
    <t>211561111R00</t>
  </si>
  <si>
    <t>211971110R00</t>
  </si>
  <si>
    <t>69366199</t>
  </si>
  <si>
    <t>212753114R00</t>
  </si>
  <si>
    <t>3457115975</t>
  </si>
  <si>
    <t>274272140RT4</t>
  </si>
  <si>
    <t>274313621R00</t>
  </si>
  <si>
    <t>274351215R00</t>
  </si>
  <si>
    <t>274351216R00</t>
  </si>
  <si>
    <t>274361721R00</t>
  </si>
  <si>
    <t>274354043R00</t>
  </si>
  <si>
    <t>311112130RT3</t>
  </si>
  <si>
    <t>311361721R00</t>
  </si>
  <si>
    <t>317941123RT3</t>
  </si>
  <si>
    <t>317941123RT5</t>
  </si>
  <si>
    <t>317234410RT2</t>
  </si>
  <si>
    <t>311271177R00</t>
  </si>
  <si>
    <t>346244381RT2</t>
  </si>
  <si>
    <t>413321519IK</t>
  </si>
  <si>
    <t>411133902R00</t>
  </si>
  <si>
    <t>59346810</t>
  </si>
  <si>
    <t>411361721R00</t>
  </si>
  <si>
    <t>411354175R00</t>
  </si>
  <si>
    <t>411354176R00</t>
  </si>
  <si>
    <t>417321315R00</t>
  </si>
  <si>
    <t>417351111R00</t>
  </si>
  <si>
    <t>417351113R00</t>
  </si>
  <si>
    <t>417351115R00</t>
  </si>
  <si>
    <t>417351116R00</t>
  </si>
  <si>
    <t>417361721R00</t>
  </si>
  <si>
    <t>411941001R00</t>
  </si>
  <si>
    <t>602016193R00</t>
  </si>
  <si>
    <t>610991111R00</t>
  </si>
  <si>
    <t>612481211RT2</t>
  </si>
  <si>
    <t>612475111RT3</t>
  </si>
  <si>
    <t>611475111RT3</t>
  </si>
  <si>
    <t>612425921R00</t>
  </si>
  <si>
    <t>620991121R00</t>
  </si>
  <si>
    <t>622481211RT2</t>
  </si>
  <si>
    <t>622421143R00</t>
  </si>
  <si>
    <t>622412301R00</t>
  </si>
  <si>
    <t>622412312R00</t>
  </si>
  <si>
    <t>631313611R00</t>
  </si>
  <si>
    <t>631313621R00</t>
  </si>
  <si>
    <t>631317210R00</t>
  </si>
  <si>
    <t>631319153R00</t>
  </si>
  <si>
    <t>631319163R00</t>
  </si>
  <si>
    <t>631319173R00</t>
  </si>
  <si>
    <t>631361921RT4</t>
  </si>
  <si>
    <t>631351101R00</t>
  </si>
  <si>
    <t>631351102R00</t>
  </si>
  <si>
    <t>632456289IK</t>
  </si>
  <si>
    <t>631345823R00</t>
  </si>
  <si>
    <t>631319155R00</t>
  </si>
  <si>
    <t>631319185R00</t>
  </si>
  <si>
    <t>941941041R00</t>
  </si>
  <si>
    <t>941941291R00</t>
  </si>
  <si>
    <t>941941841R00</t>
  </si>
  <si>
    <t>944944011R00</t>
  </si>
  <si>
    <t>944944031R00</t>
  </si>
  <si>
    <t>944944081R00</t>
  </si>
  <si>
    <t>941955001R00</t>
  </si>
  <si>
    <t>941955002R00</t>
  </si>
  <si>
    <t>952901111R00</t>
  </si>
  <si>
    <t>979</t>
  </si>
  <si>
    <t>979081111R00</t>
  </si>
  <si>
    <t>979081121R00</t>
  </si>
  <si>
    <t>979082111R00</t>
  </si>
  <si>
    <t>979082121R00</t>
  </si>
  <si>
    <t>979093111R00</t>
  </si>
  <si>
    <t>979087313R00</t>
  </si>
  <si>
    <t>979990107R00</t>
  </si>
  <si>
    <t>998</t>
  </si>
  <si>
    <t>998012021R00</t>
  </si>
  <si>
    <t>711</t>
  </si>
  <si>
    <t>711111001RZ1</t>
  </si>
  <si>
    <t>711112001RZ1</t>
  </si>
  <si>
    <t>711141559RZ2</t>
  </si>
  <si>
    <t>711142559RZ2</t>
  </si>
  <si>
    <t>711482001RZ1</t>
  </si>
  <si>
    <t>998711101R00</t>
  </si>
  <si>
    <t>712</t>
  </si>
  <si>
    <t>712311101RZ1</t>
  </si>
  <si>
    <t>712341559RZ4</t>
  </si>
  <si>
    <t>998712101R00</t>
  </si>
  <si>
    <t>720</t>
  </si>
  <si>
    <t>721231119IK</t>
  </si>
  <si>
    <t>721176115R00</t>
  </si>
  <si>
    <t>721176225R00</t>
  </si>
  <si>
    <t>998721101R00</t>
  </si>
  <si>
    <t>764</t>
  </si>
  <si>
    <t>764410230RT2</t>
  </si>
  <si>
    <t>764430240RT2</t>
  </si>
  <si>
    <t>764818119IK</t>
  </si>
  <si>
    <t>998764102R00</t>
  </si>
  <si>
    <t>766</t>
  </si>
  <si>
    <t>766629399IK</t>
  </si>
  <si>
    <t>766601216RT1</t>
  </si>
  <si>
    <t>766694113R00</t>
  </si>
  <si>
    <t>60775433</t>
  </si>
  <si>
    <t>998766101R00</t>
  </si>
  <si>
    <t>767</t>
  </si>
  <si>
    <t>767995189IK</t>
  </si>
  <si>
    <t>767995199IK</t>
  </si>
  <si>
    <t>767995109IK</t>
  </si>
  <si>
    <t>767657230R00</t>
  </si>
  <si>
    <t>5534451399IK</t>
  </si>
  <si>
    <t>998767102R00</t>
  </si>
  <si>
    <t>783</t>
  </si>
  <si>
    <t>783851223R00</t>
  </si>
  <si>
    <t>783852211R00</t>
  </si>
  <si>
    <t>784</t>
  </si>
  <si>
    <t>784191201R00</t>
  </si>
  <si>
    <t>784195212R00</t>
  </si>
  <si>
    <t>271531114R00</t>
  </si>
  <si>
    <t>327216249IK</t>
  </si>
  <si>
    <t>998152111R00</t>
  </si>
  <si>
    <t>Zázemí atletického oválu SO.03A - Sklad a SO.03B Opěrná stěna</t>
  </si>
  <si>
    <t>Novostavba objektu</t>
  </si>
  <si>
    <t>Hráského 1913, 256 01 Benešov</t>
  </si>
  <si>
    <t>Zkrácený popis</t>
  </si>
  <si>
    <t>Rozměry</t>
  </si>
  <si>
    <t>Sklad atletického oválu</t>
  </si>
  <si>
    <t>Přípravné a přidružené práce</t>
  </si>
  <si>
    <t>Pohotovost čerp.soupravy, výška 10 m, přítok 500 l</t>
  </si>
  <si>
    <t>15   </t>
  </si>
  <si>
    <t>Odkopávky a prokopávky</t>
  </si>
  <si>
    <t>Sejmutí ornice s přemístěním přes 100 do 250 m</t>
  </si>
  <si>
    <t>(17,50*9,40)*0,2   </t>
  </si>
  <si>
    <t>Odkopávky nezapažené v hor. 4 do 1000 m3</t>
  </si>
  <si>
    <t>17,50*9,40*1,70*0,5   </t>
  </si>
  <si>
    <t>Příplatek za lepivost - odkopávky v hor. 4</t>
  </si>
  <si>
    <t>Hloubené vykopávky</t>
  </si>
  <si>
    <t>Hloubení nezapaž. jam hor.4 do 1000 m3, STROJNĚ</t>
  </si>
  <si>
    <t>17,50*8,64*0,9*0,95   </t>
  </si>
  <si>
    <t>Příplatek za lepivost - hloubení nezap.jam v hor.4</t>
  </si>
  <si>
    <t>17,50*8,64*0,9   </t>
  </si>
  <si>
    <t>Hloubení rýh š.do 60 cm v hor.4 do 50 m3,STROJNĚ</t>
  </si>
  <si>
    <t>(16,05+7,05)*2*0,60*0,30*0,95   </t>
  </si>
  <si>
    <t>12,475*0,60*0,10*0,95   </t>
  </si>
  <si>
    <t>Přípl.za lepivost,hloubení rýh 60 cm,hor.4,STROJNĚ</t>
  </si>
  <si>
    <t>(16,05+7,05)*2*0,60*0,30   </t>
  </si>
  <si>
    <t>12,475*0,60*0,10   </t>
  </si>
  <si>
    <t>Hloubení rýh š.do 200 cm hor.4 do 50 m3, STROJNĚ</t>
  </si>
  <si>
    <t>(17,50+8,50)*2*1,50*0,50*0,95   </t>
  </si>
  <si>
    <t>(9,475+3,00)*1,80*1,25*0,95   </t>
  </si>
  <si>
    <t>Přípl.za lepivost,hloubení rýh 200cm,hor.4,STROJNĚ</t>
  </si>
  <si>
    <t>(17,50+8,50)*2*1,50*0,50   </t>
  </si>
  <si>
    <t>(9,475+3,00)*1,80*1,25   </t>
  </si>
  <si>
    <t>Ruční výkop jam, rýh a šachet v hornině tř. 4</t>
  </si>
  <si>
    <t>(136,080+9,065+67,069)*0,05   začištění základové spáry</t>
  </si>
  <si>
    <t>Přemístění výkopku</t>
  </si>
  <si>
    <t>Vodorovné přemístění výkopku z hor.1-4 do 500 m</t>
  </si>
  <si>
    <t>129,276+8,611+63,715+10,611+162,452   </t>
  </si>
  <si>
    <t>Nakládání výkopku z hor.1-4 v množství nad 100 m3</t>
  </si>
  <si>
    <t>(129,276+8,611+63,715+10,611)*2   </t>
  </si>
  <si>
    <t>Vodorovné přemístění výkopku z hor.1-4 do 10000 m</t>
  </si>
  <si>
    <t>(129,276+8,611+63,715+10,611)-162,452   </t>
  </si>
  <si>
    <t>Příplatek k vod. přemístění hor.1-4 za další 1 km</t>
  </si>
  <si>
    <t>49,761*10   </t>
  </si>
  <si>
    <t>Konstrukce ze zemin</t>
  </si>
  <si>
    <t>Uložení sypaniny do násypů zhutněných na 95% PS</t>
  </si>
  <si>
    <t>129,276+8,611+63,715+10,611   meziskládka na stavbě</t>
  </si>
  <si>
    <t>(129,276+8,611+63,715+10,611)-162,452   skládka zeminy</t>
  </si>
  <si>
    <t>Obsyp objektu bez prohození sypaniny</t>
  </si>
  <si>
    <t>(16,05+6,05)*2*0,5*0,7+12,475*1,25*1,20+17,50*2,46*1,80   </t>
  </si>
  <si>
    <t>17,50*1,50*0,90+9,475*1,20*0,90+8,55*1,50*0,90   </t>
  </si>
  <si>
    <t>8,55*0,50*0,50+3,00*1,20*0,90   </t>
  </si>
  <si>
    <t>Příplatek za prohození sypaniny pro obsyp objektu</t>
  </si>
  <si>
    <t>Hloubení pro podzemní stěny, ražení a hloubení důlní</t>
  </si>
  <si>
    <t>Poplatek za skládku horniny 1- 4</t>
  </si>
  <si>
    <t>Úprava podloží a základové spáry</t>
  </si>
  <si>
    <t>Zhutnění podloží z hornin nesoudržných do 92% PS</t>
  </si>
  <si>
    <t>15,90*6,90   plocha objektu</t>
  </si>
  <si>
    <t>Výplň odvodňovacích žeber kam. hrubě drcen. 16-32 mm</t>
  </si>
  <si>
    <t>16,20*0,50*0,50   lože drenáže</t>
  </si>
  <si>
    <t>Opláštění žeber z geotextilie o sklonu do 1 : 2,5</t>
  </si>
  <si>
    <t>0,5*4*1,2*16,20   lože drenáže</t>
  </si>
  <si>
    <t>2*3,14*0,075*16,20*1,2   drenážní trubka</t>
  </si>
  <si>
    <t>Geotextilie FILTEK 500 g/m2 š. 200cm 100% PP</t>
  </si>
  <si>
    <t>0,5*4*1,2*16,20*1,1   lože drenáže</t>
  </si>
  <si>
    <t>2*3,14*0,075*16,20*1,2*1,1   drenážní trubka</t>
  </si>
  <si>
    <t>Montáž ohebné dren. trubky do rýhy DN 100,bez lože</t>
  </si>
  <si>
    <t>16,20   </t>
  </si>
  <si>
    <t>Trubka drenážní KOPODREN 160</t>
  </si>
  <si>
    <t>16,20*1,10   </t>
  </si>
  <si>
    <t>Základy</t>
  </si>
  <si>
    <t>Zdivo základové z bednicích tvárnic, tl. 30 cm, výplň tvárnic betonem C 20/25</t>
  </si>
  <si>
    <t>(15,90+6,90+6,425+0,40)*0,50+(0,60+1,0+7,475)*0,75   tribuna</t>
  </si>
  <si>
    <t>(1,0+1,0+0,60)*0,75+(0,4+4,05)*0,50   </t>
  </si>
  <si>
    <t>Beton základových pasů prostý C 20/25</t>
  </si>
  <si>
    <t>(16,05+7,20+4,05+6,575)*0,60*0,30+0,40*0,70*0,55+0,60*0,70*0,30   </t>
  </si>
  <si>
    <t>1,0*0,70*0,65+7,475*0,60*1,40+0,40*0,60*1,40+1,00*0,60*0,65   </t>
  </si>
  <si>
    <t>0,60*0,60*0,30+0,40*0,60*0,30   </t>
  </si>
  <si>
    <t>Bednění stěn základových pasů - zřízení</t>
  </si>
  <si>
    <t>(7,475+1,00)*1,0*2   </t>
  </si>
  <si>
    <t>Bednění stěn základových pasů - odstranění</t>
  </si>
  <si>
    <t>Výztuž základových pasů z oceli BSt 500 S</t>
  </si>
  <si>
    <t>25,794*0,30*0,050   zděná část základů</t>
  </si>
  <si>
    <t>Bednění prostupu základem do 0,10 m2, do dl.1,0 m</t>
  </si>
  <si>
    <t>2   prostup 250/250 mm</t>
  </si>
  <si>
    <t>Zdi podpěrné a volné</t>
  </si>
  <si>
    <t>Stěna z tvárnic ztraceného bednění, tl. 30 cm, zalití tvárnic betonem C 20/25</t>
  </si>
  <si>
    <t>(15,90+6,90)*2*3,25   stěny objektu</t>
  </si>
  <si>
    <t>(15,90+6,90)*2*0,25   atika objektu</t>
  </si>
  <si>
    <t>-3,60*2,90-1,40*2,20-1,80*1,00   odpočet otvorů</t>
  </si>
  <si>
    <t>Výztuž nadzákladových zdí z ocel BSt 500 S</t>
  </si>
  <si>
    <t>144,280*0,30*0,050   výztuž zdiva z bednících tvárnic</t>
  </si>
  <si>
    <t>Osazení ocelových válcovaných nosníků  č.14-22, včetně dodávky profilu I č.16</t>
  </si>
  <si>
    <t>3*1,70*0,0179   P.1 překlad</t>
  </si>
  <si>
    <t>3*2,10*0,0179   P.2 překlad</t>
  </si>
  <si>
    <t>Osazení ocelových válcovaných nosníků  č.14-22, včetně dodávky profilu I č.20</t>
  </si>
  <si>
    <t>3*3,90*0,0262   P.3 překlad</t>
  </si>
  <si>
    <t>Vyzdívka mezi nosníky cihlami pálenými na MC</t>
  </si>
  <si>
    <t>(1,70+2,10+3,90)*0,30*0,25   překlady</t>
  </si>
  <si>
    <t>Zdivo z tvárnic Ytong hladkých tl. 30 cm</t>
  </si>
  <si>
    <t>1,40*2,20   zazdívka stavebního otvoru</t>
  </si>
  <si>
    <t>Stěny a příčky</t>
  </si>
  <si>
    <t>Plentování ocelových nosníků výšky do 20 cm</t>
  </si>
  <si>
    <t>(1,70*2+2,10*2)*0,16+3,90*2*0,20   překlady</t>
  </si>
  <si>
    <t>Stropy a stropní konstrukce (pro pozemní stavby)</t>
  </si>
  <si>
    <t>Dobetonování styčné spáry panelů C 30/37</t>
  </si>
  <si>
    <t>79,20*0,22*0,05   styčná spára</t>
  </si>
  <si>
    <t>Montáž str.panelů z př.bet.Spiroll, H do 18 m, 3 t</t>
  </si>
  <si>
    <t>12+1   stropní panely</t>
  </si>
  <si>
    <t>Panel stropní Spiroll H 250 mm</t>
  </si>
  <si>
    <t>15,30*6,60   stropní panely</t>
  </si>
  <si>
    <t>Výztuž stropů z oceli Bst 500 S</t>
  </si>
  <si>
    <t>12*6,60*0,00098   spárová výztuž</t>
  </si>
  <si>
    <t>Podpěrná konstr. stropů do 20 kPa - zřízení</t>
  </si>
  <si>
    <t>15,30*6,60*0,5   </t>
  </si>
  <si>
    <t>Podpěrná konstr. stropů do 20 kPa - odstranění</t>
  </si>
  <si>
    <t>Ztužující pásy a věnce z betonu železového C 20/25</t>
  </si>
  <si>
    <t>6,90*2*0,30*0,25+15,90*2*0,15*0,25   úroveň stropu</t>
  </si>
  <si>
    <t>(15,90+6,90)*2*0,30*0,25   úroveň atiky</t>
  </si>
  <si>
    <t>Bednění ztužujících věnců, obě strany - zřízení</t>
  </si>
  <si>
    <t>(15,90+6,90)*2*0,35*2   úroveň atiky</t>
  </si>
  <si>
    <t>Bednění ztužujících věnců, obě strany - odstranění</t>
  </si>
  <si>
    <t>Bednění ztužujících pásů a věnců - zřízení</t>
  </si>
  <si>
    <t>(15,90+6,90)*2*0,35   úroveň stropu</t>
  </si>
  <si>
    <t>Bednění ztužujících pásů a věnců - odstranění</t>
  </si>
  <si>
    <t>Výztuž ztuž. pásů a věnců, ocel BSt 500 S</t>
  </si>
  <si>
    <t>(2,2275+3,420)*0,120   </t>
  </si>
  <si>
    <t>Nosné svary stropní konstrukce plošné tl. do 10 mm</t>
  </si>
  <si>
    <t>4*2*6*0,074+5*2*6*0,074+9*2*6*0,090   </t>
  </si>
  <si>
    <t>Úprava povrchů vnitřní</t>
  </si>
  <si>
    <t>Penetrace hloubková stěn PROFI Akryl-Tiefengrund</t>
  </si>
  <si>
    <t>(15,30+6,30)*2*3,150-1,80*1,0-3,60*2,90   stěny</t>
  </si>
  <si>
    <t>96,39   strop</t>
  </si>
  <si>
    <t>3,96   ostění a nadpraží</t>
  </si>
  <si>
    <t>Zakrývání výplní vnitřních otvorů</t>
  </si>
  <si>
    <t>(3,6*2,9+1,8*1,0)*1,2   vrata a okno</t>
  </si>
  <si>
    <t>Montáž výztužné sítě(perlinky)do stěrky-vnit.stěny, včetně výztužné sítě a stěrkového tmelu Baumit</t>
  </si>
  <si>
    <t>1,40*2,20*1,25   úprava porobetonu vnitřní</t>
  </si>
  <si>
    <t>Omítka vnitřních stěn Hasit vápenocem. jednovrstvá,  tloušťka vrstvy 15 mm</t>
  </si>
  <si>
    <t>(15,30+6,30)*2*3,150-1,80*1,0-3,60*2,90   </t>
  </si>
  <si>
    <t>Omítka vnitřní stropů Hasit vápenocem. jednovrstvá, tloušťka vrstvy 15 mm</t>
  </si>
  <si>
    <t>96,39   </t>
  </si>
  <si>
    <t>Omítka vápenná vnitřního ostění - hladká</t>
  </si>
  <si>
    <t>(1,8+1,0*2+3,60+2,90*2)*0,30   </t>
  </si>
  <si>
    <t>Úprava povrchů vnější</t>
  </si>
  <si>
    <t>(15,90+6,90)*2*3,85-3,6*2,9-1,8-1,0-80,00   podhledová fasáda objektu</t>
  </si>
  <si>
    <t>Zakrývání výplní vnějších otvorů z lešení</t>
  </si>
  <si>
    <t>Montáž výztužné sítě(perlinky)do stěrky-vněj.stěny, včetně výztužné sítě a stěrkového tmelu Baumit</t>
  </si>
  <si>
    <t>1,40*2,20*1,25   úprava porobetonu vnější</t>
  </si>
  <si>
    <t>Omítka vnější stěn, MVC, štuková, složitost 1-2</t>
  </si>
  <si>
    <t>Penetrační nátěr savých podkladů, slož.1-2, Weber</t>
  </si>
  <si>
    <t>Nátěr stěn vnějších, slož.1-2 , Weber, minerální</t>
  </si>
  <si>
    <t>Podlahy a podlahové konstrukce</t>
  </si>
  <si>
    <t>Mazanina betonová tl. 8 - 12 cm C 16/20</t>
  </si>
  <si>
    <t>15,90*6,90*0,10   podkladní beton podlahy</t>
  </si>
  <si>
    <t>Mazanina betonová tl. 8 - 12 cm C 20/25</t>
  </si>
  <si>
    <t>96,39*0,10   podlaha V.1</t>
  </si>
  <si>
    <t>Řezání dilatační spáry hl. 0-100 mm, železobeton</t>
  </si>
  <si>
    <t>6,3*3   </t>
  </si>
  <si>
    <t>Příplatek za přehlaz. mazanin pod povlaky tl. 12cm</t>
  </si>
  <si>
    <t>Příplatek za konečnou úpravu mazanin tl. 12 cm</t>
  </si>
  <si>
    <t>Příplatek za stržení povrchu mazaniny tl. 12 cm</t>
  </si>
  <si>
    <t>Výztuž mazanin svařovanou sítí, průměr drátu  6,0, oka 100/100 mm KH30</t>
  </si>
  <si>
    <t>15,90*6,90*0,0044*1,15   podkladní beton podlahy</t>
  </si>
  <si>
    <t>96,39*0,0044*1,15   podlahový beton</t>
  </si>
  <si>
    <t>Bednění stěn, rýh a otvorů v podlahách - zřízení</t>
  </si>
  <si>
    <t>(15,90+6,90)*2*0,3   bednění čela podklad.betonu</t>
  </si>
  <si>
    <t>Bednění stěn, rýh a otvorů v podlahách -odstranění</t>
  </si>
  <si>
    <t>Potěr píscem.hlazený oc.hladítkem, do tl.30 mm, lože oc.nosníků</t>
  </si>
  <si>
    <t>0,15*0,30*6   lože nosníků</t>
  </si>
  <si>
    <t>Mazanina z polystyrenbetonu tl. 24 cm, 0,5 MPa</t>
  </si>
  <si>
    <t>96,39*0,21   V.2 střecha</t>
  </si>
  <si>
    <t>Příplatek za přehlaz. mazanin pod povlaky tl. 24cm</t>
  </si>
  <si>
    <t>Příplatek za sklon mazaniny 15°-35°  tl.12 - 24 cm</t>
  </si>
  <si>
    <t>Lešení a stavební výtahy</t>
  </si>
  <si>
    <t>Montáž lešení leh.řad.s podlahami,š.1,2 m, H 10 m</t>
  </si>
  <si>
    <t>(17,9+6,9)*2*4,0   </t>
  </si>
  <si>
    <t>Příplatek za každý měsíc použití lešení k pol.1041</t>
  </si>
  <si>
    <t>(17,9+6,9)*2*4,0*2   </t>
  </si>
  <si>
    <t>Demontáž lešení leh.řad.s podlahami,š.1,2 m,H 10 m</t>
  </si>
  <si>
    <t>Montáž ochranné sítě z umělých vláken</t>
  </si>
  <si>
    <t>Příplatek za každý měsíc použití sítí k pol. 4011</t>
  </si>
  <si>
    <t>Demontáž ochranné sítě z umělých vláken</t>
  </si>
  <si>
    <t>Lešení lehké pomocné, výška podlahy do 1,2 m</t>
  </si>
  <si>
    <t>50   </t>
  </si>
  <si>
    <t>Lešení lehké pomocné, výška podlahy do 1,9 m</t>
  </si>
  <si>
    <t>10   </t>
  </si>
  <si>
    <t>Různé dokončovací konstrukce a práce na pozemních stavbách</t>
  </si>
  <si>
    <t>Vyčištění budov o výšce podlaží do 4 m</t>
  </si>
  <si>
    <t>Přesuny sutí</t>
  </si>
  <si>
    <t>Odvoz suti a vybour. hmot na skládku do 1 km</t>
  </si>
  <si>
    <t>7,00   stavební odpad, obaly</t>
  </si>
  <si>
    <t>Příplatek k odvozu za každý další 1 km</t>
  </si>
  <si>
    <t>7,00*20   </t>
  </si>
  <si>
    <t>Vnitrostaveništní doprava suti do 10 m</t>
  </si>
  <si>
    <t>7,00   </t>
  </si>
  <si>
    <t>Příplatek k vnitrost. dopravě suti za dalších 5 m</t>
  </si>
  <si>
    <t>7,00*10   </t>
  </si>
  <si>
    <t>Uložení suti na skládku bez zhutnění</t>
  </si>
  <si>
    <t>Nakládání vybouraných trub na dopravní prostředek</t>
  </si>
  <si>
    <t>Poplatek za skládku suti - směs betonu,cihel,dřeva</t>
  </si>
  <si>
    <t>Přesun hmot pro HSV</t>
  </si>
  <si>
    <t>Přesun hmot pro budovy monolitické výšky do 6 m</t>
  </si>
  <si>
    <t>6,76+55,56+115,88+0,44+73,17+5,05+4,44+62,19+4,13+0,01   </t>
  </si>
  <si>
    <t>Izolace proti vodě</t>
  </si>
  <si>
    <t>Izolace proti vlhkosti vodor. nátěr ALP za studena, 1x nátěr - včetně dodávky penetračního laku ALP</t>
  </si>
  <si>
    <t>15,90*6,90   podlaha V.1</t>
  </si>
  <si>
    <t>Izolace proti vlhkosti svis. nátěr ALP, za studena,1x nátěr - včetně dodávky asfaltového laku</t>
  </si>
  <si>
    <t>15,90*3,85+6,90*1,50+15,90*0,90+(6,90-3,60)*0,60   skladba S.1</t>
  </si>
  <si>
    <t>Izolace proti vlhk. vodorovná pásy přitavením, 2 vrstvy - včetně dodávky Bitubitagit S 35</t>
  </si>
  <si>
    <t>109,71   podlaha V.1</t>
  </si>
  <si>
    <t>Izolace proti vlhkosti svislá pásy přitavením, 2 vrstvy - včetně dodávky Bitubitagit S 35</t>
  </si>
  <si>
    <t>87,855   skladba S.1</t>
  </si>
  <si>
    <t>Izolační systém Tefond, jednoduchý spoj, svisle, včetně dodávky fólie Tefond a spojovacích prvků</t>
  </si>
  <si>
    <t>80,00   S.1 stěna</t>
  </si>
  <si>
    <t>Přesun hmot pro izolace proti vodě, výšky do 6 m</t>
  </si>
  <si>
    <t>2,13   </t>
  </si>
  <si>
    <t>Izolace střech (živičné krytiny)</t>
  </si>
  <si>
    <t>Povlaková krytina střech do 10°, za studena ALP, 1 x nátěr - včetně dodávky ALP</t>
  </si>
  <si>
    <t>96,39   V.2 střecha</t>
  </si>
  <si>
    <t>43,00*0,5   V.2 atika</t>
  </si>
  <si>
    <t>Povlaková krytina střech do 10°, NAIP přitavením, 2 vrstvy - včetně dodávky Bitagit S</t>
  </si>
  <si>
    <t>96,39+(43,00*0,5)   V.2 střecha</t>
  </si>
  <si>
    <t>Přesun hmot pro povlakové krytiny, výšky do 6 m</t>
  </si>
  <si>
    <t>1,22   </t>
  </si>
  <si>
    <t>Zdravotechnické instalace</t>
  </si>
  <si>
    <t>Vtok střešní v povlakové krytině, průměr 100 mm, včetně výhřevného kabelu</t>
  </si>
  <si>
    <t>2   V.2 střecha</t>
  </si>
  <si>
    <t>Potrubí HT odpadní svislé D 110 x 2,7 mm</t>
  </si>
  <si>
    <t>4,25*2   dešťové svody vnitřní</t>
  </si>
  <si>
    <t>Potrubí KG svodné (ležaté) v zemi D 200 x 4,9 mm</t>
  </si>
  <si>
    <t>2,5+15,50+0,5*2+3,5   ležatý rozvod</t>
  </si>
  <si>
    <t>Přesun hmot pro vnitřní kanalizaci, výšky do 6 m</t>
  </si>
  <si>
    <t>0,11   </t>
  </si>
  <si>
    <t>Konstrukce klempířské</t>
  </si>
  <si>
    <t>Oplechování parapetů včetně rohů Pz, rš 200 mm</t>
  </si>
  <si>
    <t>1,80   K.2 lakovaný plech</t>
  </si>
  <si>
    <t>Oplechování zdí z Pz plechu, rš 500 mm</t>
  </si>
  <si>
    <t>43,00   K.1 lakovaný plech</t>
  </si>
  <si>
    <t>Balkónový chrlič z lak.Pz plechu, jednoduchý, průměu do 150 mm a délky do 500 mm.</t>
  </si>
  <si>
    <t>1   pojistný přepad střechy</t>
  </si>
  <si>
    <t>Přesun hmot pro klempířské konstr., výšky do 12 m</t>
  </si>
  <si>
    <t>0,20   </t>
  </si>
  <si>
    <t>Konstrukce truhlářské</t>
  </si>
  <si>
    <t>Výplně otvorů, okna plastová sklopná s izolačním dvojsklem Ug=1,1 W/m2K, bezpečnostní folie</t>
  </si>
  <si>
    <t>1,80*1,0   O.1 okno plastové</t>
  </si>
  <si>
    <t>Těsnění oken.spáry, ostění, PT folie + PP páska, folie š.  50 mm; páska tl. 8 mm, š. 20 mm</t>
  </si>
  <si>
    <t>1,80*2+1,0*2   O.1 okno plastové</t>
  </si>
  <si>
    <t>Montáž parapetních desek š.do 30 cm,dl.do 260 cm</t>
  </si>
  <si>
    <t>1   O.1 okno plastové</t>
  </si>
  <si>
    <t>Parapet interiér DTD šíře do 300 mm</t>
  </si>
  <si>
    <t>1,80   O.1 okno plastové</t>
  </si>
  <si>
    <t>Přesun hmot pro truhlářské konstr., výšky do 6 m</t>
  </si>
  <si>
    <t>0,07   </t>
  </si>
  <si>
    <t>Konstrukce doplňkové stavební (zámečnické)</t>
  </si>
  <si>
    <t>Výroba a montáž kov. atypických konstr. do 5 kg, včetně dodávky pásoviny 50/3 mm</t>
  </si>
  <si>
    <t>(4*0,30*2+5*0,30*2+9*0,30*2)*1,178   vzájemný spoj válc.nosníků</t>
  </si>
  <si>
    <t>Výroba a montáž kov. atypických konstr. do 20 kg, včetně pásoviny 50/4 mm, kotev a žárového zinku</t>
  </si>
  <si>
    <t>(1,5*4*1,57*1,1+0,8*4*1,57*1,1)*2   Z.1 ochrana ZTI potrubí</t>
  </si>
  <si>
    <t>Výroba a montáž kov. atypických konstr. do 20 kg, včetně dodávky L 60/60/6 mm, hrana vjezdu, zárový zinek</t>
  </si>
  <si>
    <t>3,60*5,42*1,1   hrana podlahy vjezdu</t>
  </si>
  <si>
    <t>Montáž vrat zvedacích, do oc. zárubně do 13 m2</t>
  </si>
  <si>
    <t>1   D.1 sekční vrata</t>
  </si>
  <si>
    <t>Vrata sekční průmyslová s pohonem, š 3600, h 2950 mm, integrované dveřní křídlo</t>
  </si>
  <si>
    <t>Přesun hmot pro zámečnické konstr., výšky do 12 m</t>
  </si>
  <si>
    <t>0,23   </t>
  </si>
  <si>
    <t>Nátěry</t>
  </si>
  <si>
    <t>Nátěr epoxidový betonových podlah Ekopox 640</t>
  </si>
  <si>
    <t>96,39   podlaha V.1</t>
  </si>
  <si>
    <t>Nátěr epoxidehtový stěn trojnásobný</t>
  </si>
  <si>
    <t>(6,30*2+15,3*2-3,60+0,2)*0,150   sokl podlahy</t>
  </si>
  <si>
    <t>Malby</t>
  </si>
  <si>
    <t>Penetrace podkladu hloubková Primalex 1x</t>
  </si>
  <si>
    <t>Malba Primalex Plus, bílá, bez penetrace, 2 x</t>
  </si>
  <si>
    <t>Opěrná stěna</t>
  </si>
  <si>
    <t>(2,15*11,00*2+2,15*15,00+2,05*11,00+2,00*20,90)*0,20   </t>
  </si>
  <si>
    <t>(2,50*5,585+2,05*3,147+2,05*2,438)*0,20   </t>
  </si>
  <si>
    <t>2,15*11,00*2,74+2,15*15,00*2,55+2,15*11,00*2,30+2,05*11,00*2,05   </t>
  </si>
  <si>
    <t>2,00*20,90*1,80+2,50*5,585*1,50+2,05*3,147*1,00+2,05*2,438*0,40   </t>
  </si>
  <si>
    <t>(2,15*0,80*11,0+2,15*0,8*15,00+2,15*0,8*11,00)*0,95   </t>
  </si>
  <si>
    <t>(2,05*0,8*11,00+2,00*0,80*20,90+2,50*1,65*5,585)*0,95   </t>
  </si>
  <si>
    <t>(2,05*1,45*3,147+2,05*1,45*2,438)*0,95   </t>
  </si>
  <si>
    <t>(2,15*0,80*11,0+2,15*0,8*15,00+2,15*0,8*11,00)   </t>
  </si>
  <si>
    <t>(2,05*0,8*11,00+2,00*0,80*20,90+2,50*1,65*5,585)   </t>
  </si>
  <si>
    <t>(2,05*1,45*3,147+2,05*1,45*2,438)   </t>
  </si>
  <si>
    <t>(2,15*0,80*11,0+2,15*0,8*15,00+2,15*0,8*11,00)*0,05   začištění základové spáry</t>
  </si>
  <si>
    <t>(2,05*0,8*11,00+2,00*0,80*20,90+2,50*1,65*5,585)*0,05   </t>
  </si>
  <si>
    <t>(2,05*1,45*3,147+2,05*1,45*2,438)*0,05   </t>
  </si>
  <si>
    <t>352,295+147,021+7,738+232,213   </t>
  </si>
  <si>
    <t>(352,295+147,021+7,738)*2   </t>
  </si>
  <si>
    <t>(352,295+147,021+7,738)-232,213   </t>
  </si>
  <si>
    <t>274,841*10   </t>
  </si>
  <si>
    <t>2,50*3,40*11,00*0,5+2,40*3,1*15,00*0,5+0,6*0,6*15,00*0,5   </t>
  </si>
  <si>
    <t>2,15*2,90*11,00*0,5+0,6*0,6*11,00*0,5+1,80*2,50*11,00*0,5   </t>
  </si>
  <si>
    <t>0,5*0,5*11,00*0,5+1,70*2,25*20,90*0,5+0,5*0,5*20,90*0,5   </t>
  </si>
  <si>
    <t>1,70*2,40*5,585*0,5+0,8*0,8*5,585*0,5+1,55*1,8*3,147*0,5   </t>
  </si>
  <si>
    <t>0,9*0,9*3,147*0,5+1,05*1,40*2,438*0,5+1,05*1,05*2,438*0,5   </t>
  </si>
  <si>
    <t>352,295+147,021+7,738   meziskládka na stavbě</t>
  </si>
  <si>
    <t>(352,295+147,021+7,738)-232,213   skládka zeminy</t>
  </si>
  <si>
    <t>1,90*11,00+1,90*15,00+1,90*11,00+1,65*11,00+1,65*20,90   plocha založení opěrných stěn</t>
  </si>
  <si>
    <t>1,65*5,585+1,65*3,147+1,45*2,438   plocha založení opěrných stěn</t>
  </si>
  <si>
    <t>232,213/0,4   hutnění obsypu objektu á 400 mm</t>
  </si>
  <si>
    <t>2*3,14*0,075*80,07*1,2   drenážní trubka</t>
  </si>
  <si>
    <t>4,25*11,00+3,75*15,00+3,75*11,00+3,0*11,00+2,2*20,9   gabionová stěna</t>
  </si>
  <si>
    <t>2,25*5,585+1,75*3,147+1,25*2,438   gabionová stěna</t>
  </si>
  <si>
    <t>2*3,14*0,075*80,07*1,2*1,10   drenážní trubka</t>
  </si>
  <si>
    <t>(4,25*11,00+3,75*15,00+3,75*11,00+3,0*11,00+2,2*20,9)*1,10   gabionová stěna</t>
  </si>
  <si>
    <t>(2,25*5,585+1,75*3,147+1,25*2,438)*1,10   gabionová stěna</t>
  </si>
  <si>
    <t>11,00*3+15,00+20,90+5,585+3,147+2,438   </t>
  </si>
  <si>
    <t>(11,00*3+15,00+20,90+5,585+3,147+2,438)*1,10   </t>
  </si>
  <si>
    <t>Polštář základu z kameniva drceného 8-16 mm</t>
  </si>
  <si>
    <t>(1,90*11,00+1,9*15,00+1,90*11,00+1,65*11,00+1,65*20,90)*0,22   </t>
  </si>
  <si>
    <t>(1,65*5,585+1,65*3,147+1,45*2,438)*0,22   </t>
  </si>
  <si>
    <t>Zdi přehradní a opěrné</t>
  </si>
  <si>
    <t>Opěr.zeď gabion.š.paty do 1,5m,v3,5m,vícevrst,oko100/100, včetně dodávky lomového kamene</t>
  </si>
  <si>
    <t>(1,5+1,25*2+1,0*2+0,75*2)*0,50*11,0   S1 úsek</t>
  </si>
  <si>
    <t>(1,5+1,25*2+1,0*2)*0,50*15,00+0,75*0,75*15,00   S2 úsek</t>
  </si>
  <si>
    <t>(1,5+1,25*2+1,0*2+0,75)*0,5*11,00   S3 úsek</t>
  </si>
  <si>
    <t>(1,25*2+1,0*2)*0,5*11,00+0,75*0,75*11,00   S4 úsek</t>
  </si>
  <si>
    <t>(1,25*2+1,0*2+0,75)*0,5*20,90   S5 úsek</t>
  </si>
  <si>
    <t>(1,25*2+1,0*2+0,75)*0,5*5,585   S6 úsek</t>
  </si>
  <si>
    <t>(1,25+1,0*2+0,75)*0,5*3,147   S7 úsek</t>
  </si>
  <si>
    <t>(1,0*2+0,75)*0,5*2,438   S8 úsek</t>
  </si>
  <si>
    <t>(11,00*3+15,00+20,90+5,585+3,147+2,438)*0,5   </t>
  </si>
  <si>
    <t>(11,00*3+15,00+20,90+5,585+3,147+2,438)*3,00   </t>
  </si>
  <si>
    <t>Přesun hmot, zdi a valy samostatné z dílců do 20 m</t>
  </si>
  <si>
    <t>630,39   </t>
  </si>
  <si>
    <t>Doba výstavby:</t>
  </si>
  <si>
    <t>Začátek výstavby:</t>
  </si>
  <si>
    <t>Konec výstavby:</t>
  </si>
  <si>
    <t>Zpracováno dne:</t>
  </si>
  <si>
    <t>MJ</t>
  </si>
  <si>
    <t>den</t>
  </si>
  <si>
    <t>m3</t>
  </si>
  <si>
    <t>m2</t>
  </si>
  <si>
    <t>m</t>
  </si>
  <si>
    <t>t</t>
  </si>
  <si>
    <t>kus</t>
  </si>
  <si>
    <t>kg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</si>
  <si>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</si>
  <si>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</si>
  <si>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</si>
  <si>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</si>
  <si>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</si>
  <si>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</si>
  <si>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</si>
  <si>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</si>
  <si>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Město Benešov</t>
  </si>
  <si>
    <t>Ing.arch Martin Kraus, atelier a-detail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</si>
  <si>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</si>
  <si>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</si>
  <si>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</si>
  <si>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</si>
  <si>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</si>
  <si>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</si>
  <si>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</si>
  <si>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</si>
  <si>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</si>
  <si>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</si>
  <si>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</si>
  <si>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</si>
  <si>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</si>
  <si>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</si>
  <si>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13_</t>
  </si>
  <si>
    <t>16_</t>
  </si>
  <si>
    <t>17_</t>
  </si>
  <si>
    <t>19_</t>
  </si>
  <si>
    <t>21_</t>
  </si>
  <si>
    <t>27_</t>
  </si>
  <si>
    <t>31_</t>
  </si>
  <si>
    <t>34_</t>
  </si>
  <si>
    <t>41_</t>
  </si>
  <si>
    <t>61_</t>
  </si>
  <si>
    <t>62_</t>
  </si>
  <si>
    <t>63_</t>
  </si>
  <si>
    <t>94_</t>
  </si>
  <si>
    <t>95_</t>
  </si>
  <si>
    <t>979_</t>
  </si>
  <si>
    <t>998_</t>
  </si>
  <si>
    <t>711_</t>
  </si>
  <si>
    <t>712_</t>
  </si>
  <si>
    <t>720_</t>
  </si>
  <si>
    <t>764_</t>
  </si>
  <si>
    <t>766_</t>
  </si>
  <si>
    <t>767_</t>
  </si>
  <si>
    <t>783_</t>
  </si>
  <si>
    <t>784_</t>
  </si>
  <si>
    <t>32_</t>
  </si>
  <si>
    <t>SO.03A_1_</t>
  </si>
  <si>
    <t>SO.03A_2_</t>
  </si>
  <si>
    <t>SO.03A_3_</t>
  </si>
  <si>
    <t>SO.03A_4_</t>
  </si>
  <si>
    <t>SO.03A_6_</t>
  </si>
  <si>
    <t>SO.03A_9_</t>
  </si>
  <si>
    <t>SO.03A_71_</t>
  </si>
  <si>
    <t>SO.03A_72_</t>
  </si>
  <si>
    <t>SO.03A_76_</t>
  </si>
  <si>
    <t>SO.03A_78_</t>
  </si>
  <si>
    <t>SO.03B_1_</t>
  </si>
  <si>
    <t>SO.03B_2_</t>
  </si>
  <si>
    <t>SO.03B_3_</t>
  </si>
  <si>
    <t>SO.03B_9_</t>
  </si>
  <si>
    <t>SO.03A_</t>
  </si>
  <si>
    <t>SO.03B_</t>
  </si>
  <si>
    <t>MAT</t>
  </si>
  <si>
    <t>WORK</t>
  </si>
  <si>
    <t>CELK</t>
  </si>
  <si>
    <t>Celkem bez DPH</t>
  </si>
  <si>
    <t>%</t>
  </si>
  <si>
    <t>8015, Budovy pro tělovýchovu</t>
  </si>
  <si>
    <t>SLÁDEK GROUP, a.s.</t>
  </si>
  <si>
    <t>Soupis - zadání VZ</t>
  </si>
  <si>
    <t>VRN</t>
  </si>
  <si>
    <t>Rozdíl</t>
  </si>
  <si>
    <t>ZRN</t>
  </si>
  <si>
    <t>133a</t>
  </si>
  <si>
    <t>133b</t>
  </si>
  <si>
    <t>167101101R00</t>
  </si>
  <si>
    <t>Nakládání výkopku z hor.1-4 v množství do 100 m3</t>
  </si>
  <si>
    <t>144a</t>
  </si>
  <si>
    <t>144b</t>
  </si>
  <si>
    <t>Montáž ohebné dren. trubky do rýhy DN 200,bez lože</t>
  </si>
  <si>
    <t>Trubka drenážní DN 200</t>
  </si>
  <si>
    <t>143a</t>
  </si>
  <si>
    <t>Trubka drenážní DN 100</t>
  </si>
  <si>
    <t>138a</t>
  </si>
  <si>
    <t>Svahování</t>
  </si>
  <si>
    <t>145a</t>
  </si>
  <si>
    <t>146a</t>
  </si>
  <si>
    <t>14a</t>
  </si>
  <si>
    <t>Vodorovné přemístění výkopku z horniny třídy 1-4 do 4000 m</t>
  </si>
  <si>
    <t>311113149</t>
  </si>
  <si>
    <t>Příplatek za pohledovou úpravu</t>
  </si>
  <si>
    <t>32a</t>
  </si>
  <si>
    <t>41a</t>
  </si>
  <si>
    <t>41b</t>
  </si>
  <si>
    <t>Navýšení nosnosti panelů</t>
  </si>
  <si>
    <t>soub</t>
  </si>
  <si>
    <t>69a</t>
  </si>
  <si>
    <t>Strojně hlazený beton tl. 100 mm se vsypem, vč. dilat. spár</t>
  </si>
  <si>
    <t>Okapový chodník z bet. dlažby 50 x 50 cm (přírodní)</t>
  </si>
  <si>
    <t>76a</t>
  </si>
  <si>
    <t>76b</t>
  </si>
  <si>
    <t>Betonový obrubník 200 x 50 mm přírodní, včetně osazení do beton. lože</t>
  </si>
  <si>
    <t>63a</t>
  </si>
  <si>
    <t>63b</t>
  </si>
  <si>
    <t>96a</t>
  </si>
  <si>
    <t>97a</t>
  </si>
  <si>
    <t>98a</t>
  </si>
  <si>
    <t>Izolace proti vodě vodorovná - modifikovaný pás, 2 vrstvy - včetně dodávky</t>
  </si>
  <si>
    <t>Izolace proti vodě svislá - modifikovaný pás, 2 vrstvy - včetně dodávky</t>
  </si>
  <si>
    <t>120a</t>
  </si>
  <si>
    <t>Opracování výztuže (izolační nátěr)</t>
  </si>
  <si>
    <t>Izolační souvrství střechy (vč. tep. izol.)</t>
  </si>
  <si>
    <t>ZTI</t>
  </si>
  <si>
    <t/>
  </si>
  <si>
    <t>125a</t>
  </si>
  <si>
    <t>ÚT</t>
  </si>
  <si>
    <t>EI</t>
  </si>
  <si>
    <t>125b</t>
  </si>
  <si>
    <t>Stavební přípomoce</t>
  </si>
  <si>
    <t>125c</t>
  </si>
  <si>
    <t>Potrubí, otopné těleso - rozdíl ceny (zrušeno těleso v techn. místn. SO 02)</t>
  </si>
  <si>
    <t>125d</t>
  </si>
  <si>
    <t>Silnoproud (rozvaděč, kabely, žlaby, trubky, krabice, přístroje, svítidla)</t>
  </si>
  <si>
    <t>125e</t>
  </si>
  <si>
    <t>125f</t>
  </si>
  <si>
    <t>Kanalizace - potrubí</t>
  </si>
  <si>
    <t>Vodovod - potrubí, vč. pož. rozv.</t>
  </si>
  <si>
    <t>Armatury</t>
  </si>
  <si>
    <t>Hydrant</t>
  </si>
  <si>
    <t>125g</t>
  </si>
  <si>
    <t>Dvorní vpusť</t>
  </si>
  <si>
    <t>Výlevka vč. baterie</t>
  </si>
  <si>
    <t>Zateplená otvíravá vrata, včetně povrch. úpravy, kování a montáže</t>
  </si>
  <si>
    <t>85a</t>
  </si>
  <si>
    <t>kpl</t>
  </si>
  <si>
    <t>Požární ucpávky (vodovod, ÚT, elektro)</t>
  </si>
  <si>
    <t>108a</t>
  </si>
  <si>
    <t>Oplechování zdí z Pz plechu bez povrch. úpravy, rš 500 mm</t>
  </si>
  <si>
    <t>123a</t>
  </si>
  <si>
    <t>Nátěr klempířských prvků silnovrstvý Brillux MP229</t>
  </si>
  <si>
    <t>76c</t>
  </si>
  <si>
    <t>120b</t>
  </si>
  <si>
    <t>Zábradlí (provedení dtto plotové dílce) na op. zeď</t>
  </si>
  <si>
    <t>76d</t>
  </si>
  <si>
    <t>Betonová zámková dlažba v. 60 mm přírodní šedá</t>
  </si>
  <si>
    <t>Betonový chodn. obrubník 250 x 150 mm přírodní, včetně osazení do beton. lože</t>
  </si>
  <si>
    <t>Zateplovací systém EPS 70 F tl. 30 - 60 mm s omítkou</t>
  </si>
  <si>
    <t>Zateplovací systém miner. vlna tl.30 - 60 mm s omítkou</t>
  </si>
  <si>
    <t>76e</t>
  </si>
  <si>
    <t>Betonové žlabovky š. 600 mm</t>
  </si>
  <si>
    <t>76f</t>
  </si>
  <si>
    <t>Násyp z kačírku tl. cca 5 cm</t>
  </si>
  <si>
    <t>120c</t>
  </si>
  <si>
    <t>Úprava oplocení - demontáž a montáž části oplocení včetně vrátek</t>
  </si>
  <si>
    <t>Hromosvod (včetně zemních prací)</t>
  </si>
  <si>
    <t>SO.03A'</t>
  </si>
  <si>
    <t>Zemní práce</t>
  </si>
  <si>
    <t>167151111</t>
  </si>
  <si>
    <t>Nakládání výkopku z hornin třídy těžitelnosti I, skupiny 1 až 3 přes 100 m3</t>
  </si>
  <si>
    <t>162651111</t>
  </si>
  <si>
    <t>174151101</t>
  </si>
  <si>
    <t>58344171</t>
  </si>
  <si>
    <t>Vodorovné přemístění výkopku z horniny třídy těžitelnosti I skupiny 1 až 3 na vzdálenost do 4 000 m</t>
  </si>
  <si>
    <t>Štěrkodrť frakce 0/63</t>
  </si>
  <si>
    <t>131151103</t>
  </si>
  <si>
    <t>Hloubení jam nezapažených v hornině třídy těžitelnosti I, skupiny 1 a 2 objem do 100 m3 strojně</t>
  </si>
  <si>
    <t>171251201</t>
  </si>
  <si>
    <t>Uložení sypaniny na skládky nebo meziskládky</t>
  </si>
  <si>
    <t>181152302</t>
  </si>
  <si>
    <t>Úprava pláně se zhutněním</t>
  </si>
  <si>
    <t>Komunikace, zpevněné plochy</t>
  </si>
  <si>
    <t>Komunikace pozemní</t>
  </si>
  <si>
    <t>998225111</t>
  </si>
  <si>
    <t>Přesun hmot pro komunikace</t>
  </si>
  <si>
    <t>564851111</t>
  </si>
  <si>
    <t>Podklad ze štěrkodrti ŠD s rozprostřením a zhutněním, po zhutnění tl. 150 mm</t>
  </si>
  <si>
    <t>564740111</t>
  </si>
  <si>
    <t>Podklad z kameniva hrubého drceného vel. 16-32 mm tl 120 mm</t>
  </si>
  <si>
    <t>567122111</t>
  </si>
  <si>
    <t>571908112</t>
  </si>
  <si>
    <t>Kryt vymývaným dekoračním kamenivem (kačírkem) tl. 300 mm</t>
  </si>
  <si>
    <t>Demontáž oplocení</t>
  </si>
  <si>
    <t>596211113</t>
  </si>
  <si>
    <t>59245018</t>
  </si>
  <si>
    <t>596212223</t>
  </si>
  <si>
    <t>59246300</t>
  </si>
  <si>
    <t>59246301</t>
  </si>
  <si>
    <t>Dlažba tvar obdélník betonová 200x100x60mm přírodní</t>
  </si>
  <si>
    <t>Dlažba tvar obdélník betonová polovegetační tl. 80mm přírodní</t>
  </si>
  <si>
    <t>Dlažba tvar obdélník betonová polovegetační tl. 80mm barevná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</si>
  <si>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</si>
  <si>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</si>
  <si>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</si>
  <si>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</si>
  <si>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</si>
  <si>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</si>
  <si>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</si>
  <si>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</si>
  <si>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</si>
  <si>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</si>
  <si>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</si>
  <si>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</si>
  <si>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</si>
  <si>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</si>
  <si>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</si>
  <si>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</si>
  <si>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</si>
  <si>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</si>
  <si>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</si>
  <si>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</si>
  <si>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</si>
  <si>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</si>
  <si>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</si>
  <si>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</si>
  <si>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</si>
  <si>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Podklad ze směsi stmelené cementem SC C 8/10 (KSC I), po zhutnění tl. 120 mm</t>
  </si>
  <si>
    <t>Kladení dlažby z betonových zámkových dlaždic komunikací pro pěší tl. 60 mm skupiny A</t>
  </si>
  <si>
    <t>Kladení dlažby z betonových zámkových dlaždic tl. 80 mm skupiny B</t>
  </si>
  <si>
    <t>564861111</t>
  </si>
  <si>
    <t>Podklad ze štěrkodrti ŠD s rozprostřením a zhutněním, po zhutnění tl. 200 mm</t>
  </si>
  <si>
    <t>916131213</t>
  </si>
  <si>
    <t>59217031</t>
  </si>
  <si>
    <t>59217030</t>
  </si>
  <si>
    <t>916331112</t>
  </si>
  <si>
    <t>Osazení silničního obrubníku betonového stojatého s boční opěrou do lože z betonu prostého</t>
  </si>
  <si>
    <t>Osazení zahradního obrubníku betonového s ložem z betonu prostého</t>
  </si>
  <si>
    <t>Obrubník betonový silniční 1000x150x250mm</t>
  </si>
  <si>
    <t>Obrubník betonový parkový přírodní 500x50x200mm</t>
  </si>
  <si>
    <t>Obrubník betonový parkový přírodní 500x80x250mm</t>
  </si>
  <si>
    <t>Zásyp sypaninou se zhutněním</t>
  </si>
  <si>
    <t>145b</t>
  </si>
  <si>
    <t>Nopová fólie</t>
  </si>
  <si>
    <t>101a</t>
  </si>
  <si>
    <t>Opěrná stěna bet. prefa, kompletní provedení</t>
  </si>
  <si>
    <t>Zdvihací zařízení</t>
  </si>
  <si>
    <t>120d</t>
  </si>
  <si>
    <t>120e</t>
  </si>
  <si>
    <t>Sklepní kóje (vč. proj.) - rozpis viz samost. příloha</t>
  </si>
  <si>
    <t>125h</t>
  </si>
  <si>
    <t>Průtokový ohřívač</t>
  </si>
  <si>
    <t>125i</t>
  </si>
  <si>
    <t>125j</t>
  </si>
  <si>
    <t>125k</t>
  </si>
  <si>
    <t>12.4.2021</t>
  </si>
  <si>
    <t>Soupis - PD, realizace do 12.4.2021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</si>
</sst>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  <numFmt numFmtId="168" formatCode="#,##0.000"/>
    <numFmt numFmtId="169" formatCode="#,##0.0000"/>
  </numFmts>
  <fonts count="6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color rgb="FF00B050"/>
      <name val="Arial"/>
      <family val="2"/>
    </font>
    <font>
      <b/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</border>
    <border>
      <left style="thin"/>
      <right/>
      <top/>
      <bottom style="thin"/>
    </border>
    <border>
      <left style="hair">
        <color rgb="FF666666"/>
      </left>
      <right/>
      <top>
        <color indexed="63"/>
      </top>
      <bottom style="hair">
        <color rgb="FF666666"/>
      </bottom>
    </border>
    <border>
      <left>
        <color indexed="63"/>
      </left>
      <right>
        <color indexed="63"/>
      </right>
      <top>
        <color indexed="63"/>
      </top>
      <bottom style="hair">
        <color rgb="FF666666"/>
      </bottom>
    </border>
    <border>
      <left/>
      <right style="hair">
        <color rgb="FF666666"/>
      </right>
      <top>
        <color indexed="63"/>
      </top>
      <bottom style="hair">
        <color rgb="FF666666"/>
      </bottom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hair">
        <color rgb="FF666666"/>
      </left>
      <right/>
      <top style="hair">
        <color rgb="FF666666"/>
      </top>
      <bottom style="hair">
        <color rgb="FF666666"/>
      </bottom>
    </border>
    <border>
      <left/>
      <right/>
      <top style="hair">
        <color rgb="FF666666"/>
      </top>
      <bottom style="hair">
        <color rgb="FF666666"/>
      </bottom>
    </border>
    <border>
      <left/>
      <right style="hair">
        <color rgb="FF666666"/>
      </right>
      <top style="hair">
        <color rgb="FF666666"/>
      </top>
      <bottom style="hair">
        <color rgb="FF66666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4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9" fillId="34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168" fontId="6" fillId="0" borderId="0" xfId="0" applyNumberFormat="1" applyFont="1" applyFill="1" applyBorder="1" applyAlignment="1" applyProtection="1">
      <alignment horizontal="right" vertical="center"/>
      <protection/>
    </xf>
    <xf numFmtId="168" fontId="10" fillId="0" borderId="0" xfId="0" applyNumberFormat="1" applyFont="1" applyFill="1" applyBorder="1" applyAlignment="1" applyProtection="1">
      <alignment horizontal="right" vertical="center"/>
      <protection/>
    </xf>
    <xf numFmtId="168" fontId="7" fillId="0" borderId="0" xfId="0" applyNumberFormat="1" applyFont="1" applyFill="1" applyBorder="1" applyAlignment="1" applyProtection="1">
      <alignment horizontal="right" vertical="center"/>
      <protection/>
    </xf>
    <xf numFmtId="168" fontId="10" fillId="0" borderId="13" xfId="0" applyNumberFormat="1" applyFont="1" applyFill="1" applyBorder="1" applyAlignment="1" applyProtection="1">
      <alignment horizontal="right" vertical="center"/>
      <protection/>
    </xf>
    <xf numFmtId="49" fontId="6" fillId="35" borderId="24" xfId="0" applyNumberFormat="1" applyFont="1" applyFill="1" applyBorder="1" applyAlignment="1" applyProtection="1">
      <alignment horizontal="left" vertical="center"/>
      <protection/>
    </xf>
    <xf numFmtId="0" fontId="0" fillId="35" borderId="25" xfId="1" applyNumberFormat="1" applyFill="1" applyBorder="1" applyAlignment="1" applyProtection="1">
      <alignment/>
      <protection/>
    </xf>
    <xf numFmtId="49" fontId="10" fillId="35" borderId="25" xfId="0" applyNumberFormat="1" applyFont="1" applyFill="1" applyBorder="1" applyAlignment="1" applyProtection="1">
      <alignment horizontal="left" vertical="center"/>
      <protection/>
    </xf>
    <xf numFmtId="168" fontId="6" fillId="35" borderId="24" xfId="0" applyNumberFormat="1" applyFont="1" applyFill="1" applyBorder="1" applyAlignment="1" applyProtection="1">
      <alignment horizontal="right" vertical="center"/>
      <protection/>
    </xf>
    <xf numFmtId="4" fontId="6" fillId="35" borderId="24" xfId="0" applyNumberFormat="1" applyFont="1" applyFill="1" applyBorder="1" applyAlignment="1" applyProtection="1">
      <alignment horizontal="right" vertical="center"/>
      <protection/>
    </xf>
    <xf numFmtId="168" fontId="10" fillId="35" borderId="25" xfId="0" applyNumberFormat="1" applyFont="1" applyFill="1" applyBorder="1" applyAlignment="1" applyProtection="1">
      <alignment horizontal="right" vertical="center"/>
      <protection/>
    </xf>
    <xf numFmtId="0" fontId="0" fillId="35" borderId="24" xfId="1" applyNumberFormat="1" applyFill="1" applyBorder="1" applyAlignment="1" applyProtection="1">
      <alignment/>
      <protection/>
    </xf>
    <xf numFmtId="49" fontId="10" fillId="35" borderId="24" xfId="0" applyNumberFormat="1" applyFont="1" applyFill="1" applyBorder="1" applyAlignment="1" applyProtection="1">
      <alignment horizontal="left" vertical="center"/>
      <protection/>
    </xf>
    <xf numFmtId="168" fontId="10" fillId="35" borderId="24" xfId="0" applyNumberFormat="1" applyFont="1" applyFill="1" applyBorder="1" applyAlignment="1" applyProtection="1">
      <alignment horizontal="right" vertical="center"/>
      <protection/>
    </xf>
    <xf numFmtId="49" fontId="7" fillId="35" borderId="24" xfId="0" applyNumberFormat="1" applyFont="1" applyFill="1" applyBorder="1" applyAlignment="1" applyProtection="1">
      <alignment horizontal="left" vertical="center"/>
      <protection/>
    </xf>
    <xf numFmtId="168" fontId="7" fillId="35" borderId="24" xfId="0" applyNumberFormat="1" applyFont="1" applyFill="1" applyBorder="1" applyAlignment="1" applyProtection="1">
      <alignment horizontal="right" vertical="center"/>
      <protection/>
    </xf>
    <xf numFmtId="4" fontId="7" fillId="35" borderId="24" xfId="0" applyNumberFormat="1" applyFont="1" applyFill="1" applyBorder="1" applyAlignment="1" applyProtection="1">
      <alignment horizontal="right" vertical="center"/>
      <protection/>
    </xf>
    <xf numFmtId="169" fontId="8" fillId="33" borderId="12" xfId="0" applyNumberFormat="1" applyFont="1" applyFill="1" applyBorder="1" applyAlignment="1" applyProtection="1">
      <alignment horizontal="right" vertical="center"/>
      <protection/>
    </xf>
    <xf numFmtId="169" fontId="9" fillId="34" borderId="0" xfId="0" applyNumberFormat="1" applyFont="1" applyFill="1" applyBorder="1" applyAlignment="1" applyProtection="1">
      <alignment horizontal="right" vertical="center"/>
      <protection/>
    </xf>
    <xf numFmtId="169" fontId="6" fillId="35" borderId="24" xfId="0" applyNumberFormat="1" applyFont="1" applyFill="1" applyBorder="1" applyAlignment="1" applyProtection="1">
      <alignment horizontal="right" vertical="center"/>
      <protection/>
    </xf>
    <xf numFmtId="169" fontId="0" fillId="35" borderId="24" xfId="1" applyNumberFormat="1" applyFill="1" applyBorder="1" applyAlignment="1" applyProtection="1">
      <alignment/>
      <protection/>
    </xf>
    <xf numFmtId="169" fontId="0" fillId="35" borderId="25" xfId="1" applyNumberFormat="1" applyFill="1" applyBorder="1" applyAlignment="1" applyProtection="1">
      <alignment/>
      <protection/>
    </xf>
    <xf numFmtId="169" fontId="7" fillId="35" borderId="24" xfId="0" applyNumberFormat="1" applyFont="1" applyFill="1" applyBorder="1" applyAlignment="1" applyProtection="1">
      <alignment horizontal="right" vertical="center"/>
      <protection/>
    </xf>
    <xf numFmtId="169" fontId="8" fillId="33" borderId="0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1" fillId="0" borderId="0" xfId="0" applyNumberFormat="1" applyFont="1" applyAlignment="1">
      <alignment vertical="center"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49" fontId="5" fillId="36" borderId="24" xfId="0" applyNumberFormat="1" applyFont="1" applyFill="1" applyBorder="1" applyAlignment="1" applyProtection="1">
      <alignment horizontal="left" vertical="center"/>
      <protection/>
    </xf>
    <xf numFmtId="49" fontId="9" fillId="36" borderId="24" xfId="0" applyNumberFormat="1" applyFont="1" applyFill="1" applyBorder="1" applyAlignment="1" applyProtection="1">
      <alignment horizontal="left" vertical="center"/>
      <protection/>
    </xf>
    <xf numFmtId="4" fontId="9" fillId="36" borderId="24" xfId="0" applyNumberFormat="1" applyFont="1" applyFill="1" applyBorder="1" applyAlignment="1" applyProtection="1">
      <alignment horizontal="right" vertical="center"/>
      <protection/>
    </xf>
    <xf numFmtId="169" fontId="9" fillId="36" borderId="24" xfId="0" applyNumberFormat="1" applyFont="1" applyFill="1" applyBorder="1" applyAlignment="1" applyProtection="1">
      <alignment horizontal="right" vertical="center"/>
      <protection/>
    </xf>
    <xf numFmtId="4" fontId="6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1" applyNumberFormat="1" applyFill="1" applyBorder="1" applyAlignment="1" applyProtection="1">
      <alignment/>
      <protection/>
    </xf>
    <xf numFmtId="0" fontId="0" fillId="0" borderId="25" xfId="1" applyNumberForma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1" fillId="0" borderId="26" xfId="0" applyFont="1" applyBorder="1" applyAlignment="1" applyProtection="1">
      <alignment horizontal="left" vertical="center" wrapText="1"/>
      <protection/>
    </xf>
    <xf numFmtId="0" fontId="58" fillId="0" borderId="26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8" fontId="59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37" borderId="0" xfId="0" applyFont="1" applyFill="1" applyAlignment="1">
      <alignment wrapText="1"/>
    </xf>
    <xf numFmtId="168" fontId="60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1" fillId="0" borderId="0" xfId="0" applyNumberFormat="1" applyFont="1" applyFill="1" applyBorder="1" applyAlignment="1" applyProtection="1">
      <alignment horizontal="left" vertical="center"/>
      <protection/>
    </xf>
    <xf numFmtId="168" fontId="6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0" fillId="35" borderId="24" xfId="1" applyNumberFormat="1" applyFont="1" applyFill="1" applyBorder="1" applyAlignment="1" applyProtection="1">
      <alignment/>
      <protection/>
    </xf>
    <xf numFmtId="49" fontId="61" fillId="35" borderId="24" xfId="0" applyNumberFormat="1" applyFont="1" applyFill="1" applyBorder="1" applyAlignment="1" applyProtection="1">
      <alignment horizontal="left" vertical="center"/>
      <protection/>
    </xf>
    <xf numFmtId="168" fontId="60" fillId="35" borderId="24" xfId="0" applyNumberFormat="1" applyFont="1" applyFill="1" applyBorder="1" applyAlignment="1" applyProtection="1">
      <alignment horizontal="right" vertical="center"/>
      <protection/>
    </xf>
    <xf numFmtId="168" fontId="61" fillId="35" borderId="24" xfId="0" applyNumberFormat="1" applyFont="1" applyFill="1" applyBorder="1" applyAlignment="1" applyProtection="1">
      <alignment horizontal="right" vertical="center"/>
      <protection/>
    </xf>
    <xf numFmtId="49" fontId="6" fillId="35" borderId="24" xfId="0" applyNumberFormat="1" applyFont="1" applyFill="1" applyBorder="1" applyAlignment="1" applyProtection="1">
      <alignment horizontal="left" vertical="center"/>
      <protection/>
    </xf>
    <xf numFmtId="168" fontId="62" fillId="35" borderId="24" xfId="0" applyNumberFormat="1" applyFont="1" applyFill="1" applyBorder="1" applyAlignment="1" applyProtection="1">
      <alignment horizontal="right" vertical="center"/>
      <protection/>
    </xf>
    <xf numFmtId="168" fontId="0" fillId="35" borderId="24" xfId="0" applyNumberFormat="1" applyFont="1" applyFill="1" applyBorder="1" applyAlignment="1" applyProtection="1">
      <alignment horizontal="right" vertical="center"/>
      <protection/>
    </xf>
    <xf numFmtId="49" fontId="6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0" fontId="0" fillId="35" borderId="24" xfId="1" applyNumberFormat="1" applyFill="1" applyBorder="1" applyAlignment="1" applyProtection="1">
      <alignment horizontal="left"/>
      <protection/>
    </xf>
    <xf numFmtId="0" fontId="59" fillId="0" borderId="26" xfId="0" applyFont="1" applyBorder="1" applyAlignment="1">
      <alignment horizontal="left" vertical="center"/>
    </xf>
    <xf numFmtId="49" fontId="61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>
      <alignment vertical="center"/>
    </xf>
    <xf numFmtId="169" fontId="59" fillId="0" borderId="26" xfId="0" applyNumberFormat="1" applyFont="1" applyFill="1" applyBorder="1" applyAlignment="1" applyProtection="1">
      <alignment horizontal="right" vertical="center"/>
      <protection/>
    </xf>
    <xf numFmtId="168" fontId="61" fillId="0" borderId="24" xfId="0" applyNumberFormat="1" applyFont="1" applyFill="1" applyBorder="1" applyAlignment="1" applyProtection="1">
      <alignment horizontal="right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0" fontId="0" fillId="35" borderId="24" xfId="1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63" fillId="37" borderId="28" xfId="0" applyNumberFormat="1" applyFont="1" applyFill="1" applyBorder="1" applyAlignment="1" applyProtection="1">
      <alignment horizontal="center" vertical="center"/>
      <protection/>
    </xf>
    <xf numFmtId="49" fontId="63" fillId="37" borderId="29" xfId="0" applyNumberFormat="1" applyFont="1" applyFill="1" applyBorder="1" applyAlignment="1" applyProtection="1">
      <alignment horizontal="center" vertical="center"/>
      <protection/>
    </xf>
    <xf numFmtId="49" fontId="63" fillId="37" borderId="3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63" fillId="38" borderId="36" xfId="0" applyNumberFormat="1" applyFont="1" applyFill="1" applyBorder="1" applyAlignment="1" applyProtection="1">
      <alignment horizontal="center" vertical="center"/>
      <protection/>
    </xf>
    <xf numFmtId="49" fontId="63" fillId="38" borderId="37" xfId="0" applyNumberFormat="1" applyFont="1" applyFill="1" applyBorder="1" applyAlignment="1" applyProtection="1">
      <alignment horizontal="center" vertical="center"/>
      <protection/>
    </xf>
    <xf numFmtId="49" fontId="63" fillId="38" borderId="38" xfId="0" applyNumberFormat="1" applyFont="1" applyFill="1" applyBorder="1" applyAlignment="1" applyProtection="1">
      <alignment horizontal="center" vertical="center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FFFF8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90"/>
  <sheetViews>
    <sheetView tabSelected="1" zoomScale="90" zoomScaleNormal="90" zoomScalePageLayoutView="0" workbookViewId="0" topLeftCell="A442">
      <selection activeCell="D492" sqref="D492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91.00390625" style="0" customWidth="1"/>
    <col min="5" max="5" width="4.28125" style="0" customWidth="1"/>
    <col min="6" max="6" width="12.8515625" style="0" customWidth="1"/>
    <col min="7" max="7" width="12.00390625" style="0" customWidth="1"/>
    <col min="8" max="8" width="14.28125" style="0" customWidth="1"/>
    <col min="9" max="10" width="11.7109375" style="0" customWidth="1"/>
    <col min="11" max="11" width="2.28125" style="0" customWidth="1"/>
    <col min="12" max="12" width="12.8515625" style="0" customWidth="1"/>
    <col min="13" max="13" width="11.57421875" style="0" customWidth="1"/>
    <col min="14" max="14" width="14.28125" style="0" customWidth="1"/>
    <col min="15" max="16" width="11.7109375" style="0" customWidth="1"/>
    <col min="17" max="20" width="11.57421875" style="0" customWidth="1"/>
    <col min="21" max="58" width="12.140625" style="0" hidden="1" customWidth="1"/>
  </cols>
  <sheetData>
    <row r="1" spans="1:16" ht="30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2.75" customHeight="1">
      <c r="A2" s="132" t="s">
        <v>1</v>
      </c>
      <c r="B2" s="133"/>
      <c r="C2" s="133"/>
      <c r="D2" s="134" t="s">
        <v>297</v>
      </c>
      <c r="E2" s="136" t="s">
        <v>623</v>
      </c>
      <c r="F2" s="133"/>
      <c r="G2" s="136" t="s">
        <v>6</v>
      </c>
      <c r="H2" s="129" t="s">
        <v>638</v>
      </c>
      <c r="I2" s="129" t="s">
        <v>643</v>
      </c>
      <c r="J2" s="153"/>
      <c r="K2" s="29"/>
      <c r="L2" s="144"/>
      <c r="M2" s="145"/>
      <c r="N2" s="145"/>
      <c r="O2" s="145"/>
      <c r="P2" s="146"/>
    </row>
    <row r="3" spans="1:16" ht="12.75">
      <c r="A3" s="130"/>
      <c r="B3" s="120"/>
      <c r="C3" s="120"/>
      <c r="D3" s="135"/>
      <c r="E3" s="120"/>
      <c r="F3" s="120"/>
      <c r="G3" s="120"/>
      <c r="H3" s="120"/>
      <c r="I3" s="124"/>
      <c r="J3" s="137"/>
      <c r="K3" s="29"/>
      <c r="L3" s="147"/>
      <c r="M3" s="148"/>
      <c r="N3" s="148"/>
      <c r="O3" s="148"/>
      <c r="P3" s="149"/>
    </row>
    <row r="4" spans="1:16" ht="12.75" customHeight="1">
      <c r="A4" s="121" t="s">
        <v>2</v>
      </c>
      <c r="B4" s="120"/>
      <c r="C4" s="120"/>
      <c r="D4" s="124" t="s">
        <v>298</v>
      </c>
      <c r="E4" s="119" t="s">
        <v>624</v>
      </c>
      <c r="F4" s="120"/>
      <c r="G4" s="119" t="s">
        <v>6</v>
      </c>
      <c r="H4" s="124" t="s">
        <v>639</v>
      </c>
      <c r="I4" s="124" t="s">
        <v>644</v>
      </c>
      <c r="J4" s="137"/>
      <c r="K4" s="29"/>
      <c r="L4" s="147"/>
      <c r="M4" s="148"/>
      <c r="N4" s="148"/>
      <c r="O4" s="148"/>
      <c r="P4" s="149"/>
    </row>
    <row r="5" spans="1:16" ht="12.75">
      <c r="A5" s="130"/>
      <c r="B5" s="120"/>
      <c r="C5" s="120"/>
      <c r="D5" s="120"/>
      <c r="E5" s="120"/>
      <c r="F5" s="120"/>
      <c r="G5" s="120"/>
      <c r="H5" s="120"/>
      <c r="I5" s="124"/>
      <c r="J5" s="137"/>
      <c r="K5" s="29"/>
      <c r="L5" s="147"/>
      <c r="M5" s="148"/>
      <c r="N5" s="148"/>
      <c r="O5" s="148"/>
      <c r="P5" s="149"/>
    </row>
    <row r="6" spans="1:16" ht="12.75">
      <c r="A6" s="121" t="s">
        <v>3</v>
      </c>
      <c r="B6" s="120"/>
      <c r="C6" s="120"/>
      <c r="D6" s="124" t="s">
        <v>299</v>
      </c>
      <c r="E6" s="119" t="s">
        <v>625</v>
      </c>
      <c r="F6" s="120"/>
      <c r="G6" s="119" t="s">
        <v>6</v>
      </c>
      <c r="H6" s="124" t="s">
        <v>640</v>
      </c>
      <c r="I6" s="119" t="s">
        <v>706</v>
      </c>
      <c r="J6" s="154"/>
      <c r="K6" s="29"/>
      <c r="L6" s="147"/>
      <c r="M6" s="148"/>
      <c r="N6" s="148"/>
      <c r="O6" s="148"/>
      <c r="P6" s="149"/>
    </row>
    <row r="7" spans="1:16" ht="12.75">
      <c r="A7" s="130"/>
      <c r="B7" s="120"/>
      <c r="C7" s="120"/>
      <c r="D7" s="120"/>
      <c r="E7" s="120"/>
      <c r="F7" s="120"/>
      <c r="G7" s="120"/>
      <c r="H7" s="120"/>
      <c r="I7" s="119"/>
      <c r="J7" s="154"/>
      <c r="K7" s="29"/>
      <c r="L7" s="147"/>
      <c r="M7" s="148"/>
      <c r="N7" s="148"/>
      <c r="O7" s="148"/>
      <c r="P7" s="149"/>
    </row>
    <row r="8" spans="1:16" ht="12.75" customHeight="1">
      <c r="A8" s="121" t="s">
        <v>4</v>
      </c>
      <c r="B8" s="120"/>
      <c r="C8" s="120"/>
      <c r="D8" s="125" t="s">
        <v>705</v>
      </c>
      <c r="E8" s="119" t="s">
        <v>626</v>
      </c>
      <c r="F8" s="120"/>
      <c r="G8" s="119" t="s">
        <v>881</v>
      </c>
      <c r="H8" s="124" t="s">
        <v>641</v>
      </c>
      <c r="I8" s="124"/>
      <c r="J8" s="137"/>
      <c r="K8" s="29"/>
      <c r="L8" s="147"/>
      <c r="M8" s="148"/>
      <c r="N8" s="148"/>
      <c r="O8" s="148"/>
      <c r="P8" s="149"/>
    </row>
    <row r="9" spans="1:16" ht="12.75">
      <c r="A9" s="122"/>
      <c r="B9" s="123"/>
      <c r="C9" s="123"/>
      <c r="D9" s="123"/>
      <c r="E9" s="123"/>
      <c r="F9" s="123"/>
      <c r="G9" s="123"/>
      <c r="H9" s="123"/>
      <c r="I9" s="138"/>
      <c r="J9" s="139"/>
      <c r="K9" s="29"/>
      <c r="L9" s="150"/>
      <c r="M9" s="151"/>
      <c r="N9" s="151"/>
      <c r="O9" s="151"/>
      <c r="P9" s="152"/>
    </row>
    <row r="10" spans="1:17" s="78" customFormat="1" ht="18.75" customHeight="1" thickBot="1">
      <c r="A10" s="74"/>
      <c r="B10" s="74"/>
      <c r="C10" s="74"/>
      <c r="D10" s="75"/>
      <c r="E10" s="74"/>
      <c r="F10" s="155" t="s">
        <v>707</v>
      </c>
      <c r="G10" s="156"/>
      <c r="H10" s="156"/>
      <c r="I10" s="156"/>
      <c r="J10" s="157"/>
      <c r="K10" s="76"/>
      <c r="L10" s="126" t="s">
        <v>882</v>
      </c>
      <c r="M10" s="127"/>
      <c r="N10" s="127"/>
      <c r="O10" s="127"/>
      <c r="P10" s="128"/>
      <c r="Q10" s="77"/>
    </row>
    <row r="11" spans="1:16" ht="12.75">
      <c r="A11" s="1" t="s">
        <v>5</v>
      </c>
      <c r="B11" s="10" t="s">
        <v>156</v>
      </c>
      <c r="C11" s="10" t="s">
        <v>159</v>
      </c>
      <c r="D11" s="10" t="s">
        <v>300</v>
      </c>
      <c r="E11" s="10" t="s">
        <v>627</v>
      </c>
      <c r="F11" s="18" t="s">
        <v>635</v>
      </c>
      <c r="G11" s="21" t="s">
        <v>636</v>
      </c>
      <c r="H11" s="23" t="s">
        <v>642</v>
      </c>
      <c r="I11" s="142" t="s">
        <v>646</v>
      </c>
      <c r="J11" s="143"/>
      <c r="K11" s="30"/>
      <c r="L11" s="18" t="s">
        <v>635</v>
      </c>
      <c r="M11" s="21" t="s">
        <v>636</v>
      </c>
      <c r="N11" s="23" t="s">
        <v>642</v>
      </c>
      <c r="O11" s="142" t="s">
        <v>646</v>
      </c>
      <c r="P11" s="143"/>
    </row>
    <row r="12" spans="1:58" ht="13.5" thickBot="1">
      <c r="A12" s="2" t="s">
        <v>6</v>
      </c>
      <c r="B12" s="11" t="s">
        <v>6</v>
      </c>
      <c r="C12" s="11" t="s">
        <v>6</v>
      </c>
      <c r="D12" s="15" t="s">
        <v>301</v>
      </c>
      <c r="E12" s="11" t="s">
        <v>6</v>
      </c>
      <c r="F12" s="11" t="s">
        <v>6</v>
      </c>
      <c r="G12" s="22" t="s">
        <v>637</v>
      </c>
      <c r="H12" s="25" t="s">
        <v>645</v>
      </c>
      <c r="I12" s="24" t="s">
        <v>647</v>
      </c>
      <c r="J12" s="25" t="s">
        <v>645</v>
      </c>
      <c r="K12" s="30"/>
      <c r="L12" s="11" t="s">
        <v>6</v>
      </c>
      <c r="M12" s="22" t="s">
        <v>637</v>
      </c>
      <c r="N12" s="25" t="s">
        <v>645</v>
      </c>
      <c r="O12" s="24" t="s">
        <v>647</v>
      </c>
      <c r="P12" s="25" t="s">
        <v>645</v>
      </c>
      <c r="V12" s="26" t="s">
        <v>648</v>
      </c>
      <c r="W12" s="26" t="s">
        <v>649</v>
      </c>
      <c r="X12" s="26" t="s">
        <v>650</v>
      </c>
      <c r="Y12" s="26" t="s">
        <v>651</v>
      </c>
      <c r="Z12" s="26" t="s">
        <v>652</v>
      </c>
      <c r="AA12" s="26" t="s">
        <v>653</v>
      </c>
      <c r="AB12" s="26" t="s">
        <v>654</v>
      </c>
      <c r="AC12" s="26" t="s">
        <v>655</v>
      </c>
      <c r="AD12" s="26" t="s">
        <v>656</v>
      </c>
      <c r="BD12" s="26" t="s">
        <v>700</v>
      </c>
      <c r="BE12" s="26" t="s">
        <v>701</v>
      </c>
      <c r="BF12" s="26" t="s">
        <v>702</v>
      </c>
    </row>
    <row r="13" spans="1:16" ht="12.75">
      <c r="A13" s="3"/>
      <c r="B13" s="12" t="s">
        <v>157</v>
      </c>
      <c r="C13" s="12"/>
      <c r="D13" s="12" t="s">
        <v>302</v>
      </c>
      <c r="E13" s="3" t="s">
        <v>6</v>
      </c>
      <c r="F13" s="3" t="s">
        <v>6</v>
      </c>
      <c r="G13" s="3" t="s">
        <v>6</v>
      </c>
      <c r="H13" s="33">
        <f>H14+H17+H24+H43+H53+H65+H68+H83+H99+H116+H119+H149+H164+H179+H215+H232+H236+H251+H254+H270+H279+H288+H298+H309+H327+H333</f>
        <v>1733096.2164999994</v>
      </c>
      <c r="I13" s="53"/>
      <c r="J13" s="53">
        <f>J14+J17+J24+J43+J53+J65+J68+J83+J99+J116+J119+J149+J164+J179+J215+J232+J236+J251+J254+J270+J279+J288+J298+J309+J327+J333</f>
        <v>331.55560850999996</v>
      </c>
      <c r="L13" s="3" t="s">
        <v>6</v>
      </c>
      <c r="M13" s="3" t="s">
        <v>6</v>
      </c>
      <c r="N13" s="33">
        <f>N14+N17+N24+N43+N53+N65+N68+N83+N99+N116+N119+N149+N164+N179+N215+N232+N236+N251+N254+N270+N279+N288+N298+N309+N327+N333+N342+N351+N353</f>
        <v>2309310.6020543</v>
      </c>
      <c r="O13" s="53"/>
      <c r="P13" s="53">
        <f>P14+P17+P24+P43+P53+P65+P68+P83+P99+P116+P119+P149+P164+P179+P215+P232+P236+P251+P254+P270+P279+P288+P298+P309+P327+P333</f>
        <v>360.68903595</v>
      </c>
    </row>
    <row r="14" spans="1:43" ht="12.75">
      <c r="A14" s="4"/>
      <c r="B14" s="13" t="s">
        <v>157</v>
      </c>
      <c r="C14" s="13" t="s">
        <v>17</v>
      </c>
      <c r="D14" s="13" t="s">
        <v>303</v>
      </c>
      <c r="E14" s="4" t="s">
        <v>6</v>
      </c>
      <c r="F14" s="4" t="s">
        <v>6</v>
      </c>
      <c r="G14" s="4" t="s">
        <v>6</v>
      </c>
      <c r="H14" s="34">
        <f>SUM(H15:H15)</f>
        <v>660</v>
      </c>
      <c r="I14" s="54"/>
      <c r="J14" s="54">
        <f>SUM(J15:J15)</f>
        <v>0</v>
      </c>
      <c r="L14" s="4" t="s">
        <v>6</v>
      </c>
      <c r="M14" s="4" t="s">
        <v>6</v>
      </c>
      <c r="N14" s="34">
        <f>SUM(N15:N15)</f>
        <v>660</v>
      </c>
      <c r="O14" s="54"/>
      <c r="P14" s="54">
        <f>SUM(P15:P15)</f>
        <v>0</v>
      </c>
      <c r="AE14" s="26" t="s">
        <v>157</v>
      </c>
      <c r="AO14" s="34">
        <f>SUM(AF15:AF15)</f>
        <v>0</v>
      </c>
      <c r="AP14" s="34">
        <f>SUM(AG15:AG15)</f>
        <v>0</v>
      </c>
      <c r="AQ14" s="34">
        <f>SUM(AH15:AH15)</f>
        <v>660</v>
      </c>
    </row>
    <row r="15" spans="1:58" ht="12.75">
      <c r="A15" s="41" t="s">
        <v>7</v>
      </c>
      <c r="B15" s="41" t="s">
        <v>157</v>
      </c>
      <c r="C15" s="41" t="s">
        <v>160</v>
      </c>
      <c r="D15" s="41" t="s">
        <v>304</v>
      </c>
      <c r="E15" s="41" t="s">
        <v>628</v>
      </c>
      <c r="F15" s="44">
        <v>15</v>
      </c>
      <c r="G15" s="45">
        <v>44</v>
      </c>
      <c r="H15" s="69">
        <f>F15*G15</f>
        <v>660</v>
      </c>
      <c r="I15" s="55">
        <v>0</v>
      </c>
      <c r="J15" s="55">
        <f>F15*I15</f>
        <v>0</v>
      </c>
      <c r="L15" s="44">
        <v>15</v>
      </c>
      <c r="M15" s="45">
        <v>44</v>
      </c>
      <c r="N15" s="69">
        <f>L15*M15</f>
        <v>660</v>
      </c>
      <c r="O15" s="55">
        <v>0</v>
      </c>
      <c r="P15" s="55">
        <f>L15*O15</f>
        <v>0</v>
      </c>
      <c r="V15" s="31">
        <f>IF(AM15="5",BF15,0)</f>
        <v>0</v>
      </c>
      <c r="X15" s="31">
        <f>IF(AM15="1",BD15,0)</f>
        <v>0</v>
      </c>
      <c r="Y15" s="31">
        <f>IF(AM15="1",BE15,0)</f>
        <v>660</v>
      </c>
      <c r="Z15" s="31">
        <f>IF(AM15="7",BD15,0)</f>
        <v>0</v>
      </c>
      <c r="AA15" s="31">
        <f>IF(AM15="7",BE15,0)</f>
        <v>0</v>
      </c>
      <c r="AB15" s="31">
        <f>IF(AM15="2",BD15,0)</f>
        <v>0</v>
      </c>
      <c r="AC15" s="31">
        <f>IF(AM15="2",BE15,0)</f>
        <v>0</v>
      </c>
      <c r="AD15" s="31">
        <f>IF(AM15="0",BF15,0)</f>
        <v>0</v>
      </c>
      <c r="AE15" s="26" t="s">
        <v>157</v>
      </c>
      <c r="AF15" s="19">
        <f>IF(AJ15=0,H15,0)</f>
        <v>0</v>
      </c>
      <c r="AG15" s="19">
        <f>IF(AJ15=15,H15,0)</f>
        <v>0</v>
      </c>
      <c r="AH15" s="19">
        <f>IF(AJ15=21,H15,0)</f>
        <v>660</v>
      </c>
      <c r="AJ15" s="31">
        <v>21</v>
      </c>
      <c r="AK15" s="31">
        <f>G15*0</f>
        <v>0</v>
      </c>
      <c r="AL15" s="31">
        <f>G15*(1-0)</f>
        <v>44</v>
      </c>
      <c r="AM15" s="27" t="s">
        <v>7</v>
      </c>
      <c r="AR15" s="31">
        <f>AS15+AT15</f>
        <v>660</v>
      </c>
      <c r="AS15" s="31">
        <f>F15*AK15</f>
        <v>0</v>
      </c>
      <c r="AT15" s="31">
        <f>F15*AL15</f>
        <v>660</v>
      </c>
      <c r="AU15" s="32" t="s">
        <v>657</v>
      </c>
      <c r="AV15" s="32" t="s">
        <v>684</v>
      </c>
      <c r="AW15" s="26" t="s">
        <v>698</v>
      </c>
      <c r="AY15" s="31">
        <f>AS15+AT15</f>
        <v>660</v>
      </c>
      <c r="AZ15" s="31">
        <f>G15/(100-BA15)*100</f>
        <v>44</v>
      </c>
      <c r="BA15" s="31">
        <v>0</v>
      </c>
      <c r="BB15" s="31">
        <f>J15</f>
        <v>0</v>
      </c>
      <c r="BD15" s="19">
        <f>F15*AK15</f>
        <v>0</v>
      </c>
      <c r="BE15" s="19">
        <f>F15*AL15</f>
        <v>660</v>
      </c>
      <c r="BF15" s="19">
        <f>F15*G15</f>
        <v>660</v>
      </c>
    </row>
    <row r="16" spans="1:16" ht="12.75">
      <c r="A16" s="47"/>
      <c r="B16" s="47"/>
      <c r="C16" s="47"/>
      <c r="D16" s="48" t="s">
        <v>305</v>
      </c>
      <c r="E16" s="47"/>
      <c r="F16" s="49">
        <v>15</v>
      </c>
      <c r="G16" s="47"/>
      <c r="H16" s="47"/>
      <c r="I16" s="56"/>
      <c r="J16" s="56"/>
      <c r="L16" s="49">
        <v>15</v>
      </c>
      <c r="M16" s="47"/>
      <c r="N16" s="47"/>
      <c r="O16" s="56"/>
      <c r="P16" s="56"/>
    </row>
    <row r="17" spans="1:43" ht="12.75">
      <c r="A17" s="65"/>
      <c r="B17" s="66" t="s">
        <v>157</v>
      </c>
      <c r="C17" s="66" t="s">
        <v>18</v>
      </c>
      <c r="D17" s="66" t="s">
        <v>306</v>
      </c>
      <c r="E17" s="65" t="s">
        <v>6</v>
      </c>
      <c r="F17" s="65" t="s">
        <v>6</v>
      </c>
      <c r="G17" s="65" t="s">
        <v>6</v>
      </c>
      <c r="H17" s="67">
        <f>SUM(H18:H22)</f>
        <v>20513.15</v>
      </c>
      <c r="I17" s="68"/>
      <c r="J17" s="68">
        <f>SUM(J18:J22)</f>
        <v>0</v>
      </c>
      <c r="L17" s="65" t="s">
        <v>6</v>
      </c>
      <c r="M17" s="65" t="s">
        <v>6</v>
      </c>
      <c r="N17" s="67">
        <f>SUM(N18:N22)</f>
        <v>20513.15</v>
      </c>
      <c r="O17" s="68"/>
      <c r="P17" s="68">
        <f>SUM(P18:P22)</f>
        <v>0</v>
      </c>
      <c r="AE17" s="26" t="s">
        <v>157</v>
      </c>
      <c r="AO17" s="34">
        <f>SUM(AF18:AF22)</f>
        <v>0</v>
      </c>
      <c r="AP17" s="34">
        <f>SUM(AG18:AG22)</f>
        <v>0</v>
      </c>
      <c r="AQ17" s="34">
        <f>SUM(AH18:AH22)</f>
        <v>20513.15</v>
      </c>
    </row>
    <row r="18" spans="1:58" ht="12.75">
      <c r="A18" s="41" t="s">
        <v>8</v>
      </c>
      <c r="B18" s="41" t="s">
        <v>157</v>
      </c>
      <c r="C18" s="41" t="s">
        <v>161</v>
      </c>
      <c r="D18" s="41" t="s">
        <v>307</v>
      </c>
      <c r="E18" s="41" t="s">
        <v>629</v>
      </c>
      <c r="F18" s="44">
        <v>32.9</v>
      </c>
      <c r="G18" s="45">
        <v>105</v>
      </c>
      <c r="H18" s="69">
        <f>F18*G18</f>
        <v>3454.5</v>
      </c>
      <c r="I18" s="55">
        <v>0</v>
      </c>
      <c r="J18" s="55">
        <f>F18*I18</f>
        <v>0</v>
      </c>
      <c r="L18" s="44">
        <v>32.9</v>
      </c>
      <c r="M18" s="45">
        <v>105</v>
      </c>
      <c r="N18" s="69">
        <f>L18*M18</f>
        <v>3454.5</v>
      </c>
      <c r="O18" s="55">
        <v>0</v>
      </c>
      <c r="P18" s="55">
        <f>L18*O18</f>
        <v>0</v>
      </c>
      <c r="V18" s="31">
        <f>IF(AM18="5",BF18,0)</f>
        <v>0</v>
      </c>
      <c r="X18" s="31">
        <f>IF(AM18="1",BD18,0)</f>
        <v>0</v>
      </c>
      <c r="Y18" s="31">
        <f>IF(AM18="1",BE18,0)</f>
        <v>3454.5</v>
      </c>
      <c r="Z18" s="31">
        <f>IF(AM18="7",BD18,0)</f>
        <v>0</v>
      </c>
      <c r="AA18" s="31">
        <f>IF(AM18="7",BE18,0)</f>
        <v>0</v>
      </c>
      <c r="AB18" s="31">
        <f>IF(AM18="2",BD18,0)</f>
        <v>0</v>
      </c>
      <c r="AC18" s="31">
        <f>IF(AM18="2",BE18,0)</f>
        <v>0</v>
      </c>
      <c r="AD18" s="31">
        <f>IF(AM18="0",BF18,0)</f>
        <v>0</v>
      </c>
      <c r="AE18" s="26" t="s">
        <v>157</v>
      </c>
      <c r="AF18" s="19">
        <f>IF(AJ18=0,H18,0)</f>
        <v>0</v>
      </c>
      <c r="AG18" s="19">
        <f>IF(AJ18=15,H18,0)</f>
        <v>0</v>
      </c>
      <c r="AH18" s="19">
        <f>IF(AJ18=21,H18,0)</f>
        <v>3454.5</v>
      </c>
      <c r="AJ18" s="31">
        <v>21</v>
      </c>
      <c r="AK18" s="31">
        <f>G18*0</f>
        <v>0</v>
      </c>
      <c r="AL18" s="31">
        <f>G18*(1-0)</f>
        <v>105</v>
      </c>
      <c r="AM18" s="27" t="s">
        <v>7</v>
      </c>
      <c r="AR18" s="31">
        <f>AS18+AT18</f>
        <v>3454.5</v>
      </c>
      <c r="AS18" s="31">
        <f>F18*AK18</f>
        <v>0</v>
      </c>
      <c r="AT18" s="31">
        <f>F18*AL18</f>
        <v>3454.5</v>
      </c>
      <c r="AU18" s="32" t="s">
        <v>658</v>
      </c>
      <c r="AV18" s="32" t="s">
        <v>684</v>
      </c>
      <c r="AW18" s="26" t="s">
        <v>698</v>
      </c>
      <c r="AY18" s="31">
        <f>AS18+AT18</f>
        <v>3454.5</v>
      </c>
      <c r="AZ18" s="31">
        <f>G18/(100-BA18)*100</f>
        <v>105</v>
      </c>
      <c r="BA18" s="31">
        <v>0</v>
      </c>
      <c r="BB18" s="31">
        <f>J18</f>
        <v>0</v>
      </c>
      <c r="BD18" s="19">
        <f>F18*AK18</f>
        <v>0</v>
      </c>
      <c r="BE18" s="19">
        <f>F18*AL18</f>
        <v>3454.5</v>
      </c>
      <c r="BF18" s="19">
        <f>F18*G18</f>
        <v>3454.5</v>
      </c>
    </row>
    <row r="19" spans="1:16" ht="12.75">
      <c r="A19" s="47"/>
      <c r="B19" s="47"/>
      <c r="C19" s="47"/>
      <c r="D19" s="48" t="s">
        <v>308</v>
      </c>
      <c r="E19" s="47"/>
      <c r="F19" s="49">
        <v>32.9</v>
      </c>
      <c r="G19" s="47"/>
      <c r="H19" s="47"/>
      <c r="I19" s="56"/>
      <c r="J19" s="56"/>
      <c r="L19" s="49">
        <v>32.9</v>
      </c>
      <c r="M19" s="47"/>
      <c r="N19" s="47"/>
      <c r="O19" s="56"/>
      <c r="P19" s="56"/>
    </row>
    <row r="20" spans="1:58" ht="12.75">
      <c r="A20" s="41" t="s">
        <v>9</v>
      </c>
      <c r="B20" s="41" t="s">
        <v>157</v>
      </c>
      <c r="C20" s="41" t="s">
        <v>162</v>
      </c>
      <c r="D20" s="41" t="s">
        <v>309</v>
      </c>
      <c r="E20" s="41" t="s">
        <v>629</v>
      </c>
      <c r="F20" s="44">
        <v>139.825</v>
      </c>
      <c r="G20" s="45">
        <v>102</v>
      </c>
      <c r="H20" s="69">
        <f>F20*G20</f>
        <v>14262.15</v>
      </c>
      <c r="I20" s="55">
        <v>0</v>
      </c>
      <c r="J20" s="55">
        <f>F20*I20</f>
        <v>0</v>
      </c>
      <c r="L20" s="44">
        <v>139.825</v>
      </c>
      <c r="M20" s="45">
        <v>102</v>
      </c>
      <c r="N20" s="69">
        <f>L20*M20</f>
        <v>14262.15</v>
      </c>
      <c r="O20" s="55">
        <v>0</v>
      </c>
      <c r="P20" s="55">
        <f>L20*O20</f>
        <v>0</v>
      </c>
      <c r="V20" s="31">
        <f>IF(AM20="5",BF20,0)</f>
        <v>0</v>
      </c>
      <c r="X20" s="31">
        <f>IF(AM20="1",BD20,0)</f>
        <v>0</v>
      </c>
      <c r="Y20" s="31">
        <f>IF(AM20="1",BE20,0)</f>
        <v>14262.15</v>
      </c>
      <c r="Z20" s="31">
        <f>IF(AM20="7",BD20,0)</f>
        <v>0</v>
      </c>
      <c r="AA20" s="31">
        <f>IF(AM20="7",BE20,0)</f>
        <v>0</v>
      </c>
      <c r="AB20" s="31">
        <f>IF(AM20="2",BD20,0)</f>
        <v>0</v>
      </c>
      <c r="AC20" s="31">
        <f>IF(AM20="2",BE20,0)</f>
        <v>0</v>
      </c>
      <c r="AD20" s="31">
        <f>IF(AM20="0",BF20,0)</f>
        <v>0</v>
      </c>
      <c r="AE20" s="26" t="s">
        <v>157</v>
      </c>
      <c r="AF20" s="19">
        <f>IF(AJ20=0,H20,0)</f>
        <v>0</v>
      </c>
      <c r="AG20" s="19">
        <f>IF(AJ20=15,H20,0)</f>
        <v>0</v>
      </c>
      <c r="AH20" s="19">
        <f>IF(AJ20=21,H20,0)</f>
        <v>14262.15</v>
      </c>
      <c r="AJ20" s="31">
        <v>21</v>
      </c>
      <c r="AK20" s="31">
        <f>G20*0</f>
        <v>0</v>
      </c>
      <c r="AL20" s="31">
        <f>G20*(1-0)</f>
        <v>102</v>
      </c>
      <c r="AM20" s="27" t="s">
        <v>7</v>
      </c>
      <c r="AR20" s="31">
        <f>AS20+AT20</f>
        <v>14262.15</v>
      </c>
      <c r="AS20" s="31">
        <f>F20*AK20</f>
        <v>0</v>
      </c>
      <c r="AT20" s="31">
        <f>F20*AL20</f>
        <v>14262.15</v>
      </c>
      <c r="AU20" s="32" t="s">
        <v>658</v>
      </c>
      <c r="AV20" s="32" t="s">
        <v>684</v>
      </c>
      <c r="AW20" s="26" t="s">
        <v>698</v>
      </c>
      <c r="AY20" s="31">
        <f>AS20+AT20</f>
        <v>14262.15</v>
      </c>
      <c r="AZ20" s="31">
        <f>G20/(100-BA20)*100</f>
        <v>102</v>
      </c>
      <c r="BA20" s="31">
        <v>0</v>
      </c>
      <c r="BB20" s="31">
        <f>J20</f>
        <v>0</v>
      </c>
      <c r="BD20" s="19">
        <f>F20*AK20</f>
        <v>0</v>
      </c>
      <c r="BE20" s="19">
        <f>F20*AL20</f>
        <v>14262.15</v>
      </c>
      <c r="BF20" s="19">
        <f>F20*G20</f>
        <v>14262.15</v>
      </c>
    </row>
    <row r="21" spans="1:16" ht="12.75">
      <c r="A21" s="47"/>
      <c r="B21" s="47"/>
      <c r="C21" s="47"/>
      <c r="D21" s="48" t="s">
        <v>310</v>
      </c>
      <c r="E21" s="47"/>
      <c r="F21" s="49">
        <v>139.825</v>
      </c>
      <c r="G21" s="47"/>
      <c r="H21" s="47"/>
      <c r="I21" s="56"/>
      <c r="J21" s="56"/>
      <c r="L21" s="49">
        <v>139.825</v>
      </c>
      <c r="M21" s="47"/>
      <c r="N21" s="47"/>
      <c r="O21" s="56"/>
      <c r="P21" s="56"/>
    </row>
    <row r="22" spans="1:58" ht="12.75">
      <c r="A22" s="41" t="s">
        <v>10</v>
      </c>
      <c r="B22" s="41" t="s">
        <v>157</v>
      </c>
      <c r="C22" s="41" t="s">
        <v>163</v>
      </c>
      <c r="D22" s="41" t="s">
        <v>311</v>
      </c>
      <c r="E22" s="41" t="s">
        <v>629</v>
      </c>
      <c r="F22" s="44">
        <v>139.825</v>
      </c>
      <c r="G22" s="45">
        <v>20</v>
      </c>
      <c r="H22" s="69">
        <f>F22*G22</f>
        <v>2796.5</v>
      </c>
      <c r="I22" s="55">
        <v>0</v>
      </c>
      <c r="J22" s="55">
        <f>F22*I22</f>
        <v>0</v>
      </c>
      <c r="L22" s="44">
        <v>139.825</v>
      </c>
      <c r="M22" s="45">
        <v>20</v>
      </c>
      <c r="N22" s="69">
        <f>L22*M22</f>
        <v>2796.5</v>
      </c>
      <c r="O22" s="55">
        <v>0</v>
      </c>
      <c r="P22" s="55">
        <f>L22*O22</f>
        <v>0</v>
      </c>
      <c r="V22" s="31">
        <f>IF(AM22="5",BF22,0)</f>
        <v>0</v>
      </c>
      <c r="X22" s="31">
        <f>IF(AM22="1",BD22,0)</f>
        <v>0</v>
      </c>
      <c r="Y22" s="31">
        <f>IF(AM22="1",BE22,0)</f>
        <v>2796.5</v>
      </c>
      <c r="Z22" s="31">
        <f>IF(AM22="7",BD22,0)</f>
        <v>0</v>
      </c>
      <c r="AA22" s="31">
        <f>IF(AM22="7",BE22,0)</f>
        <v>0</v>
      </c>
      <c r="AB22" s="31">
        <f>IF(AM22="2",BD22,0)</f>
        <v>0</v>
      </c>
      <c r="AC22" s="31">
        <f>IF(AM22="2",BE22,0)</f>
        <v>0</v>
      </c>
      <c r="AD22" s="31">
        <f>IF(AM22="0",BF22,0)</f>
        <v>0</v>
      </c>
      <c r="AE22" s="26" t="s">
        <v>157</v>
      </c>
      <c r="AF22" s="19">
        <f>IF(AJ22=0,H22,0)</f>
        <v>0</v>
      </c>
      <c r="AG22" s="19">
        <f>IF(AJ22=15,H22,0)</f>
        <v>0</v>
      </c>
      <c r="AH22" s="19">
        <f>IF(AJ22=21,H22,0)</f>
        <v>2796.5</v>
      </c>
      <c r="AJ22" s="31">
        <v>21</v>
      </c>
      <c r="AK22" s="31">
        <f>G22*0</f>
        <v>0</v>
      </c>
      <c r="AL22" s="31">
        <f>G22*(1-0)</f>
        <v>20</v>
      </c>
      <c r="AM22" s="27" t="s">
        <v>7</v>
      </c>
      <c r="AR22" s="31">
        <f>AS22+AT22</f>
        <v>2796.5</v>
      </c>
      <c r="AS22" s="31">
        <f>F22*AK22</f>
        <v>0</v>
      </c>
      <c r="AT22" s="31">
        <f>F22*AL22</f>
        <v>2796.5</v>
      </c>
      <c r="AU22" s="32" t="s">
        <v>658</v>
      </c>
      <c r="AV22" s="32" t="s">
        <v>684</v>
      </c>
      <c r="AW22" s="26" t="s">
        <v>698</v>
      </c>
      <c r="AY22" s="31">
        <f>AS22+AT22</f>
        <v>2796.5</v>
      </c>
      <c r="AZ22" s="31">
        <f>G22/(100-BA22)*100</f>
        <v>20</v>
      </c>
      <c r="BA22" s="31">
        <v>0</v>
      </c>
      <c r="BB22" s="31">
        <f>J22</f>
        <v>0</v>
      </c>
      <c r="BD22" s="19">
        <f>F22*AK22</f>
        <v>0</v>
      </c>
      <c r="BE22" s="19">
        <f>F22*AL22</f>
        <v>2796.5</v>
      </c>
      <c r="BF22" s="19">
        <f>F22*G22</f>
        <v>2796.5</v>
      </c>
    </row>
    <row r="23" spans="1:16" ht="12.75">
      <c r="A23" s="42"/>
      <c r="B23" s="42"/>
      <c r="C23" s="42"/>
      <c r="D23" s="43" t="s">
        <v>310</v>
      </c>
      <c r="E23" s="42"/>
      <c r="F23" s="46">
        <v>139.825</v>
      </c>
      <c r="G23" s="42"/>
      <c r="H23" s="42"/>
      <c r="I23" s="57"/>
      <c r="J23" s="57"/>
      <c r="L23" s="46">
        <v>139.825</v>
      </c>
      <c r="M23" s="42"/>
      <c r="N23" s="42"/>
      <c r="O23" s="57"/>
      <c r="P23" s="57"/>
    </row>
    <row r="24" spans="1:43" ht="12.75">
      <c r="A24" s="4"/>
      <c r="B24" s="13" t="s">
        <v>157</v>
      </c>
      <c r="C24" s="13" t="s">
        <v>19</v>
      </c>
      <c r="D24" s="13" t="s">
        <v>312</v>
      </c>
      <c r="E24" s="4" t="s">
        <v>6</v>
      </c>
      <c r="F24" s="4" t="s">
        <v>6</v>
      </c>
      <c r="G24" s="4"/>
      <c r="H24" s="34">
        <f>SUM(H25:H41)</f>
        <v>55625.908</v>
      </c>
      <c r="I24" s="54"/>
      <c r="J24" s="54">
        <f>SUM(J25:J41)</f>
        <v>0</v>
      </c>
      <c r="L24" s="4" t="s">
        <v>6</v>
      </c>
      <c r="M24" s="4"/>
      <c r="N24" s="34">
        <f>SUM(N25:N41)</f>
        <v>62317.413</v>
      </c>
      <c r="O24" s="54"/>
      <c r="P24" s="54">
        <f>SUM(P25:P41)</f>
        <v>0</v>
      </c>
      <c r="AE24" s="26" t="s">
        <v>157</v>
      </c>
      <c r="AO24" s="34">
        <f>SUM(AF25:AF41)</f>
        <v>0</v>
      </c>
      <c r="AP24" s="34">
        <f>SUM(AG25:AG41)</f>
        <v>0</v>
      </c>
      <c r="AQ24" s="34">
        <f>SUM(AH25:AH41)</f>
        <v>55625.908</v>
      </c>
    </row>
    <row r="25" spans="1:58" ht="12.75">
      <c r="A25" s="41" t="s">
        <v>11</v>
      </c>
      <c r="B25" s="41" t="s">
        <v>157</v>
      </c>
      <c r="C25" s="41" t="s">
        <v>164</v>
      </c>
      <c r="D25" s="41" t="s">
        <v>313</v>
      </c>
      <c r="E25" s="41" t="s">
        <v>629</v>
      </c>
      <c r="F25" s="44">
        <v>129.276</v>
      </c>
      <c r="G25" s="45">
        <v>131</v>
      </c>
      <c r="H25" s="69">
        <f>F25*G25</f>
        <v>16935.156000000003</v>
      </c>
      <c r="I25" s="55">
        <v>0</v>
      </c>
      <c r="J25" s="55">
        <f>F25*I25</f>
        <v>0</v>
      </c>
      <c r="L25" s="44">
        <v>129.276</v>
      </c>
      <c r="M25" s="45">
        <v>131</v>
      </c>
      <c r="N25" s="69">
        <f>L25*M25</f>
        <v>16935.156000000003</v>
      </c>
      <c r="O25" s="55">
        <v>0</v>
      </c>
      <c r="P25" s="55">
        <f>L25*O25</f>
        <v>0</v>
      </c>
      <c r="V25" s="31">
        <f>IF(AM25="5",BF25,0)</f>
        <v>0</v>
      </c>
      <c r="X25" s="31">
        <f>IF(AM25="1",BD25,0)</f>
        <v>0</v>
      </c>
      <c r="Y25" s="31">
        <f>IF(AM25="1",BE25,0)</f>
        <v>16935.156000000003</v>
      </c>
      <c r="Z25" s="31">
        <f>IF(AM25="7",BD25,0)</f>
        <v>0</v>
      </c>
      <c r="AA25" s="31">
        <f>IF(AM25="7",BE25,0)</f>
        <v>0</v>
      </c>
      <c r="AB25" s="31">
        <f>IF(AM25="2",BD25,0)</f>
        <v>0</v>
      </c>
      <c r="AC25" s="31">
        <f>IF(AM25="2",BE25,0)</f>
        <v>0</v>
      </c>
      <c r="AD25" s="31">
        <f>IF(AM25="0",BF25,0)</f>
        <v>0</v>
      </c>
      <c r="AE25" s="26" t="s">
        <v>157</v>
      </c>
      <c r="AF25" s="19">
        <f>IF(AJ25=0,H25,0)</f>
        <v>0</v>
      </c>
      <c r="AG25" s="19">
        <f>IF(AJ25=15,H25,0)</f>
        <v>0</v>
      </c>
      <c r="AH25" s="19">
        <f>IF(AJ25=21,H25,0)</f>
        <v>16935.156000000003</v>
      </c>
      <c r="AJ25" s="31">
        <v>21</v>
      </c>
      <c r="AK25" s="31">
        <f>G25*0</f>
        <v>0</v>
      </c>
      <c r="AL25" s="31">
        <f>G25*(1-0)</f>
        <v>131</v>
      </c>
      <c r="AM25" s="27" t="s">
        <v>7</v>
      </c>
      <c r="AR25" s="31">
        <f>AS25+AT25</f>
        <v>16935.156000000003</v>
      </c>
      <c r="AS25" s="31">
        <f>F25*AK25</f>
        <v>0</v>
      </c>
      <c r="AT25" s="31">
        <f>F25*AL25</f>
        <v>16935.156000000003</v>
      </c>
      <c r="AU25" s="32" t="s">
        <v>659</v>
      </c>
      <c r="AV25" s="32" t="s">
        <v>684</v>
      </c>
      <c r="AW25" s="26" t="s">
        <v>698</v>
      </c>
      <c r="AY25" s="31">
        <f>AS25+AT25</f>
        <v>16935.156000000003</v>
      </c>
      <c r="AZ25" s="31">
        <f>G25/(100-BA25)*100</f>
        <v>131</v>
      </c>
      <c r="BA25" s="31">
        <v>0</v>
      </c>
      <c r="BB25" s="31">
        <f>J25</f>
        <v>0</v>
      </c>
      <c r="BD25" s="19">
        <f>F25*AK25</f>
        <v>0</v>
      </c>
      <c r="BE25" s="19">
        <f>F25*AL25</f>
        <v>16935.156000000003</v>
      </c>
      <c r="BF25" s="19">
        <f>F25*G25</f>
        <v>16935.156000000003</v>
      </c>
    </row>
    <row r="26" spans="1:16" ht="12.75">
      <c r="A26" s="47"/>
      <c r="B26" s="47"/>
      <c r="C26" s="47"/>
      <c r="D26" s="48" t="s">
        <v>314</v>
      </c>
      <c r="E26" s="47"/>
      <c r="F26" s="49">
        <v>129.276</v>
      </c>
      <c r="G26" s="47"/>
      <c r="H26" s="70"/>
      <c r="I26" s="56"/>
      <c r="J26" s="56"/>
      <c r="L26" s="49">
        <v>129.276</v>
      </c>
      <c r="M26" s="47"/>
      <c r="N26" s="70"/>
      <c r="O26" s="56"/>
      <c r="P26" s="56"/>
    </row>
    <row r="27" spans="1:58" ht="12.75">
      <c r="A27" s="41" t="s">
        <v>12</v>
      </c>
      <c r="B27" s="41" t="s">
        <v>157</v>
      </c>
      <c r="C27" s="41" t="s">
        <v>165</v>
      </c>
      <c r="D27" s="41" t="s">
        <v>315</v>
      </c>
      <c r="E27" s="41" t="s">
        <v>629</v>
      </c>
      <c r="F27" s="44">
        <v>136.08</v>
      </c>
      <c r="G27" s="45">
        <v>20</v>
      </c>
      <c r="H27" s="69">
        <f>F27*G27</f>
        <v>2721.6000000000004</v>
      </c>
      <c r="I27" s="55">
        <v>0</v>
      </c>
      <c r="J27" s="55">
        <f>F27*I27</f>
        <v>0</v>
      </c>
      <c r="L27" s="44">
        <v>136.08</v>
      </c>
      <c r="M27" s="45">
        <v>20</v>
      </c>
      <c r="N27" s="69">
        <f>L27*M27</f>
        <v>2721.6000000000004</v>
      </c>
      <c r="O27" s="55">
        <v>0</v>
      </c>
      <c r="P27" s="55">
        <f>L27*O27</f>
        <v>0</v>
      </c>
      <c r="V27" s="31">
        <f>IF(AM27="5",BF27,0)</f>
        <v>0</v>
      </c>
      <c r="X27" s="31">
        <f>IF(AM27="1",BD27,0)</f>
        <v>0</v>
      </c>
      <c r="Y27" s="31">
        <f>IF(AM27="1",BE27,0)</f>
        <v>2721.6000000000004</v>
      </c>
      <c r="Z27" s="31">
        <f>IF(AM27="7",BD27,0)</f>
        <v>0</v>
      </c>
      <c r="AA27" s="31">
        <f>IF(AM27="7",BE27,0)</f>
        <v>0</v>
      </c>
      <c r="AB27" s="31">
        <f>IF(AM27="2",BD27,0)</f>
        <v>0</v>
      </c>
      <c r="AC27" s="31">
        <f>IF(AM27="2",BE27,0)</f>
        <v>0</v>
      </c>
      <c r="AD27" s="31">
        <f>IF(AM27="0",BF27,0)</f>
        <v>0</v>
      </c>
      <c r="AE27" s="26" t="s">
        <v>157</v>
      </c>
      <c r="AF27" s="19">
        <f>IF(AJ27=0,H27,0)</f>
        <v>0</v>
      </c>
      <c r="AG27" s="19">
        <f>IF(AJ27=15,H27,0)</f>
        <v>0</v>
      </c>
      <c r="AH27" s="19">
        <f>IF(AJ27=21,H27,0)</f>
        <v>2721.6000000000004</v>
      </c>
      <c r="AJ27" s="31">
        <v>21</v>
      </c>
      <c r="AK27" s="31">
        <f>G27*0</f>
        <v>0</v>
      </c>
      <c r="AL27" s="31">
        <f>G27*(1-0)</f>
        <v>20</v>
      </c>
      <c r="AM27" s="27" t="s">
        <v>7</v>
      </c>
      <c r="AR27" s="31">
        <f>AS27+AT27</f>
        <v>2721.6000000000004</v>
      </c>
      <c r="AS27" s="31">
        <f>F27*AK27</f>
        <v>0</v>
      </c>
      <c r="AT27" s="31">
        <f>F27*AL27</f>
        <v>2721.6000000000004</v>
      </c>
      <c r="AU27" s="32" t="s">
        <v>659</v>
      </c>
      <c r="AV27" s="32" t="s">
        <v>684</v>
      </c>
      <c r="AW27" s="26" t="s">
        <v>698</v>
      </c>
      <c r="AY27" s="31">
        <f>AS27+AT27</f>
        <v>2721.6000000000004</v>
      </c>
      <c r="AZ27" s="31">
        <f>G27/(100-BA27)*100</f>
        <v>20</v>
      </c>
      <c r="BA27" s="31">
        <v>0</v>
      </c>
      <c r="BB27" s="31">
        <f>J27</f>
        <v>0</v>
      </c>
      <c r="BD27" s="19">
        <f>F27*AK27</f>
        <v>0</v>
      </c>
      <c r="BE27" s="19">
        <f>F27*AL27</f>
        <v>2721.6000000000004</v>
      </c>
      <c r="BF27" s="19">
        <f>F27*G27</f>
        <v>2721.6000000000004</v>
      </c>
    </row>
    <row r="28" spans="1:16" ht="12.75">
      <c r="A28" s="47"/>
      <c r="B28" s="47"/>
      <c r="C28" s="47"/>
      <c r="D28" s="48" t="s">
        <v>316</v>
      </c>
      <c r="E28" s="47"/>
      <c r="F28" s="49">
        <v>136.08</v>
      </c>
      <c r="G28" s="47"/>
      <c r="H28" s="70"/>
      <c r="I28" s="56"/>
      <c r="J28" s="56"/>
      <c r="L28" s="49">
        <v>136.08</v>
      </c>
      <c r="M28" s="47"/>
      <c r="N28" s="70"/>
      <c r="O28" s="56"/>
      <c r="P28" s="56"/>
    </row>
    <row r="29" spans="1:58" ht="12.75">
      <c r="A29" s="41" t="s">
        <v>13</v>
      </c>
      <c r="B29" s="41" t="s">
        <v>157</v>
      </c>
      <c r="C29" s="41" t="s">
        <v>166</v>
      </c>
      <c r="D29" s="41" t="s">
        <v>317</v>
      </c>
      <c r="E29" s="41" t="s">
        <v>629</v>
      </c>
      <c r="F29" s="44">
        <v>8.611</v>
      </c>
      <c r="G29" s="45">
        <v>649</v>
      </c>
      <c r="H29" s="69">
        <f>F29*G29</f>
        <v>5588.539000000001</v>
      </c>
      <c r="I29" s="55">
        <v>0</v>
      </c>
      <c r="J29" s="55">
        <f>F29*I29</f>
        <v>0</v>
      </c>
      <c r="L29" s="102">
        <v>18.486</v>
      </c>
      <c r="M29" s="45">
        <v>649</v>
      </c>
      <c r="N29" s="69">
        <f>L29*M29</f>
        <v>11997.414</v>
      </c>
      <c r="O29" s="55">
        <v>0</v>
      </c>
      <c r="P29" s="55">
        <f>L29*O29</f>
        <v>0</v>
      </c>
      <c r="V29" s="31">
        <f>IF(AM29="5",BF29,0)</f>
        <v>0</v>
      </c>
      <c r="X29" s="31">
        <f>IF(AM29="1",BD29,0)</f>
        <v>0</v>
      </c>
      <c r="Y29" s="31">
        <f>IF(AM29="1",BE29,0)</f>
        <v>5588.539000000001</v>
      </c>
      <c r="Z29" s="31">
        <f>IF(AM29="7",BD29,0)</f>
        <v>0</v>
      </c>
      <c r="AA29" s="31">
        <f>IF(AM29="7",BE29,0)</f>
        <v>0</v>
      </c>
      <c r="AB29" s="31">
        <f>IF(AM29="2",BD29,0)</f>
        <v>0</v>
      </c>
      <c r="AC29" s="31">
        <f>IF(AM29="2",BE29,0)</f>
        <v>0</v>
      </c>
      <c r="AD29" s="31">
        <f>IF(AM29="0",BF29,0)</f>
        <v>0</v>
      </c>
      <c r="AE29" s="26" t="s">
        <v>157</v>
      </c>
      <c r="AF29" s="19">
        <f>IF(AJ29=0,H29,0)</f>
        <v>0</v>
      </c>
      <c r="AG29" s="19">
        <f>IF(AJ29=15,H29,0)</f>
        <v>0</v>
      </c>
      <c r="AH29" s="19">
        <f>IF(AJ29=21,H29,0)</f>
        <v>5588.539000000001</v>
      </c>
      <c r="AJ29" s="31">
        <v>21</v>
      </c>
      <c r="AK29" s="31">
        <f>G29*0</f>
        <v>0</v>
      </c>
      <c r="AL29" s="31">
        <f>G29*(1-0)</f>
        <v>649</v>
      </c>
      <c r="AM29" s="27" t="s">
        <v>7</v>
      </c>
      <c r="AR29" s="31">
        <f>AS29+AT29</f>
        <v>5588.539000000001</v>
      </c>
      <c r="AS29" s="31">
        <f>F29*AK29</f>
        <v>0</v>
      </c>
      <c r="AT29" s="31">
        <f>F29*AL29</f>
        <v>5588.539000000001</v>
      </c>
      <c r="AU29" s="32" t="s">
        <v>659</v>
      </c>
      <c r="AV29" s="32" t="s">
        <v>684</v>
      </c>
      <c r="AW29" s="26" t="s">
        <v>698</v>
      </c>
      <c r="AY29" s="31">
        <f>AS29+AT29</f>
        <v>5588.539000000001</v>
      </c>
      <c r="AZ29" s="31">
        <f>G29/(100-BA29)*100</f>
        <v>649</v>
      </c>
      <c r="BA29" s="31">
        <v>0</v>
      </c>
      <c r="BB29" s="31">
        <f>J29</f>
        <v>0</v>
      </c>
      <c r="BD29" s="19">
        <f>F29*AK29</f>
        <v>0</v>
      </c>
      <c r="BE29" s="19">
        <f>F29*AL29</f>
        <v>5588.539000000001</v>
      </c>
      <c r="BF29" s="19">
        <f>F29*G29</f>
        <v>5588.539000000001</v>
      </c>
    </row>
    <row r="30" spans="1:16" ht="12.75">
      <c r="A30" s="47"/>
      <c r="B30" s="47"/>
      <c r="C30" s="47"/>
      <c r="D30" s="48" t="s">
        <v>318</v>
      </c>
      <c r="E30" s="47"/>
      <c r="F30" s="49">
        <v>7.9</v>
      </c>
      <c r="G30" s="47"/>
      <c r="H30" s="70"/>
      <c r="I30" s="56"/>
      <c r="J30" s="56"/>
      <c r="L30" s="49"/>
      <c r="M30" s="47"/>
      <c r="N30" s="70"/>
      <c r="O30" s="56"/>
      <c r="P30" s="56"/>
    </row>
    <row r="31" spans="1:16" ht="12.75">
      <c r="A31" s="47"/>
      <c r="B31" s="47"/>
      <c r="C31" s="47"/>
      <c r="D31" s="48" t="s">
        <v>319</v>
      </c>
      <c r="E31" s="47"/>
      <c r="F31" s="49">
        <v>0.711</v>
      </c>
      <c r="G31" s="47"/>
      <c r="H31" s="70"/>
      <c r="I31" s="56"/>
      <c r="J31" s="56"/>
      <c r="L31" s="49"/>
      <c r="M31" s="47"/>
      <c r="N31" s="70"/>
      <c r="O31" s="56"/>
      <c r="P31" s="56"/>
    </row>
    <row r="32" spans="1:58" ht="12.75">
      <c r="A32" s="41" t="s">
        <v>14</v>
      </c>
      <c r="B32" s="41" t="s">
        <v>157</v>
      </c>
      <c r="C32" s="41" t="s">
        <v>167</v>
      </c>
      <c r="D32" s="41" t="s">
        <v>320</v>
      </c>
      <c r="E32" s="41" t="s">
        <v>629</v>
      </c>
      <c r="F32" s="44">
        <v>9.065</v>
      </c>
      <c r="G32" s="45">
        <v>30</v>
      </c>
      <c r="H32" s="69">
        <f>F32*G32</f>
        <v>271.95</v>
      </c>
      <c r="I32" s="55">
        <v>0</v>
      </c>
      <c r="J32" s="55">
        <f>F32*I32</f>
        <v>0</v>
      </c>
      <c r="L32" s="102">
        <f>L29</f>
        <v>18.486</v>
      </c>
      <c r="M32" s="45">
        <v>30</v>
      </c>
      <c r="N32" s="69">
        <f>L32*M32</f>
        <v>554.58</v>
      </c>
      <c r="O32" s="55">
        <v>0</v>
      </c>
      <c r="P32" s="55">
        <f>L32*O32</f>
        <v>0</v>
      </c>
      <c r="V32" s="31">
        <f>IF(AM32="5",BF32,0)</f>
        <v>0</v>
      </c>
      <c r="X32" s="31">
        <f>IF(AM32="1",BD32,0)</f>
        <v>0</v>
      </c>
      <c r="Y32" s="31">
        <f>IF(AM32="1",BE32,0)</f>
        <v>271.95</v>
      </c>
      <c r="Z32" s="31">
        <f>IF(AM32="7",BD32,0)</f>
        <v>0</v>
      </c>
      <c r="AA32" s="31">
        <f>IF(AM32="7",BE32,0)</f>
        <v>0</v>
      </c>
      <c r="AB32" s="31">
        <f>IF(AM32="2",BD32,0)</f>
        <v>0</v>
      </c>
      <c r="AC32" s="31">
        <f>IF(AM32="2",BE32,0)</f>
        <v>0</v>
      </c>
      <c r="AD32" s="31">
        <f>IF(AM32="0",BF32,0)</f>
        <v>0</v>
      </c>
      <c r="AE32" s="26" t="s">
        <v>157</v>
      </c>
      <c r="AF32" s="19">
        <f>IF(AJ32=0,H32,0)</f>
        <v>0</v>
      </c>
      <c r="AG32" s="19">
        <f>IF(AJ32=15,H32,0)</f>
        <v>0</v>
      </c>
      <c r="AH32" s="19">
        <f>IF(AJ32=21,H32,0)</f>
        <v>271.95</v>
      </c>
      <c r="AJ32" s="31">
        <v>21</v>
      </c>
      <c r="AK32" s="31">
        <f>G32*0</f>
        <v>0</v>
      </c>
      <c r="AL32" s="31">
        <f>G32*(1-0)</f>
        <v>30</v>
      </c>
      <c r="AM32" s="27" t="s">
        <v>7</v>
      </c>
      <c r="AR32" s="31">
        <f>AS32+AT32</f>
        <v>271.95</v>
      </c>
      <c r="AS32" s="31">
        <f>F32*AK32</f>
        <v>0</v>
      </c>
      <c r="AT32" s="31">
        <f>F32*AL32</f>
        <v>271.95</v>
      </c>
      <c r="AU32" s="32" t="s">
        <v>659</v>
      </c>
      <c r="AV32" s="32" t="s">
        <v>684</v>
      </c>
      <c r="AW32" s="26" t="s">
        <v>698</v>
      </c>
      <c r="AY32" s="31">
        <f>AS32+AT32</f>
        <v>271.95</v>
      </c>
      <c r="AZ32" s="31">
        <f>G32/(100-BA32)*100</f>
        <v>30</v>
      </c>
      <c r="BA32" s="31">
        <v>0</v>
      </c>
      <c r="BB32" s="31">
        <f>J32</f>
        <v>0</v>
      </c>
      <c r="BD32" s="19">
        <f>F32*AK32</f>
        <v>0</v>
      </c>
      <c r="BE32" s="19">
        <f>F32*AL32</f>
        <v>271.95</v>
      </c>
      <c r="BF32" s="19">
        <f>F32*G32</f>
        <v>271.95</v>
      </c>
    </row>
    <row r="33" spans="1:16" ht="12.75">
      <c r="A33" s="47"/>
      <c r="B33" s="47"/>
      <c r="C33" s="47"/>
      <c r="D33" s="48" t="s">
        <v>321</v>
      </c>
      <c r="E33" s="47"/>
      <c r="F33" s="49">
        <v>8.316</v>
      </c>
      <c r="G33" s="47"/>
      <c r="H33" s="70"/>
      <c r="I33" s="56"/>
      <c r="J33" s="56"/>
      <c r="L33" s="49"/>
      <c r="M33" s="47"/>
      <c r="N33" s="70"/>
      <c r="O33" s="56"/>
      <c r="P33" s="56"/>
    </row>
    <row r="34" spans="1:16" ht="12.75">
      <c r="A34" s="47"/>
      <c r="B34" s="47"/>
      <c r="C34" s="47"/>
      <c r="D34" s="48" t="s">
        <v>322</v>
      </c>
      <c r="E34" s="47"/>
      <c r="F34" s="49">
        <v>0.749</v>
      </c>
      <c r="G34" s="47"/>
      <c r="H34" s="70"/>
      <c r="I34" s="56"/>
      <c r="J34" s="56"/>
      <c r="L34" s="49"/>
      <c r="M34" s="47"/>
      <c r="N34" s="70"/>
      <c r="O34" s="56"/>
      <c r="P34" s="56"/>
    </row>
    <row r="35" spans="1:58" ht="12.75">
      <c r="A35" s="41" t="s">
        <v>15</v>
      </c>
      <c r="B35" s="41" t="s">
        <v>157</v>
      </c>
      <c r="C35" s="41" t="s">
        <v>168</v>
      </c>
      <c r="D35" s="41" t="s">
        <v>323</v>
      </c>
      <c r="E35" s="41" t="s">
        <v>629</v>
      </c>
      <c r="F35" s="44">
        <v>63.715</v>
      </c>
      <c r="G35" s="45">
        <v>320</v>
      </c>
      <c r="H35" s="69">
        <f>F35*G35</f>
        <v>20388.800000000003</v>
      </c>
      <c r="I35" s="55">
        <v>0</v>
      </c>
      <c r="J35" s="55">
        <f>F35*I35</f>
        <v>0</v>
      </c>
      <c r="L35" s="44">
        <v>63.715</v>
      </c>
      <c r="M35" s="45">
        <v>320</v>
      </c>
      <c r="N35" s="69">
        <f>L35*M35</f>
        <v>20388.800000000003</v>
      </c>
      <c r="O35" s="55">
        <v>0</v>
      </c>
      <c r="P35" s="55">
        <f>L35*O35</f>
        <v>0</v>
      </c>
      <c r="V35" s="31">
        <f>IF(AM35="5",BF35,0)</f>
        <v>0</v>
      </c>
      <c r="X35" s="31">
        <f>IF(AM35="1",BD35,0)</f>
        <v>0</v>
      </c>
      <c r="Y35" s="31">
        <f>IF(AM35="1",BE35,0)</f>
        <v>20388.800000000003</v>
      </c>
      <c r="Z35" s="31">
        <f>IF(AM35="7",BD35,0)</f>
        <v>0</v>
      </c>
      <c r="AA35" s="31">
        <f>IF(AM35="7",BE35,0)</f>
        <v>0</v>
      </c>
      <c r="AB35" s="31">
        <f>IF(AM35="2",BD35,0)</f>
        <v>0</v>
      </c>
      <c r="AC35" s="31">
        <f>IF(AM35="2",BE35,0)</f>
        <v>0</v>
      </c>
      <c r="AD35" s="31">
        <f>IF(AM35="0",BF35,0)</f>
        <v>0</v>
      </c>
      <c r="AE35" s="26" t="s">
        <v>157</v>
      </c>
      <c r="AF35" s="19">
        <f>IF(AJ35=0,H35,0)</f>
        <v>0</v>
      </c>
      <c r="AG35" s="19">
        <f>IF(AJ35=15,H35,0)</f>
        <v>0</v>
      </c>
      <c r="AH35" s="19">
        <f>IF(AJ35=21,H35,0)</f>
        <v>20388.800000000003</v>
      </c>
      <c r="AJ35" s="31">
        <v>21</v>
      </c>
      <c r="AK35" s="31">
        <f>G35*0</f>
        <v>0</v>
      </c>
      <c r="AL35" s="31">
        <f>G35*(1-0)</f>
        <v>320</v>
      </c>
      <c r="AM35" s="27" t="s">
        <v>7</v>
      </c>
      <c r="AR35" s="31">
        <f>AS35+AT35</f>
        <v>20388.800000000003</v>
      </c>
      <c r="AS35" s="31">
        <f>F35*AK35</f>
        <v>0</v>
      </c>
      <c r="AT35" s="31">
        <f>F35*AL35</f>
        <v>20388.800000000003</v>
      </c>
      <c r="AU35" s="32" t="s">
        <v>659</v>
      </c>
      <c r="AV35" s="32" t="s">
        <v>684</v>
      </c>
      <c r="AW35" s="26" t="s">
        <v>698</v>
      </c>
      <c r="AY35" s="31">
        <f>AS35+AT35</f>
        <v>20388.800000000003</v>
      </c>
      <c r="AZ35" s="31">
        <f>G35/(100-BA35)*100</f>
        <v>320</v>
      </c>
      <c r="BA35" s="31">
        <v>0</v>
      </c>
      <c r="BB35" s="31">
        <f>J35</f>
        <v>0</v>
      </c>
      <c r="BD35" s="19">
        <f>F35*AK35</f>
        <v>0</v>
      </c>
      <c r="BE35" s="19">
        <f>F35*AL35</f>
        <v>20388.800000000003</v>
      </c>
      <c r="BF35" s="19">
        <f>F35*G35</f>
        <v>20388.800000000003</v>
      </c>
    </row>
    <row r="36" spans="1:16" ht="12.75">
      <c r="A36" s="47"/>
      <c r="B36" s="47"/>
      <c r="C36" s="47"/>
      <c r="D36" s="48" t="s">
        <v>324</v>
      </c>
      <c r="E36" s="47"/>
      <c r="F36" s="49">
        <v>37.05</v>
      </c>
      <c r="G36" s="47"/>
      <c r="H36" s="70"/>
      <c r="I36" s="56"/>
      <c r="J36" s="56"/>
      <c r="L36" s="49">
        <v>37.05</v>
      </c>
      <c r="M36" s="47"/>
      <c r="N36" s="70"/>
      <c r="O36" s="56"/>
      <c r="P36" s="56"/>
    </row>
    <row r="37" spans="1:16" ht="12.75">
      <c r="A37" s="47"/>
      <c r="B37" s="47"/>
      <c r="C37" s="47"/>
      <c r="D37" s="48" t="s">
        <v>325</v>
      </c>
      <c r="E37" s="47"/>
      <c r="F37" s="49">
        <v>26.665</v>
      </c>
      <c r="G37" s="47"/>
      <c r="H37" s="70"/>
      <c r="I37" s="56"/>
      <c r="J37" s="56"/>
      <c r="L37" s="49">
        <v>26.665</v>
      </c>
      <c r="M37" s="47"/>
      <c r="N37" s="70"/>
      <c r="O37" s="56"/>
      <c r="P37" s="56"/>
    </row>
    <row r="38" spans="1:58" ht="12.75">
      <c r="A38" s="41" t="s">
        <v>16</v>
      </c>
      <c r="B38" s="41" t="s">
        <v>157</v>
      </c>
      <c r="C38" s="41" t="s">
        <v>169</v>
      </c>
      <c r="D38" s="41" t="s">
        <v>326</v>
      </c>
      <c r="E38" s="41" t="s">
        <v>629</v>
      </c>
      <c r="F38" s="44">
        <v>67.069</v>
      </c>
      <c r="G38" s="45">
        <v>25</v>
      </c>
      <c r="H38" s="69">
        <f>F38*G38</f>
        <v>1676.7250000000001</v>
      </c>
      <c r="I38" s="55">
        <v>0</v>
      </c>
      <c r="J38" s="55">
        <f>F38*I38</f>
        <v>0</v>
      </c>
      <c r="L38" s="44">
        <v>67.069</v>
      </c>
      <c r="M38" s="45">
        <v>25</v>
      </c>
      <c r="N38" s="69">
        <f>L38*M38</f>
        <v>1676.7250000000001</v>
      </c>
      <c r="O38" s="55">
        <v>0</v>
      </c>
      <c r="P38" s="55">
        <f>L38*O38</f>
        <v>0</v>
      </c>
      <c r="V38" s="31">
        <f>IF(AM38="5",BF38,0)</f>
        <v>0</v>
      </c>
      <c r="X38" s="31">
        <f>IF(AM38="1",BD38,0)</f>
        <v>0</v>
      </c>
      <c r="Y38" s="31">
        <f>IF(AM38="1",BE38,0)</f>
        <v>1676.7250000000001</v>
      </c>
      <c r="Z38" s="31">
        <f>IF(AM38="7",BD38,0)</f>
        <v>0</v>
      </c>
      <c r="AA38" s="31">
        <f>IF(AM38="7",BE38,0)</f>
        <v>0</v>
      </c>
      <c r="AB38" s="31">
        <f>IF(AM38="2",BD38,0)</f>
        <v>0</v>
      </c>
      <c r="AC38" s="31">
        <f>IF(AM38="2",BE38,0)</f>
        <v>0</v>
      </c>
      <c r="AD38" s="31">
        <f>IF(AM38="0",BF38,0)</f>
        <v>0</v>
      </c>
      <c r="AE38" s="26" t="s">
        <v>157</v>
      </c>
      <c r="AF38" s="19">
        <f>IF(AJ38=0,H38,0)</f>
        <v>0</v>
      </c>
      <c r="AG38" s="19">
        <f>IF(AJ38=15,H38,0)</f>
        <v>0</v>
      </c>
      <c r="AH38" s="19">
        <f>IF(AJ38=21,H38,0)</f>
        <v>1676.7250000000001</v>
      </c>
      <c r="AJ38" s="31">
        <v>21</v>
      </c>
      <c r="AK38" s="31">
        <f>G38*0</f>
        <v>0</v>
      </c>
      <c r="AL38" s="31">
        <f>G38*(1-0)</f>
        <v>25</v>
      </c>
      <c r="AM38" s="27" t="s">
        <v>7</v>
      </c>
      <c r="AR38" s="31">
        <f>AS38+AT38</f>
        <v>1676.7250000000001</v>
      </c>
      <c r="AS38" s="31">
        <f>F38*AK38</f>
        <v>0</v>
      </c>
      <c r="AT38" s="31">
        <f>F38*AL38</f>
        <v>1676.7250000000001</v>
      </c>
      <c r="AU38" s="32" t="s">
        <v>659</v>
      </c>
      <c r="AV38" s="32" t="s">
        <v>684</v>
      </c>
      <c r="AW38" s="26" t="s">
        <v>698</v>
      </c>
      <c r="AY38" s="31">
        <f>AS38+AT38</f>
        <v>1676.7250000000001</v>
      </c>
      <c r="AZ38" s="31">
        <f>G38/(100-BA38)*100</f>
        <v>25</v>
      </c>
      <c r="BA38" s="31">
        <v>0</v>
      </c>
      <c r="BB38" s="31">
        <f>J38</f>
        <v>0</v>
      </c>
      <c r="BD38" s="19">
        <f>F38*AK38</f>
        <v>0</v>
      </c>
      <c r="BE38" s="19">
        <f>F38*AL38</f>
        <v>1676.7250000000001</v>
      </c>
      <c r="BF38" s="19">
        <f>F38*G38</f>
        <v>1676.7250000000001</v>
      </c>
    </row>
    <row r="39" spans="1:16" ht="12.75">
      <c r="A39" s="47"/>
      <c r="B39" s="47"/>
      <c r="C39" s="47"/>
      <c r="D39" s="48" t="s">
        <v>327</v>
      </c>
      <c r="E39" s="47"/>
      <c r="F39" s="49">
        <v>39</v>
      </c>
      <c r="G39" s="47"/>
      <c r="H39" s="70"/>
      <c r="I39" s="56"/>
      <c r="J39" s="56"/>
      <c r="L39" s="49">
        <v>39</v>
      </c>
      <c r="M39" s="47"/>
      <c r="N39" s="70"/>
      <c r="O39" s="56"/>
      <c r="P39" s="56"/>
    </row>
    <row r="40" spans="1:16" ht="12.75">
      <c r="A40" s="47"/>
      <c r="B40" s="47"/>
      <c r="C40" s="47"/>
      <c r="D40" s="48" t="s">
        <v>328</v>
      </c>
      <c r="E40" s="47"/>
      <c r="F40" s="49">
        <v>28.069</v>
      </c>
      <c r="G40" s="47"/>
      <c r="H40" s="70"/>
      <c r="I40" s="56"/>
      <c r="J40" s="56"/>
      <c r="L40" s="49">
        <v>28.069</v>
      </c>
      <c r="M40" s="47"/>
      <c r="N40" s="70"/>
      <c r="O40" s="56"/>
      <c r="P40" s="56"/>
    </row>
    <row r="41" spans="1:58" ht="12.75">
      <c r="A41" s="41" t="s">
        <v>17</v>
      </c>
      <c r="B41" s="41" t="s">
        <v>157</v>
      </c>
      <c r="C41" s="41" t="s">
        <v>170</v>
      </c>
      <c r="D41" s="41" t="s">
        <v>329</v>
      </c>
      <c r="E41" s="41" t="s">
        <v>629</v>
      </c>
      <c r="F41" s="44">
        <v>10.611</v>
      </c>
      <c r="G41" s="45">
        <v>758</v>
      </c>
      <c r="H41" s="69">
        <f>F41*G41</f>
        <v>8043.138000000001</v>
      </c>
      <c r="I41" s="55">
        <v>0</v>
      </c>
      <c r="J41" s="55">
        <f>F41*I41</f>
        <v>0</v>
      </c>
      <c r="L41" s="44">
        <v>10.611</v>
      </c>
      <c r="M41" s="45">
        <v>758</v>
      </c>
      <c r="N41" s="69">
        <f>L41*M41</f>
        <v>8043.138000000001</v>
      </c>
      <c r="O41" s="55">
        <v>0</v>
      </c>
      <c r="P41" s="55">
        <f>L41*O41</f>
        <v>0</v>
      </c>
      <c r="V41" s="31">
        <f>IF(AM41="5",BF41,0)</f>
        <v>0</v>
      </c>
      <c r="X41" s="31">
        <f>IF(AM41="1",BD41,0)</f>
        <v>0</v>
      </c>
      <c r="Y41" s="31">
        <f>IF(AM41="1",BE41,0)</f>
        <v>8043.138000000001</v>
      </c>
      <c r="Z41" s="31">
        <f>IF(AM41="7",BD41,0)</f>
        <v>0</v>
      </c>
      <c r="AA41" s="31">
        <f>IF(AM41="7",BE41,0)</f>
        <v>0</v>
      </c>
      <c r="AB41" s="31">
        <f>IF(AM41="2",BD41,0)</f>
        <v>0</v>
      </c>
      <c r="AC41" s="31">
        <f>IF(AM41="2",BE41,0)</f>
        <v>0</v>
      </c>
      <c r="AD41" s="31">
        <f>IF(AM41="0",BF41,0)</f>
        <v>0</v>
      </c>
      <c r="AE41" s="26" t="s">
        <v>157</v>
      </c>
      <c r="AF41" s="19">
        <f>IF(AJ41=0,H41,0)</f>
        <v>0</v>
      </c>
      <c r="AG41" s="19">
        <f>IF(AJ41=15,H41,0)</f>
        <v>0</v>
      </c>
      <c r="AH41" s="19">
        <f>IF(AJ41=21,H41,0)</f>
        <v>8043.138000000001</v>
      </c>
      <c r="AJ41" s="31">
        <v>21</v>
      </c>
      <c r="AK41" s="31">
        <f>G41*0</f>
        <v>0</v>
      </c>
      <c r="AL41" s="31">
        <f>G41*(1-0)</f>
        <v>758</v>
      </c>
      <c r="AM41" s="27" t="s">
        <v>7</v>
      </c>
      <c r="AR41" s="31">
        <f>AS41+AT41</f>
        <v>8043.138000000001</v>
      </c>
      <c r="AS41" s="31">
        <f>F41*AK41</f>
        <v>0</v>
      </c>
      <c r="AT41" s="31">
        <f>F41*AL41</f>
        <v>8043.138000000001</v>
      </c>
      <c r="AU41" s="32" t="s">
        <v>659</v>
      </c>
      <c r="AV41" s="32" t="s">
        <v>684</v>
      </c>
      <c r="AW41" s="26" t="s">
        <v>698</v>
      </c>
      <c r="AY41" s="31">
        <f>AS41+AT41</f>
        <v>8043.138000000001</v>
      </c>
      <c r="AZ41" s="31">
        <f>G41/(100-BA41)*100</f>
        <v>758</v>
      </c>
      <c r="BA41" s="31">
        <v>0</v>
      </c>
      <c r="BB41" s="31">
        <f>J41</f>
        <v>0</v>
      </c>
      <c r="BD41" s="19">
        <f>F41*AK41</f>
        <v>0</v>
      </c>
      <c r="BE41" s="19">
        <f>F41*AL41</f>
        <v>8043.138000000001</v>
      </c>
      <c r="BF41" s="19">
        <f>F41*G41</f>
        <v>8043.138000000001</v>
      </c>
    </row>
    <row r="42" spans="1:16" ht="12.75">
      <c r="A42" s="42"/>
      <c r="B42" s="42"/>
      <c r="C42" s="42"/>
      <c r="D42" s="43" t="s">
        <v>330</v>
      </c>
      <c r="E42" s="42"/>
      <c r="F42" s="46">
        <v>10.611</v>
      </c>
      <c r="G42" s="42"/>
      <c r="H42" s="42"/>
      <c r="I42" s="57"/>
      <c r="J42" s="57"/>
      <c r="L42" s="46">
        <v>10.611</v>
      </c>
      <c r="M42" s="42"/>
      <c r="N42" s="42"/>
      <c r="O42" s="57"/>
      <c r="P42" s="57"/>
    </row>
    <row r="43" spans="1:43" ht="12.75">
      <c r="A43" s="4"/>
      <c r="B43" s="13" t="s">
        <v>157</v>
      </c>
      <c r="C43" s="13" t="s">
        <v>22</v>
      </c>
      <c r="D43" s="13" t="s">
        <v>331</v>
      </c>
      <c r="E43" s="4" t="s">
        <v>6</v>
      </c>
      <c r="F43" s="4" t="s">
        <v>6</v>
      </c>
      <c r="G43" s="4"/>
      <c r="H43" s="34">
        <f>SUM(H44:H51)</f>
        <v>39732.289</v>
      </c>
      <c r="I43" s="54"/>
      <c r="J43" s="54">
        <f>SUM(J44:J51)</f>
        <v>0</v>
      </c>
      <c r="L43" s="4" t="s">
        <v>6</v>
      </c>
      <c r="M43" s="4"/>
      <c r="N43" s="34">
        <f>SUM(N44:N51)</f>
        <v>39310.82</v>
      </c>
      <c r="O43" s="54"/>
      <c r="P43" s="54">
        <f>SUM(P44:P51)</f>
        <v>0</v>
      </c>
      <c r="AE43" s="26" t="s">
        <v>157</v>
      </c>
      <c r="AO43" s="34">
        <f>SUM(AF44:AF51)</f>
        <v>0</v>
      </c>
      <c r="AP43" s="34">
        <f>SUM(AG44:AG51)</f>
        <v>0</v>
      </c>
      <c r="AQ43" s="34">
        <f>SUM(AH44:AH51)</f>
        <v>39732.289</v>
      </c>
    </row>
    <row r="44" spans="1:58" ht="12.75">
      <c r="A44" s="41" t="s">
        <v>18</v>
      </c>
      <c r="B44" s="41" t="s">
        <v>157</v>
      </c>
      <c r="C44" s="41" t="s">
        <v>171</v>
      </c>
      <c r="D44" s="41" t="s">
        <v>332</v>
      </c>
      <c r="E44" s="41" t="s">
        <v>629</v>
      </c>
      <c r="F44" s="44">
        <v>374.665</v>
      </c>
      <c r="G44" s="45">
        <v>35</v>
      </c>
      <c r="H44" s="69">
        <f>F44*G44</f>
        <v>13113.275000000001</v>
      </c>
      <c r="I44" s="55">
        <v>0</v>
      </c>
      <c r="J44" s="55">
        <f>F44*I44</f>
        <v>0</v>
      </c>
      <c r="L44" s="101">
        <f>L57</f>
        <v>162.452</v>
      </c>
      <c r="M44" s="45">
        <v>35</v>
      </c>
      <c r="N44" s="69">
        <f>L44*M44</f>
        <v>5685.82</v>
      </c>
      <c r="O44" s="55">
        <v>0</v>
      </c>
      <c r="P44" s="55">
        <f>L44*O44</f>
        <v>0</v>
      </c>
      <c r="V44" s="31">
        <f>IF(AM44="5",BF44,0)</f>
        <v>0</v>
      </c>
      <c r="X44" s="31">
        <f>IF(AM44="1",BD44,0)</f>
        <v>0</v>
      </c>
      <c r="Y44" s="31">
        <f>IF(AM44="1",BE44,0)</f>
        <v>13113.275000000001</v>
      </c>
      <c r="Z44" s="31">
        <f>IF(AM44="7",BD44,0)</f>
        <v>0</v>
      </c>
      <c r="AA44" s="31">
        <f>IF(AM44="7",BE44,0)</f>
        <v>0</v>
      </c>
      <c r="AB44" s="31">
        <f>IF(AM44="2",BD44,0)</f>
        <v>0</v>
      </c>
      <c r="AC44" s="31">
        <f>IF(AM44="2",BE44,0)</f>
        <v>0</v>
      </c>
      <c r="AD44" s="31">
        <f>IF(AM44="0",BF44,0)</f>
        <v>0</v>
      </c>
      <c r="AE44" s="26" t="s">
        <v>157</v>
      </c>
      <c r="AF44" s="19">
        <f>IF(AJ44=0,H44,0)</f>
        <v>0</v>
      </c>
      <c r="AG44" s="19">
        <f>IF(AJ44=15,H44,0)</f>
        <v>0</v>
      </c>
      <c r="AH44" s="19">
        <f>IF(AJ44=21,H44,0)</f>
        <v>13113.275000000001</v>
      </c>
      <c r="AJ44" s="31">
        <v>21</v>
      </c>
      <c r="AK44" s="31">
        <f>G44*0</f>
        <v>0</v>
      </c>
      <c r="AL44" s="31">
        <f>G44*(1-0)</f>
        <v>35</v>
      </c>
      <c r="AM44" s="27" t="s">
        <v>7</v>
      </c>
      <c r="AR44" s="31">
        <f>AS44+AT44</f>
        <v>13113.275000000001</v>
      </c>
      <c r="AS44" s="31">
        <f>F44*AK44</f>
        <v>0</v>
      </c>
      <c r="AT44" s="31">
        <f>F44*AL44</f>
        <v>13113.275000000001</v>
      </c>
      <c r="AU44" s="32" t="s">
        <v>660</v>
      </c>
      <c r="AV44" s="32" t="s">
        <v>684</v>
      </c>
      <c r="AW44" s="26" t="s">
        <v>698</v>
      </c>
      <c r="AY44" s="31">
        <f>AS44+AT44</f>
        <v>13113.275000000001</v>
      </c>
      <c r="AZ44" s="31">
        <f>G44/(100-BA44)*100</f>
        <v>35</v>
      </c>
      <c r="BA44" s="31">
        <v>0</v>
      </c>
      <c r="BB44" s="31">
        <f>J44</f>
        <v>0</v>
      </c>
      <c r="BD44" s="19">
        <f>F44*AK44</f>
        <v>0</v>
      </c>
      <c r="BE44" s="19">
        <f>F44*AL44</f>
        <v>13113.275000000001</v>
      </c>
      <c r="BF44" s="19">
        <f>F44*G44</f>
        <v>13113.275000000001</v>
      </c>
    </row>
    <row r="45" spans="1:16" ht="12.75">
      <c r="A45" s="47"/>
      <c r="B45" s="47"/>
      <c r="C45" s="47"/>
      <c r="D45" s="48" t="s">
        <v>333</v>
      </c>
      <c r="E45" s="47"/>
      <c r="F45" s="49">
        <v>374.665</v>
      </c>
      <c r="G45" s="47"/>
      <c r="H45" s="70"/>
      <c r="I45" s="56"/>
      <c r="J45" s="56"/>
      <c r="L45" s="49"/>
      <c r="M45" s="47"/>
      <c r="N45" s="70"/>
      <c r="O45" s="56"/>
      <c r="P45" s="56"/>
    </row>
    <row r="46" spans="1:58" ht="12.75">
      <c r="A46" s="41" t="s">
        <v>19</v>
      </c>
      <c r="B46" s="41" t="s">
        <v>157</v>
      </c>
      <c r="C46" s="41" t="s">
        <v>172</v>
      </c>
      <c r="D46" s="41" t="s">
        <v>334</v>
      </c>
      <c r="E46" s="41" t="s">
        <v>629</v>
      </c>
      <c r="F46" s="44">
        <v>424.426</v>
      </c>
      <c r="G46" s="45">
        <v>32</v>
      </c>
      <c r="H46" s="69">
        <f>F46*G46</f>
        <v>13581.632</v>
      </c>
      <c r="I46" s="55">
        <v>0</v>
      </c>
      <c r="J46" s="55">
        <f>F46*I46</f>
        <v>0</v>
      </c>
      <c r="L46" s="101">
        <f>L44</f>
        <v>162.452</v>
      </c>
      <c r="M46" s="45">
        <v>32</v>
      </c>
      <c r="N46" s="69">
        <f>L46*M46</f>
        <v>5198.464</v>
      </c>
      <c r="O46" s="55">
        <v>0</v>
      </c>
      <c r="P46" s="55">
        <f>L46*O46</f>
        <v>0</v>
      </c>
      <c r="V46" s="31">
        <f>IF(AM46="5",BF46,0)</f>
        <v>0</v>
      </c>
      <c r="X46" s="31">
        <f>IF(AM46="1",BD46,0)</f>
        <v>0</v>
      </c>
      <c r="Y46" s="31">
        <f>IF(AM46="1",BE46,0)</f>
        <v>13581.632</v>
      </c>
      <c r="Z46" s="31">
        <f>IF(AM46="7",BD46,0)</f>
        <v>0</v>
      </c>
      <c r="AA46" s="31">
        <f>IF(AM46="7",BE46,0)</f>
        <v>0</v>
      </c>
      <c r="AB46" s="31">
        <f>IF(AM46="2",BD46,0)</f>
        <v>0</v>
      </c>
      <c r="AC46" s="31">
        <f>IF(AM46="2",BE46,0)</f>
        <v>0</v>
      </c>
      <c r="AD46" s="31">
        <f>IF(AM46="0",BF46,0)</f>
        <v>0</v>
      </c>
      <c r="AE46" s="26" t="s">
        <v>157</v>
      </c>
      <c r="AF46" s="19">
        <f>IF(AJ46=0,H46,0)</f>
        <v>0</v>
      </c>
      <c r="AG46" s="19">
        <f>IF(AJ46=15,H46,0)</f>
        <v>0</v>
      </c>
      <c r="AH46" s="19">
        <f>IF(AJ46=21,H46,0)</f>
        <v>13581.632</v>
      </c>
      <c r="AJ46" s="31">
        <v>21</v>
      </c>
      <c r="AK46" s="31">
        <f>G46*0</f>
        <v>0</v>
      </c>
      <c r="AL46" s="31">
        <f>G46*(1-0)</f>
        <v>32</v>
      </c>
      <c r="AM46" s="27" t="s">
        <v>7</v>
      </c>
      <c r="AR46" s="31">
        <f>AS46+AT46</f>
        <v>13581.632</v>
      </c>
      <c r="AS46" s="31">
        <f>F46*AK46</f>
        <v>0</v>
      </c>
      <c r="AT46" s="31">
        <f>F46*AL46</f>
        <v>13581.632</v>
      </c>
      <c r="AU46" s="32" t="s">
        <v>660</v>
      </c>
      <c r="AV46" s="32" t="s">
        <v>684</v>
      </c>
      <c r="AW46" s="26" t="s">
        <v>698</v>
      </c>
      <c r="AY46" s="31">
        <f>AS46+AT46</f>
        <v>13581.632</v>
      </c>
      <c r="AZ46" s="31">
        <f>G46/(100-BA46)*100</f>
        <v>32</v>
      </c>
      <c r="BA46" s="31">
        <v>0</v>
      </c>
      <c r="BB46" s="31">
        <f>J46</f>
        <v>0</v>
      </c>
      <c r="BD46" s="19">
        <f>F46*AK46</f>
        <v>0</v>
      </c>
      <c r="BE46" s="19">
        <f>F46*AL46</f>
        <v>13581.632</v>
      </c>
      <c r="BF46" s="19">
        <f>F46*G46</f>
        <v>13581.632</v>
      </c>
    </row>
    <row r="47" spans="1:16" ht="12.75">
      <c r="A47" s="47"/>
      <c r="B47" s="47"/>
      <c r="C47" s="47"/>
      <c r="D47" s="48" t="s">
        <v>335</v>
      </c>
      <c r="E47" s="47"/>
      <c r="F47" s="49">
        <v>424.426</v>
      </c>
      <c r="G47" s="47"/>
      <c r="H47" s="70"/>
      <c r="I47" s="56"/>
      <c r="J47" s="56"/>
      <c r="L47" s="49"/>
      <c r="M47" s="47"/>
      <c r="N47" s="70"/>
      <c r="O47" s="56"/>
      <c r="P47" s="56"/>
    </row>
    <row r="48" spans="1:58" ht="12.75">
      <c r="A48" s="41" t="s">
        <v>20</v>
      </c>
      <c r="B48" s="41" t="s">
        <v>157</v>
      </c>
      <c r="C48" s="41" t="s">
        <v>173</v>
      </c>
      <c r="D48" s="41" t="s">
        <v>336</v>
      </c>
      <c r="E48" s="41" t="s">
        <v>629</v>
      </c>
      <c r="F48" s="44">
        <v>49.761</v>
      </c>
      <c r="G48" s="45">
        <v>142</v>
      </c>
      <c r="H48" s="69">
        <f>F48*G48</f>
        <v>7066.062000000001</v>
      </c>
      <c r="I48" s="55">
        <v>0</v>
      </c>
      <c r="J48" s="55">
        <f>F48*I48</f>
        <v>0</v>
      </c>
      <c r="L48" s="101">
        <v>0</v>
      </c>
      <c r="M48" s="45">
        <v>142</v>
      </c>
      <c r="N48" s="69">
        <f>L48*M48</f>
        <v>0</v>
      </c>
      <c r="O48" s="55">
        <v>0</v>
      </c>
      <c r="P48" s="55">
        <f>L48*O48</f>
        <v>0</v>
      </c>
      <c r="V48" s="31">
        <f>IF(AM48="5",BF48,0)</f>
        <v>0</v>
      </c>
      <c r="X48" s="31">
        <f>IF(AM48="1",BD48,0)</f>
        <v>0</v>
      </c>
      <c r="Y48" s="31">
        <f>IF(AM48="1",BE48,0)</f>
        <v>7066.062000000001</v>
      </c>
      <c r="Z48" s="31">
        <f>IF(AM48="7",BD48,0)</f>
        <v>0</v>
      </c>
      <c r="AA48" s="31">
        <f>IF(AM48="7",BE48,0)</f>
        <v>0</v>
      </c>
      <c r="AB48" s="31">
        <f>IF(AM48="2",BD48,0)</f>
        <v>0</v>
      </c>
      <c r="AC48" s="31">
        <f>IF(AM48="2",BE48,0)</f>
        <v>0</v>
      </c>
      <c r="AD48" s="31">
        <f>IF(AM48="0",BF48,0)</f>
        <v>0</v>
      </c>
      <c r="AE48" s="26" t="s">
        <v>157</v>
      </c>
      <c r="AF48" s="19">
        <f>IF(AJ48=0,H48,0)</f>
        <v>0</v>
      </c>
      <c r="AG48" s="19">
        <f>IF(AJ48=15,H48,0)</f>
        <v>0</v>
      </c>
      <c r="AH48" s="19">
        <f>IF(AJ48=21,H48,0)</f>
        <v>7066.062000000001</v>
      </c>
      <c r="AJ48" s="31">
        <v>21</v>
      </c>
      <c r="AK48" s="31">
        <f>G48*0</f>
        <v>0</v>
      </c>
      <c r="AL48" s="31">
        <f>G48*(1-0)</f>
        <v>142</v>
      </c>
      <c r="AM48" s="27" t="s">
        <v>7</v>
      </c>
      <c r="AR48" s="31">
        <f>AS48+AT48</f>
        <v>7066.062000000001</v>
      </c>
      <c r="AS48" s="31">
        <f>F48*AK48</f>
        <v>0</v>
      </c>
      <c r="AT48" s="31">
        <f>F48*AL48</f>
        <v>7066.062000000001</v>
      </c>
      <c r="AU48" s="32" t="s">
        <v>660</v>
      </c>
      <c r="AV48" s="32" t="s">
        <v>684</v>
      </c>
      <c r="AW48" s="26" t="s">
        <v>698</v>
      </c>
      <c r="AY48" s="31">
        <f>AS48+AT48</f>
        <v>7066.062000000001</v>
      </c>
      <c r="AZ48" s="31">
        <f>G48/(100-BA48)*100</f>
        <v>142</v>
      </c>
      <c r="BA48" s="31">
        <v>0</v>
      </c>
      <c r="BB48" s="31">
        <f>J48</f>
        <v>0</v>
      </c>
      <c r="BD48" s="19">
        <f>F48*AK48</f>
        <v>0</v>
      </c>
      <c r="BE48" s="19">
        <f>F48*AL48</f>
        <v>7066.062000000001</v>
      </c>
      <c r="BF48" s="19">
        <f>F48*G48</f>
        <v>7066.062000000001</v>
      </c>
    </row>
    <row r="49" spans="1:16" ht="12.75">
      <c r="A49" s="47"/>
      <c r="B49" s="47"/>
      <c r="C49" s="47"/>
      <c r="D49" s="48" t="s">
        <v>337</v>
      </c>
      <c r="E49" s="47"/>
      <c r="F49" s="49">
        <v>49.761</v>
      </c>
      <c r="G49" s="47"/>
      <c r="H49" s="70"/>
      <c r="I49" s="56"/>
      <c r="J49" s="56"/>
      <c r="L49" s="49"/>
      <c r="M49" s="47"/>
      <c r="N49" s="70"/>
      <c r="O49" s="56"/>
      <c r="P49" s="56"/>
    </row>
    <row r="50" spans="1:16" ht="12.75">
      <c r="A50" s="99" t="s">
        <v>725</v>
      </c>
      <c r="B50" s="47"/>
      <c r="C50" s="41">
        <v>162651111</v>
      </c>
      <c r="D50" s="100" t="s">
        <v>726</v>
      </c>
      <c r="E50" s="41" t="s">
        <v>629</v>
      </c>
      <c r="F50" s="44"/>
      <c r="G50" s="45"/>
      <c r="H50" s="69"/>
      <c r="I50" s="55"/>
      <c r="J50" s="55"/>
      <c r="L50" s="102">
        <v>394.813</v>
      </c>
      <c r="M50" s="45">
        <v>72</v>
      </c>
      <c r="N50" s="69">
        <f>L50*M50</f>
        <v>28426.536</v>
      </c>
      <c r="O50" s="56"/>
      <c r="P50" s="55">
        <f>L50*O50</f>
        <v>0</v>
      </c>
    </row>
    <row r="51" spans="1:58" ht="12.75">
      <c r="A51" s="41" t="s">
        <v>21</v>
      </c>
      <c r="B51" s="41" t="s">
        <v>157</v>
      </c>
      <c r="C51" s="41" t="s">
        <v>174</v>
      </c>
      <c r="D51" s="41" t="s">
        <v>338</v>
      </c>
      <c r="E51" s="41" t="s">
        <v>629</v>
      </c>
      <c r="F51" s="44">
        <v>497.61</v>
      </c>
      <c r="G51" s="45">
        <v>12</v>
      </c>
      <c r="H51" s="69">
        <f>F51*G51</f>
        <v>5971.32</v>
      </c>
      <c r="I51" s="55">
        <v>0</v>
      </c>
      <c r="J51" s="55">
        <f>F51*I51</f>
        <v>0</v>
      </c>
      <c r="L51" s="101">
        <v>0</v>
      </c>
      <c r="M51" s="45">
        <v>12</v>
      </c>
      <c r="N51" s="69">
        <f>L51*M51</f>
        <v>0</v>
      </c>
      <c r="O51" s="55">
        <v>0</v>
      </c>
      <c r="P51" s="55">
        <f>L51*O51</f>
        <v>0</v>
      </c>
      <c r="V51" s="31">
        <f>IF(AM51="5",BF51,0)</f>
        <v>0</v>
      </c>
      <c r="X51" s="31">
        <f>IF(AM51="1",BD51,0)</f>
        <v>0</v>
      </c>
      <c r="Y51" s="31">
        <f>IF(AM51="1",BE51,0)</f>
        <v>5971.32</v>
      </c>
      <c r="Z51" s="31">
        <f>IF(AM51="7",BD51,0)</f>
        <v>0</v>
      </c>
      <c r="AA51" s="31">
        <f>IF(AM51="7",BE51,0)</f>
        <v>0</v>
      </c>
      <c r="AB51" s="31">
        <f>IF(AM51="2",BD51,0)</f>
        <v>0</v>
      </c>
      <c r="AC51" s="31">
        <f>IF(AM51="2",BE51,0)</f>
        <v>0</v>
      </c>
      <c r="AD51" s="31">
        <f>IF(AM51="0",BF51,0)</f>
        <v>0</v>
      </c>
      <c r="AE51" s="26" t="s">
        <v>157</v>
      </c>
      <c r="AF51" s="19">
        <f>IF(AJ51=0,H51,0)</f>
        <v>0</v>
      </c>
      <c r="AG51" s="19">
        <f>IF(AJ51=15,H51,0)</f>
        <v>0</v>
      </c>
      <c r="AH51" s="19">
        <f>IF(AJ51=21,H51,0)</f>
        <v>5971.32</v>
      </c>
      <c r="AJ51" s="31">
        <v>21</v>
      </c>
      <c r="AK51" s="31">
        <f>G51*0</f>
        <v>0</v>
      </c>
      <c r="AL51" s="31">
        <f>G51*(1-0)</f>
        <v>12</v>
      </c>
      <c r="AM51" s="27" t="s">
        <v>7</v>
      </c>
      <c r="AR51" s="31">
        <f>AS51+AT51</f>
        <v>5971.32</v>
      </c>
      <c r="AS51" s="31">
        <f>F51*AK51</f>
        <v>0</v>
      </c>
      <c r="AT51" s="31">
        <f>F51*AL51</f>
        <v>5971.32</v>
      </c>
      <c r="AU51" s="32" t="s">
        <v>660</v>
      </c>
      <c r="AV51" s="32" t="s">
        <v>684</v>
      </c>
      <c r="AW51" s="26" t="s">
        <v>698</v>
      </c>
      <c r="AY51" s="31">
        <f>AS51+AT51</f>
        <v>5971.32</v>
      </c>
      <c r="AZ51" s="31">
        <f>G51/(100-BA51)*100</f>
        <v>12</v>
      </c>
      <c r="BA51" s="31">
        <v>0</v>
      </c>
      <c r="BB51" s="31">
        <f>J51</f>
        <v>0</v>
      </c>
      <c r="BD51" s="19">
        <f>F51*AK51</f>
        <v>0</v>
      </c>
      <c r="BE51" s="19">
        <f>F51*AL51</f>
        <v>5971.32</v>
      </c>
      <c r="BF51" s="19">
        <f>F51*G51</f>
        <v>5971.32</v>
      </c>
    </row>
    <row r="52" spans="1:16" ht="12.75">
      <c r="A52" s="42"/>
      <c r="B52" s="42"/>
      <c r="C52" s="42"/>
      <c r="D52" s="43" t="s">
        <v>339</v>
      </c>
      <c r="E52" s="42"/>
      <c r="F52" s="46">
        <v>497.61</v>
      </c>
      <c r="G52" s="42"/>
      <c r="H52" s="42"/>
      <c r="I52" s="57"/>
      <c r="J52" s="57"/>
      <c r="L52" s="46"/>
      <c r="M52" s="42"/>
      <c r="N52" s="42"/>
      <c r="O52" s="57"/>
      <c r="P52" s="57"/>
    </row>
    <row r="53" spans="1:43" ht="12.75">
      <c r="A53" s="4"/>
      <c r="B53" s="13" t="s">
        <v>157</v>
      </c>
      <c r="C53" s="13" t="s">
        <v>23</v>
      </c>
      <c r="D53" s="13" t="s">
        <v>340</v>
      </c>
      <c r="E53" s="4" t="s">
        <v>6</v>
      </c>
      <c r="F53" s="4" t="s">
        <v>6</v>
      </c>
      <c r="G53" s="4"/>
      <c r="H53" s="34">
        <f>SUM(H54:H61)</f>
        <v>38430.958</v>
      </c>
      <c r="I53" s="54"/>
      <c r="J53" s="54">
        <f>SUM(J54:J61)</f>
        <v>0</v>
      </c>
      <c r="L53" s="4" t="s">
        <v>6</v>
      </c>
      <c r="M53" s="4"/>
      <c r="N53" s="34">
        <f>SUM(N54:N61)</f>
        <v>44408.712999999996</v>
      </c>
      <c r="O53" s="54"/>
      <c r="P53" s="54">
        <f>SUM(P54:P61)</f>
        <v>0</v>
      </c>
      <c r="AE53" s="26" t="s">
        <v>157</v>
      </c>
      <c r="AO53" s="34">
        <f>SUM(AF54:AF61)</f>
        <v>0</v>
      </c>
      <c r="AP53" s="34">
        <f>SUM(AG54:AG61)</f>
        <v>0</v>
      </c>
      <c r="AQ53" s="34">
        <f>SUM(AH54:AH61)</f>
        <v>38430.958</v>
      </c>
    </row>
    <row r="54" spans="1:58" ht="12.75">
      <c r="A54" s="41" t="s">
        <v>22</v>
      </c>
      <c r="B54" s="41" t="s">
        <v>157</v>
      </c>
      <c r="C54" s="41" t="s">
        <v>175</v>
      </c>
      <c r="D54" s="41" t="s">
        <v>341</v>
      </c>
      <c r="E54" s="41" t="s">
        <v>629</v>
      </c>
      <c r="F54" s="44">
        <v>261.974</v>
      </c>
      <c r="G54" s="45">
        <v>45</v>
      </c>
      <c r="H54" s="69">
        <f>F54*G54</f>
        <v>11788.83</v>
      </c>
      <c r="I54" s="55">
        <v>0</v>
      </c>
      <c r="J54" s="55">
        <f>F54*I54</f>
        <v>0</v>
      </c>
      <c r="L54" s="102">
        <f>L50</f>
        <v>394.813</v>
      </c>
      <c r="M54" s="45">
        <v>45</v>
      </c>
      <c r="N54" s="69">
        <f>L54*M54</f>
        <v>17766.585</v>
      </c>
      <c r="O54" s="55">
        <v>0</v>
      </c>
      <c r="P54" s="55">
        <f>L54*O54</f>
        <v>0</v>
      </c>
      <c r="V54" s="31">
        <f>IF(AM54="5",BF54,0)</f>
        <v>0</v>
      </c>
      <c r="X54" s="31">
        <f>IF(AM54="1",BD54,0)</f>
        <v>0</v>
      </c>
      <c r="Y54" s="31">
        <f>IF(AM54="1",BE54,0)</f>
        <v>11788.83</v>
      </c>
      <c r="Z54" s="31">
        <f>IF(AM54="7",BD54,0)</f>
        <v>0</v>
      </c>
      <c r="AA54" s="31">
        <f>IF(AM54="7",BE54,0)</f>
        <v>0</v>
      </c>
      <c r="AB54" s="31">
        <f>IF(AM54="2",BD54,0)</f>
        <v>0</v>
      </c>
      <c r="AC54" s="31">
        <f>IF(AM54="2",BE54,0)</f>
        <v>0</v>
      </c>
      <c r="AD54" s="31">
        <f>IF(AM54="0",BF54,0)</f>
        <v>0</v>
      </c>
      <c r="AE54" s="26" t="s">
        <v>157</v>
      </c>
      <c r="AF54" s="19">
        <f>IF(AJ54=0,H54,0)</f>
        <v>0</v>
      </c>
      <c r="AG54" s="19">
        <f>IF(AJ54=15,H54,0)</f>
        <v>0</v>
      </c>
      <c r="AH54" s="19">
        <f>IF(AJ54=21,H54,0)</f>
        <v>11788.83</v>
      </c>
      <c r="AJ54" s="31">
        <v>21</v>
      </c>
      <c r="AK54" s="31">
        <f>G54*0</f>
        <v>0</v>
      </c>
      <c r="AL54" s="31">
        <f>G54*(1-0)</f>
        <v>45</v>
      </c>
      <c r="AM54" s="27" t="s">
        <v>7</v>
      </c>
      <c r="AR54" s="31">
        <f>AS54+AT54</f>
        <v>11788.83</v>
      </c>
      <c r="AS54" s="31">
        <f>F54*AK54</f>
        <v>0</v>
      </c>
      <c r="AT54" s="31">
        <f>F54*AL54</f>
        <v>11788.83</v>
      </c>
      <c r="AU54" s="32" t="s">
        <v>661</v>
      </c>
      <c r="AV54" s="32" t="s">
        <v>684</v>
      </c>
      <c r="AW54" s="26" t="s">
        <v>698</v>
      </c>
      <c r="AY54" s="31">
        <f>AS54+AT54</f>
        <v>11788.83</v>
      </c>
      <c r="AZ54" s="31">
        <f>G54/(100-BA54)*100</f>
        <v>45</v>
      </c>
      <c r="BA54" s="31">
        <v>0</v>
      </c>
      <c r="BB54" s="31">
        <f>J54</f>
        <v>0</v>
      </c>
      <c r="BD54" s="19">
        <f>F54*AK54</f>
        <v>0</v>
      </c>
      <c r="BE54" s="19">
        <f>F54*AL54</f>
        <v>11788.83</v>
      </c>
      <c r="BF54" s="19">
        <f>F54*G54</f>
        <v>11788.83</v>
      </c>
    </row>
    <row r="55" spans="1:16" ht="12.75">
      <c r="A55" s="47"/>
      <c r="B55" s="47"/>
      <c r="C55" s="47"/>
      <c r="D55" s="48" t="s">
        <v>342</v>
      </c>
      <c r="E55" s="47"/>
      <c r="F55" s="49">
        <v>212.213</v>
      </c>
      <c r="G55" s="47"/>
      <c r="H55" s="70"/>
      <c r="I55" s="56"/>
      <c r="J55" s="56"/>
      <c r="L55" s="49"/>
      <c r="M55" s="47"/>
      <c r="N55" s="70"/>
      <c r="O55" s="56"/>
      <c r="P55" s="56"/>
    </row>
    <row r="56" spans="1:16" ht="12.75">
      <c r="A56" s="47"/>
      <c r="B56" s="47"/>
      <c r="C56" s="47"/>
      <c r="D56" s="48" t="s">
        <v>343</v>
      </c>
      <c r="E56" s="47"/>
      <c r="F56" s="49">
        <v>49.761</v>
      </c>
      <c r="G56" s="47"/>
      <c r="H56" s="70"/>
      <c r="I56" s="56"/>
      <c r="J56" s="56"/>
      <c r="L56" s="49"/>
      <c r="M56" s="47"/>
      <c r="N56" s="70"/>
      <c r="O56" s="56"/>
      <c r="P56" s="56"/>
    </row>
    <row r="57" spans="1:58" ht="12.75">
      <c r="A57" s="41" t="s">
        <v>23</v>
      </c>
      <c r="B57" s="41" t="s">
        <v>157</v>
      </c>
      <c r="C57" s="41" t="s">
        <v>176</v>
      </c>
      <c r="D57" s="41" t="s">
        <v>344</v>
      </c>
      <c r="E57" s="41" t="s">
        <v>629</v>
      </c>
      <c r="F57" s="44">
        <v>162.452</v>
      </c>
      <c r="G57" s="45">
        <v>140</v>
      </c>
      <c r="H57" s="69">
        <f>F57*G57</f>
        <v>22743.28</v>
      </c>
      <c r="I57" s="55">
        <v>0</v>
      </c>
      <c r="J57" s="55">
        <f>F57*I57</f>
        <v>0</v>
      </c>
      <c r="L57" s="44">
        <v>162.452</v>
      </c>
      <c r="M57" s="45">
        <v>140</v>
      </c>
      <c r="N57" s="69">
        <f>L57*M57</f>
        <v>22743.28</v>
      </c>
      <c r="O57" s="55">
        <v>0</v>
      </c>
      <c r="P57" s="55">
        <f>L57*O57</f>
        <v>0</v>
      </c>
      <c r="V57" s="31">
        <f>IF(AM57="5",BF57,0)</f>
        <v>0</v>
      </c>
      <c r="X57" s="31">
        <f>IF(AM57="1",BD57,0)</f>
        <v>0</v>
      </c>
      <c r="Y57" s="31">
        <f>IF(AM57="1",BE57,0)</f>
        <v>22743.28</v>
      </c>
      <c r="Z57" s="31">
        <f>IF(AM57="7",BD57,0)</f>
        <v>0</v>
      </c>
      <c r="AA57" s="31">
        <f>IF(AM57="7",BE57,0)</f>
        <v>0</v>
      </c>
      <c r="AB57" s="31">
        <f>IF(AM57="2",BD57,0)</f>
        <v>0</v>
      </c>
      <c r="AC57" s="31">
        <f>IF(AM57="2",BE57,0)</f>
        <v>0</v>
      </c>
      <c r="AD57" s="31">
        <f>IF(AM57="0",BF57,0)</f>
        <v>0</v>
      </c>
      <c r="AE57" s="26" t="s">
        <v>157</v>
      </c>
      <c r="AF57" s="19">
        <f>IF(AJ57=0,H57,0)</f>
        <v>0</v>
      </c>
      <c r="AG57" s="19">
        <f>IF(AJ57=15,H57,0)</f>
        <v>0</v>
      </c>
      <c r="AH57" s="19">
        <f>IF(AJ57=21,H57,0)</f>
        <v>22743.28</v>
      </c>
      <c r="AJ57" s="31">
        <v>21</v>
      </c>
      <c r="AK57" s="31">
        <f>G57*0</f>
        <v>0</v>
      </c>
      <c r="AL57" s="31">
        <f>G57*(1-0)</f>
        <v>140</v>
      </c>
      <c r="AM57" s="27" t="s">
        <v>7</v>
      </c>
      <c r="AR57" s="31">
        <f>AS57+AT57</f>
        <v>22743.28</v>
      </c>
      <c r="AS57" s="31">
        <f>F57*AK57</f>
        <v>0</v>
      </c>
      <c r="AT57" s="31">
        <f>F57*AL57</f>
        <v>22743.28</v>
      </c>
      <c r="AU57" s="32" t="s">
        <v>661</v>
      </c>
      <c r="AV57" s="32" t="s">
        <v>684</v>
      </c>
      <c r="AW57" s="26" t="s">
        <v>698</v>
      </c>
      <c r="AY57" s="31">
        <f>AS57+AT57</f>
        <v>22743.28</v>
      </c>
      <c r="AZ57" s="31">
        <f>G57/(100-BA57)*100</f>
        <v>140</v>
      </c>
      <c r="BA57" s="31">
        <v>0</v>
      </c>
      <c r="BB57" s="31">
        <f>J57</f>
        <v>0</v>
      </c>
      <c r="BD57" s="19">
        <f>F57*AK57</f>
        <v>0</v>
      </c>
      <c r="BE57" s="19">
        <f>F57*AL57</f>
        <v>22743.28</v>
      </c>
      <c r="BF57" s="19">
        <f>F57*G57</f>
        <v>22743.28</v>
      </c>
    </row>
    <row r="58" spans="1:16" ht="12.75">
      <c r="A58" s="47"/>
      <c r="B58" s="47"/>
      <c r="C58" s="47"/>
      <c r="D58" s="48" t="s">
        <v>345</v>
      </c>
      <c r="E58" s="47"/>
      <c r="F58" s="49">
        <v>111.673</v>
      </c>
      <c r="G58" s="47"/>
      <c r="H58" s="70"/>
      <c r="I58" s="56"/>
      <c r="J58" s="56"/>
      <c r="L58" s="49">
        <v>111.673</v>
      </c>
      <c r="M58" s="47"/>
      <c r="N58" s="70"/>
      <c r="O58" s="56"/>
      <c r="P58" s="56"/>
    </row>
    <row r="59" spans="1:16" ht="12.75">
      <c r="A59" s="47"/>
      <c r="B59" s="47"/>
      <c r="C59" s="47"/>
      <c r="D59" s="48" t="s">
        <v>346</v>
      </c>
      <c r="E59" s="47"/>
      <c r="F59" s="49">
        <v>45.401</v>
      </c>
      <c r="G59" s="47"/>
      <c r="H59" s="70"/>
      <c r="I59" s="56"/>
      <c r="J59" s="56"/>
      <c r="L59" s="49">
        <v>45.401</v>
      </c>
      <c r="M59" s="47"/>
      <c r="N59" s="70"/>
      <c r="O59" s="56"/>
      <c r="P59" s="56"/>
    </row>
    <row r="60" spans="1:16" ht="12.75">
      <c r="A60" s="47"/>
      <c r="B60" s="47"/>
      <c r="C60" s="47"/>
      <c r="D60" s="48" t="s">
        <v>347</v>
      </c>
      <c r="E60" s="47"/>
      <c r="F60" s="49">
        <v>5.378</v>
      </c>
      <c r="G60" s="47"/>
      <c r="H60" s="70"/>
      <c r="I60" s="56"/>
      <c r="J60" s="56"/>
      <c r="L60" s="49">
        <v>5.378</v>
      </c>
      <c r="M60" s="47"/>
      <c r="N60" s="70"/>
      <c r="O60" s="56"/>
      <c r="P60" s="56"/>
    </row>
    <row r="61" spans="1:58" ht="12.75">
      <c r="A61" s="41" t="s">
        <v>24</v>
      </c>
      <c r="B61" s="41" t="s">
        <v>157</v>
      </c>
      <c r="C61" s="41" t="s">
        <v>177</v>
      </c>
      <c r="D61" s="41" t="s">
        <v>348</v>
      </c>
      <c r="E61" s="41" t="s">
        <v>629</v>
      </c>
      <c r="F61" s="44">
        <v>162.452</v>
      </c>
      <c r="G61" s="45">
        <v>24</v>
      </c>
      <c r="H61" s="69">
        <f>F61*G61</f>
        <v>3898.848</v>
      </c>
      <c r="I61" s="55">
        <v>0</v>
      </c>
      <c r="J61" s="55">
        <f>F61*I61</f>
        <v>0</v>
      </c>
      <c r="L61" s="44">
        <v>162.452</v>
      </c>
      <c r="M61" s="45">
        <v>24</v>
      </c>
      <c r="N61" s="69">
        <f>L61*M61</f>
        <v>3898.848</v>
      </c>
      <c r="O61" s="55">
        <v>0</v>
      </c>
      <c r="P61" s="55">
        <f>L61*O61</f>
        <v>0</v>
      </c>
      <c r="V61" s="31">
        <f>IF(AM61="5",BF61,0)</f>
        <v>0</v>
      </c>
      <c r="X61" s="31">
        <f>IF(AM61="1",BD61,0)</f>
        <v>0</v>
      </c>
      <c r="Y61" s="31">
        <f>IF(AM61="1",BE61,0)</f>
        <v>3898.848</v>
      </c>
      <c r="Z61" s="31">
        <f>IF(AM61="7",BD61,0)</f>
        <v>0</v>
      </c>
      <c r="AA61" s="31">
        <f>IF(AM61="7",BE61,0)</f>
        <v>0</v>
      </c>
      <c r="AB61" s="31">
        <f>IF(AM61="2",BD61,0)</f>
        <v>0</v>
      </c>
      <c r="AC61" s="31">
        <f>IF(AM61="2",BE61,0)</f>
        <v>0</v>
      </c>
      <c r="AD61" s="31">
        <f>IF(AM61="0",BF61,0)</f>
        <v>0</v>
      </c>
      <c r="AE61" s="26" t="s">
        <v>157</v>
      </c>
      <c r="AF61" s="19">
        <f>IF(AJ61=0,H61,0)</f>
        <v>0</v>
      </c>
      <c r="AG61" s="19">
        <f>IF(AJ61=15,H61,0)</f>
        <v>0</v>
      </c>
      <c r="AH61" s="19">
        <f>IF(AJ61=21,H61,0)</f>
        <v>3898.848</v>
      </c>
      <c r="AJ61" s="31">
        <v>21</v>
      </c>
      <c r="AK61" s="31">
        <f>G61*0</f>
        <v>0</v>
      </c>
      <c r="AL61" s="31">
        <f>G61*(1-0)</f>
        <v>24</v>
      </c>
      <c r="AM61" s="27" t="s">
        <v>7</v>
      </c>
      <c r="AR61" s="31">
        <f>AS61+AT61</f>
        <v>3898.848</v>
      </c>
      <c r="AS61" s="31">
        <f>F61*AK61</f>
        <v>0</v>
      </c>
      <c r="AT61" s="31">
        <f>F61*AL61</f>
        <v>3898.848</v>
      </c>
      <c r="AU61" s="32" t="s">
        <v>661</v>
      </c>
      <c r="AV61" s="32" t="s">
        <v>684</v>
      </c>
      <c r="AW61" s="26" t="s">
        <v>698</v>
      </c>
      <c r="AY61" s="31">
        <f>AS61+AT61</f>
        <v>3898.848</v>
      </c>
      <c r="AZ61" s="31">
        <f>G61/(100-BA61)*100</f>
        <v>24</v>
      </c>
      <c r="BA61" s="31">
        <v>0</v>
      </c>
      <c r="BB61" s="31">
        <f>J61</f>
        <v>0</v>
      </c>
      <c r="BD61" s="19">
        <f>F61*AK61</f>
        <v>0</v>
      </c>
      <c r="BE61" s="19">
        <f>F61*AL61</f>
        <v>3898.848</v>
      </c>
      <c r="BF61" s="19">
        <f>F61*G61</f>
        <v>3898.848</v>
      </c>
    </row>
    <row r="62" spans="1:16" ht="12.75">
      <c r="A62" s="47"/>
      <c r="B62" s="47"/>
      <c r="C62" s="47"/>
      <c r="D62" s="48" t="s">
        <v>345</v>
      </c>
      <c r="E62" s="47"/>
      <c r="F62" s="49">
        <v>111.673</v>
      </c>
      <c r="G62" s="47"/>
      <c r="H62" s="70"/>
      <c r="I62" s="56"/>
      <c r="J62" s="56"/>
      <c r="L62" s="49">
        <v>111.673</v>
      </c>
      <c r="M62" s="47"/>
      <c r="N62" s="70"/>
      <c r="O62" s="56"/>
      <c r="P62" s="56"/>
    </row>
    <row r="63" spans="1:16" ht="12.75">
      <c r="A63" s="47"/>
      <c r="B63" s="47"/>
      <c r="C63" s="47"/>
      <c r="D63" s="48" t="s">
        <v>346</v>
      </c>
      <c r="E63" s="47"/>
      <c r="F63" s="49">
        <v>45.401</v>
      </c>
      <c r="G63" s="47"/>
      <c r="H63" s="47"/>
      <c r="I63" s="56"/>
      <c r="J63" s="56"/>
      <c r="L63" s="49">
        <v>45.401</v>
      </c>
      <c r="M63" s="47"/>
      <c r="N63" s="47"/>
      <c r="O63" s="56"/>
      <c r="P63" s="56"/>
    </row>
    <row r="64" spans="1:16" ht="12.75">
      <c r="A64" s="42"/>
      <c r="B64" s="42"/>
      <c r="C64" s="42"/>
      <c r="D64" s="43" t="s">
        <v>347</v>
      </c>
      <c r="E64" s="42"/>
      <c r="F64" s="46">
        <v>5.378</v>
      </c>
      <c r="G64" s="42"/>
      <c r="H64" s="42"/>
      <c r="I64" s="57"/>
      <c r="J64" s="57"/>
      <c r="L64" s="46">
        <v>5.378</v>
      </c>
      <c r="M64" s="42"/>
      <c r="N64" s="42"/>
      <c r="O64" s="57"/>
      <c r="P64" s="57"/>
    </row>
    <row r="65" spans="1:43" ht="12.75">
      <c r="A65" s="4"/>
      <c r="B65" s="13" t="s">
        <v>157</v>
      </c>
      <c r="C65" s="13" t="s">
        <v>25</v>
      </c>
      <c r="D65" s="13" t="s">
        <v>349</v>
      </c>
      <c r="E65" s="4" t="s">
        <v>6</v>
      </c>
      <c r="F65" s="4" t="s">
        <v>6</v>
      </c>
      <c r="G65" s="4"/>
      <c r="H65" s="34">
        <f>SUM(H66:H66)</f>
        <v>8956.980000000001</v>
      </c>
      <c r="I65" s="54"/>
      <c r="J65" s="54">
        <f>SUM(J66:J66)</f>
        <v>0</v>
      </c>
      <c r="L65" s="4" t="s">
        <v>6</v>
      </c>
      <c r="M65" s="4"/>
      <c r="N65" s="34">
        <f>SUM(N66:N66)</f>
        <v>0</v>
      </c>
      <c r="O65" s="54"/>
      <c r="P65" s="54">
        <f>SUM(P66:P66)</f>
        <v>0</v>
      </c>
      <c r="AE65" s="26" t="s">
        <v>157</v>
      </c>
      <c r="AO65" s="34">
        <f>SUM(AF66:AF66)</f>
        <v>0</v>
      </c>
      <c r="AP65" s="34">
        <f>SUM(AG66:AG66)</f>
        <v>0</v>
      </c>
      <c r="AQ65" s="34">
        <f>SUM(AH66:AH66)</f>
        <v>8956.980000000001</v>
      </c>
    </row>
    <row r="66" spans="1:58" ht="12.75">
      <c r="A66" s="41" t="s">
        <v>25</v>
      </c>
      <c r="B66" s="41" t="s">
        <v>157</v>
      </c>
      <c r="C66" s="41" t="s">
        <v>178</v>
      </c>
      <c r="D66" s="41" t="s">
        <v>350</v>
      </c>
      <c r="E66" s="41" t="s">
        <v>629</v>
      </c>
      <c r="F66" s="44">
        <v>49.761</v>
      </c>
      <c r="G66" s="45">
        <v>180</v>
      </c>
      <c r="H66" s="69">
        <f>F66*G66</f>
        <v>8956.980000000001</v>
      </c>
      <c r="I66" s="55">
        <v>0</v>
      </c>
      <c r="J66" s="55">
        <f>F66*I66</f>
        <v>0</v>
      </c>
      <c r="L66" s="101">
        <v>0</v>
      </c>
      <c r="M66" s="45">
        <v>180</v>
      </c>
      <c r="N66" s="69">
        <f>L66*M66</f>
        <v>0</v>
      </c>
      <c r="O66" s="55">
        <v>0</v>
      </c>
      <c r="P66" s="55">
        <f>L66*O66</f>
        <v>0</v>
      </c>
      <c r="V66" s="31">
        <f>IF(AM66="5",BF66,0)</f>
        <v>0</v>
      </c>
      <c r="X66" s="31">
        <f>IF(AM66="1",BD66,0)</f>
        <v>0</v>
      </c>
      <c r="Y66" s="31">
        <f>IF(AM66="1",BE66,0)</f>
        <v>8956.980000000001</v>
      </c>
      <c r="Z66" s="31">
        <f>IF(AM66="7",BD66,0)</f>
        <v>0</v>
      </c>
      <c r="AA66" s="31">
        <f>IF(AM66="7",BE66,0)</f>
        <v>0</v>
      </c>
      <c r="AB66" s="31">
        <f>IF(AM66="2",BD66,0)</f>
        <v>0</v>
      </c>
      <c r="AC66" s="31">
        <f>IF(AM66="2",BE66,0)</f>
        <v>0</v>
      </c>
      <c r="AD66" s="31">
        <f>IF(AM66="0",BF66,0)</f>
        <v>0</v>
      </c>
      <c r="AE66" s="26" t="s">
        <v>157</v>
      </c>
      <c r="AF66" s="19">
        <f>IF(AJ66=0,H66,0)</f>
        <v>0</v>
      </c>
      <c r="AG66" s="19">
        <f>IF(AJ66=15,H66,0)</f>
        <v>0</v>
      </c>
      <c r="AH66" s="19">
        <f>IF(AJ66=21,H66,0)</f>
        <v>8956.980000000001</v>
      </c>
      <c r="AJ66" s="31">
        <v>21</v>
      </c>
      <c r="AK66" s="31">
        <f>G66*0</f>
        <v>0</v>
      </c>
      <c r="AL66" s="31">
        <f>G66*(1-0)</f>
        <v>180</v>
      </c>
      <c r="AM66" s="27" t="s">
        <v>7</v>
      </c>
      <c r="AR66" s="31">
        <f>AS66+AT66</f>
        <v>8956.980000000001</v>
      </c>
      <c r="AS66" s="31">
        <f>F66*AK66</f>
        <v>0</v>
      </c>
      <c r="AT66" s="31">
        <f>F66*AL66</f>
        <v>8956.980000000001</v>
      </c>
      <c r="AU66" s="32" t="s">
        <v>662</v>
      </c>
      <c r="AV66" s="32" t="s">
        <v>684</v>
      </c>
      <c r="AW66" s="26" t="s">
        <v>698</v>
      </c>
      <c r="AY66" s="31">
        <f>AS66+AT66</f>
        <v>8956.980000000001</v>
      </c>
      <c r="AZ66" s="31">
        <f>G66/(100-BA66)*100</f>
        <v>180</v>
      </c>
      <c r="BA66" s="31">
        <v>0</v>
      </c>
      <c r="BB66" s="31">
        <f>J66</f>
        <v>0</v>
      </c>
      <c r="BD66" s="19">
        <f>F66*AK66</f>
        <v>0</v>
      </c>
      <c r="BE66" s="19">
        <f>F66*AL66</f>
        <v>8956.980000000001</v>
      </c>
      <c r="BF66" s="19">
        <f>F66*G66</f>
        <v>8956.980000000001</v>
      </c>
    </row>
    <row r="67" spans="1:16" ht="12.75">
      <c r="A67" s="42"/>
      <c r="B67" s="42"/>
      <c r="C67" s="42"/>
      <c r="D67" s="43" t="s">
        <v>337</v>
      </c>
      <c r="E67" s="42"/>
      <c r="F67" s="46">
        <v>49.761</v>
      </c>
      <c r="G67" s="42"/>
      <c r="H67" s="42"/>
      <c r="I67" s="57"/>
      <c r="J67" s="57"/>
      <c r="L67" s="46"/>
      <c r="M67" s="42"/>
      <c r="N67" s="42"/>
      <c r="O67" s="57"/>
      <c r="P67" s="57"/>
    </row>
    <row r="68" spans="1:43" ht="12.75">
      <c r="A68" s="4"/>
      <c r="B68" s="13" t="s">
        <v>157</v>
      </c>
      <c r="C68" s="13" t="s">
        <v>27</v>
      </c>
      <c r="D68" s="13" t="s">
        <v>351</v>
      </c>
      <c r="E68" s="4" t="s">
        <v>6</v>
      </c>
      <c r="F68" s="4" t="s">
        <v>6</v>
      </c>
      <c r="G68" s="4"/>
      <c r="H68" s="34">
        <f>SUM(H69:H81)</f>
        <v>15448.698999999999</v>
      </c>
      <c r="I68" s="54"/>
      <c r="J68" s="54">
        <f>SUM(J69:J81)</f>
        <v>6.75189648</v>
      </c>
      <c r="L68" s="4" t="s">
        <v>6</v>
      </c>
      <c r="M68" s="4"/>
      <c r="N68" s="34">
        <f>SUM(N69:N81)</f>
        <v>15448.698999999999</v>
      </c>
      <c r="O68" s="54"/>
      <c r="P68" s="54">
        <f>SUM(P69:P81)</f>
        <v>6.75189648</v>
      </c>
      <c r="AE68" s="26" t="s">
        <v>157</v>
      </c>
      <c r="AO68" s="34">
        <f>SUM(AF69:AF81)</f>
        <v>0</v>
      </c>
      <c r="AP68" s="34">
        <f>SUM(AG69:AG81)</f>
        <v>0</v>
      </c>
      <c r="AQ68" s="34">
        <f>SUM(AH69:AH81)</f>
        <v>15448.698999999999</v>
      </c>
    </row>
    <row r="69" spans="1:58" ht="12.75">
      <c r="A69" s="41" t="s">
        <v>26</v>
      </c>
      <c r="B69" s="41" t="s">
        <v>157</v>
      </c>
      <c r="C69" s="41" t="s">
        <v>179</v>
      </c>
      <c r="D69" s="41" t="s">
        <v>352</v>
      </c>
      <c r="E69" s="41" t="s">
        <v>630</v>
      </c>
      <c r="F69" s="44">
        <v>109.71</v>
      </c>
      <c r="G69" s="45">
        <v>29.5</v>
      </c>
      <c r="H69" s="69">
        <f>F69*G69</f>
        <v>3236.4449999999997</v>
      </c>
      <c r="I69" s="55">
        <v>0</v>
      </c>
      <c r="J69" s="55">
        <f>F69*I69</f>
        <v>0</v>
      </c>
      <c r="L69" s="44">
        <v>109.71</v>
      </c>
      <c r="M69" s="45">
        <v>29.5</v>
      </c>
      <c r="N69" s="69">
        <f>L69*M69</f>
        <v>3236.4449999999997</v>
      </c>
      <c r="O69" s="55">
        <v>0</v>
      </c>
      <c r="P69" s="55">
        <f>L69*O69</f>
        <v>0</v>
      </c>
      <c r="V69" s="31">
        <f>IF(AM69="5",BF69,0)</f>
        <v>0</v>
      </c>
      <c r="X69" s="31">
        <f>IF(AM69="1",BD69,0)</f>
        <v>0</v>
      </c>
      <c r="Y69" s="31">
        <f>IF(AM69="1",BE69,0)</f>
        <v>3236.4449999999997</v>
      </c>
      <c r="Z69" s="31">
        <f>IF(AM69="7",BD69,0)</f>
        <v>0</v>
      </c>
      <c r="AA69" s="31">
        <f>IF(AM69="7",BE69,0)</f>
        <v>0</v>
      </c>
      <c r="AB69" s="31">
        <f>IF(AM69="2",BD69,0)</f>
        <v>0</v>
      </c>
      <c r="AC69" s="31">
        <f>IF(AM69="2",BE69,0)</f>
        <v>0</v>
      </c>
      <c r="AD69" s="31">
        <f>IF(AM69="0",BF69,0)</f>
        <v>0</v>
      </c>
      <c r="AE69" s="26" t="s">
        <v>157</v>
      </c>
      <c r="AF69" s="19">
        <f>IF(AJ69=0,H69,0)</f>
        <v>0</v>
      </c>
      <c r="AG69" s="19">
        <f>IF(AJ69=15,H69,0)</f>
        <v>0</v>
      </c>
      <c r="AH69" s="19">
        <f>IF(AJ69=21,H69,0)</f>
        <v>3236.4449999999997</v>
      </c>
      <c r="AJ69" s="31">
        <v>21</v>
      </c>
      <c r="AK69" s="31">
        <f>G69*0</f>
        <v>0</v>
      </c>
      <c r="AL69" s="31">
        <f>G69*(1-0)</f>
        <v>29.5</v>
      </c>
      <c r="AM69" s="27" t="s">
        <v>7</v>
      </c>
      <c r="AR69" s="31">
        <f>AS69+AT69</f>
        <v>3236.4449999999997</v>
      </c>
      <c r="AS69" s="31">
        <f>F69*AK69</f>
        <v>0</v>
      </c>
      <c r="AT69" s="31">
        <f>F69*AL69</f>
        <v>3236.4449999999997</v>
      </c>
      <c r="AU69" s="32" t="s">
        <v>663</v>
      </c>
      <c r="AV69" s="32" t="s">
        <v>685</v>
      </c>
      <c r="AW69" s="26" t="s">
        <v>698</v>
      </c>
      <c r="AY69" s="31">
        <f>AS69+AT69</f>
        <v>3236.4449999999997</v>
      </c>
      <c r="AZ69" s="31">
        <f>G69/(100-BA69)*100</f>
        <v>29.5</v>
      </c>
      <c r="BA69" s="31">
        <v>0</v>
      </c>
      <c r="BB69" s="31">
        <f>J69</f>
        <v>0</v>
      </c>
      <c r="BD69" s="19">
        <f>F69*AK69</f>
        <v>0</v>
      </c>
      <c r="BE69" s="19">
        <f>F69*AL69</f>
        <v>3236.4449999999997</v>
      </c>
      <c r="BF69" s="19">
        <f>F69*G69</f>
        <v>3236.4449999999997</v>
      </c>
    </row>
    <row r="70" spans="1:16" ht="12.75">
      <c r="A70" s="47"/>
      <c r="B70" s="47"/>
      <c r="C70" s="47"/>
      <c r="D70" s="48" t="s">
        <v>353</v>
      </c>
      <c r="E70" s="47"/>
      <c r="F70" s="49">
        <v>109.71</v>
      </c>
      <c r="G70" s="47"/>
      <c r="H70" s="70"/>
      <c r="I70" s="56"/>
      <c r="J70" s="56"/>
      <c r="L70" s="49">
        <v>109.71</v>
      </c>
      <c r="M70" s="47"/>
      <c r="N70" s="70"/>
      <c r="O70" s="56"/>
      <c r="P70" s="56"/>
    </row>
    <row r="71" spans="1:58" ht="12.75">
      <c r="A71" s="41" t="s">
        <v>27</v>
      </c>
      <c r="B71" s="41" t="s">
        <v>157</v>
      </c>
      <c r="C71" s="41" t="s">
        <v>180</v>
      </c>
      <c r="D71" s="41" t="s">
        <v>354</v>
      </c>
      <c r="E71" s="41" t="s">
        <v>629</v>
      </c>
      <c r="F71" s="44">
        <v>4.05</v>
      </c>
      <c r="G71" s="45">
        <v>1130</v>
      </c>
      <c r="H71" s="69">
        <f>F71*G71</f>
        <v>4576.5</v>
      </c>
      <c r="I71" s="55">
        <v>1.665</v>
      </c>
      <c r="J71" s="55">
        <f>F71*I71</f>
        <v>6.74325</v>
      </c>
      <c r="L71" s="44">
        <v>4.05</v>
      </c>
      <c r="M71" s="45">
        <v>1130</v>
      </c>
      <c r="N71" s="69">
        <f>L71*M71</f>
        <v>4576.5</v>
      </c>
      <c r="O71" s="55">
        <v>1.665</v>
      </c>
      <c r="P71" s="55">
        <f>L71*O71</f>
        <v>6.74325</v>
      </c>
      <c r="V71" s="31">
        <f>IF(AM71="5",BF71,0)</f>
        <v>0</v>
      </c>
      <c r="X71" s="31">
        <f>IF(AM71="1",BD71,0)</f>
        <v>3244.382245508983</v>
      </c>
      <c r="Y71" s="31">
        <f>IF(AM71="1",BE71,0)</f>
        <v>1332.1177544910167</v>
      </c>
      <c r="Z71" s="31">
        <f>IF(AM71="7",BD71,0)</f>
        <v>0</v>
      </c>
      <c r="AA71" s="31">
        <f>IF(AM71="7",BE71,0)</f>
        <v>0</v>
      </c>
      <c r="AB71" s="31">
        <f>IF(AM71="2",BD71,0)</f>
        <v>0</v>
      </c>
      <c r="AC71" s="31">
        <f>IF(AM71="2",BE71,0)</f>
        <v>0</v>
      </c>
      <c r="AD71" s="31">
        <f>IF(AM71="0",BF71,0)</f>
        <v>0</v>
      </c>
      <c r="AE71" s="26" t="s">
        <v>157</v>
      </c>
      <c r="AF71" s="19">
        <f>IF(AJ71=0,H71,0)</f>
        <v>0</v>
      </c>
      <c r="AG71" s="19">
        <f>IF(AJ71=15,H71,0)</f>
        <v>0</v>
      </c>
      <c r="AH71" s="19">
        <f>IF(AJ71=21,H71,0)</f>
        <v>4576.5</v>
      </c>
      <c r="AJ71" s="31">
        <v>21</v>
      </c>
      <c r="AK71" s="31">
        <f>G71*0.708922155688623</f>
        <v>801.082035928144</v>
      </c>
      <c r="AL71" s="31">
        <f>G71*(1-0.708922155688623)</f>
        <v>328.917964071856</v>
      </c>
      <c r="AM71" s="27" t="s">
        <v>7</v>
      </c>
      <c r="AR71" s="31">
        <f>AS71+AT71</f>
        <v>4576.5</v>
      </c>
      <c r="AS71" s="31">
        <f>F71*AK71</f>
        <v>3244.382245508983</v>
      </c>
      <c r="AT71" s="31">
        <f>F71*AL71</f>
        <v>1332.1177544910167</v>
      </c>
      <c r="AU71" s="32" t="s">
        <v>663</v>
      </c>
      <c r="AV71" s="32" t="s">
        <v>685</v>
      </c>
      <c r="AW71" s="26" t="s">
        <v>698</v>
      </c>
      <c r="AY71" s="31">
        <f>AS71+AT71</f>
        <v>4576.5</v>
      </c>
      <c r="AZ71" s="31">
        <f>G71/(100-BA71)*100</f>
        <v>1130</v>
      </c>
      <c r="BA71" s="31">
        <v>0</v>
      </c>
      <c r="BB71" s="31">
        <f>J71</f>
        <v>6.74325</v>
      </c>
      <c r="BD71" s="19">
        <f>F71*AK71</f>
        <v>3244.382245508983</v>
      </c>
      <c r="BE71" s="19">
        <f>F71*AL71</f>
        <v>1332.1177544910167</v>
      </c>
      <c r="BF71" s="19">
        <f>F71*G71</f>
        <v>4576.5</v>
      </c>
    </row>
    <row r="72" spans="1:16" ht="12.75">
      <c r="A72" s="47"/>
      <c r="B72" s="47"/>
      <c r="C72" s="47"/>
      <c r="D72" s="48" t="s">
        <v>355</v>
      </c>
      <c r="E72" s="47"/>
      <c r="F72" s="49">
        <v>4.05</v>
      </c>
      <c r="G72" s="47"/>
      <c r="H72" s="70"/>
      <c r="I72" s="56"/>
      <c r="J72" s="56"/>
      <c r="L72" s="49">
        <v>4.05</v>
      </c>
      <c r="M72" s="47"/>
      <c r="N72" s="70"/>
      <c r="O72" s="56"/>
      <c r="P72" s="56"/>
    </row>
    <row r="73" spans="1:58" ht="12.75">
      <c r="A73" s="41" t="s">
        <v>28</v>
      </c>
      <c r="B73" s="41" t="s">
        <v>157</v>
      </c>
      <c r="C73" s="41" t="s">
        <v>181</v>
      </c>
      <c r="D73" s="41" t="s">
        <v>356</v>
      </c>
      <c r="E73" s="41" t="s">
        <v>630</v>
      </c>
      <c r="F73" s="44">
        <v>48.036</v>
      </c>
      <c r="G73" s="45">
        <v>26.5</v>
      </c>
      <c r="H73" s="69">
        <f>F73*G73</f>
        <v>1272.954</v>
      </c>
      <c r="I73" s="55">
        <v>0.00018</v>
      </c>
      <c r="J73" s="55">
        <f>F73*I73</f>
        <v>0.008646480000000002</v>
      </c>
      <c r="L73" s="44">
        <v>48.036</v>
      </c>
      <c r="M73" s="45">
        <v>26.5</v>
      </c>
      <c r="N73" s="69">
        <f>L73*M73</f>
        <v>1272.954</v>
      </c>
      <c r="O73" s="55">
        <v>0.00018</v>
      </c>
      <c r="P73" s="55">
        <f>L73*O73</f>
        <v>0.008646480000000002</v>
      </c>
      <c r="V73" s="31">
        <f>IF(AM73="5",BF73,0)</f>
        <v>0</v>
      </c>
      <c r="X73" s="31">
        <f>IF(AM73="1",BD73,0)</f>
        <v>116.46952084716399</v>
      </c>
      <c r="Y73" s="31">
        <f>IF(AM73="1",BE73,0)</f>
        <v>1156.484479152836</v>
      </c>
      <c r="Z73" s="31">
        <f>IF(AM73="7",BD73,0)</f>
        <v>0</v>
      </c>
      <c r="AA73" s="31">
        <f>IF(AM73="7",BE73,0)</f>
        <v>0</v>
      </c>
      <c r="AB73" s="31">
        <f>IF(AM73="2",BD73,0)</f>
        <v>0</v>
      </c>
      <c r="AC73" s="31">
        <f>IF(AM73="2",BE73,0)</f>
        <v>0</v>
      </c>
      <c r="AD73" s="31">
        <f>IF(AM73="0",BF73,0)</f>
        <v>0</v>
      </c>
      <c r="AE73" s="26" t="s">
        <v>157</v>
      </c>
      <c r="AF73" s="19">
        <f>IF(AJ73=0,H73,0)</f>
        <v>0</v>
      </c>
      <c r="AG73" s="19">
        <f>IF(AJ73=15,H73,0)</f>
        <v>0</v>
      </c>
      <c r="AH73" s="19">
        <f>IF(AJ73=21,H73,0)</f>
        <v>1272.954</v>
      </c>
      <c r="AJ73" s="31">
        <v>21</v>
      </c>
      <c r="AK73" s="31">
        <f>G73*0.0914954671159869</f>
        <v>2.424629878573653</v>
      </c>
      <c r="AL73" s="31">
        <f>G73*(1-0.0914954671159869)</f>
        <v>24.075370121426346</v>
      </c>
      <c r="AM73" s="27" t="s">
        <v>7</v>
      </c>
      <c r="AR73" s="31">
        <f>AS73+AT73</f>
        <v>1272.954</v>
      </c>
      <c r="AS73" s="31">
        <f>F73*AK73</f>
        <v>116.46952084716399</v>
      </c>
      <c r="AT73" s="31">
        <f>F73*AL73</f>
        <v>1156.484479152836</v>
      </c>
      <c r="AU73" s="32" t="s">
        <v>663</v>
      </c>
      <c r="AV73" s="32" t="s">
        <v>685</v>
      </c>
      <c r="AW73" s="26" t="s">
        <v>698</v>
      </c>
      <c r="AY73" s="31">
        <f>AS73+AT73</f>
        <v>1272.954</v>
      </c>
      <c r="AZ73" s="31">
        <f>G73/(100-BA73)*100</f>
        <v>26.5</v>
      </c>
      <c r="BA73" s="31">
        <v>0</v>
      </c>
      <c r="BB73" s="31">
        <f>J73</f>
        <v>0.008646480000000002</v>
      </c>
      <c r="BD73" s="19">
        <f>F73*AK73</f>
        <v>116.46952084716399</v>
      </c>
      <c r="BE73" s="19">
        <f>F73*AL73</f>
        <v>1156.484479152836</v>
      </c>
      <c r="BF73" s="19">
        <f>F73*G73</f>
        <v>1272.954</v>
      </c>
    </row>
    <row r="74" spans="1:16" ht="12.75">
      <c r="A74" s="47"/>
      <c r="B74" s="47"/>
      <c r="C74" s="47"/>
      <c r="D74" s="48" t="s">
        <v>357</v>
      </c>
      <c r="E74" s="47"/>
      <c r="F74" s="49">
        <v>38.88</v>
      </c>
      <c r="G74" s="47"/>
      <c r="H74" s="70"/>
      <c r="I74" s="56"/>
      <c r="J74" s="56"/>
      <c r="L74" s="49">
        <v>38.88</v>
      </c>
      <c r="M74" s="47"/>
      <c r="N74" s="70"/>
      <c r="O74" s="56"/>
      <c r="P74" s="56"/>
    </row>
    <row r="75" spans="1:16" ht="12.75">
      <c r="A75" s="47"/>
      <c r="B75" s="47"/>
      <c r="C75" s="47"/>
      <c r="D75" s="48" t="s">
        <v>358</v>
      </c>
      <c r="E75" s="47"/>
      <c r="F75" s="49">
        <v>9.156</v>
      </c>
      <c r="G75" s="47"/>
      <c r="H75" s="70"/>
      <c r="I75" s="56"/>
      <c r="J75" s="56"/>
      <c r="L75" s="49">
        <v>9.156</v>
      </c>
      <c r="M75" s="47"/>
      <c r="N75" s="70"/>
      <c r="O75" s="56"/>
      <c r="P75" s="56"/>
    </row>
    <row r="76" spans="1:58" ht="12.75">
      <c r="A76" s="50" t="s">
        <v>29</v>
      </c>
      <c r="B76" s="50" t="s">
        <v>157</v>
      </c>
      <c r="C76" s="50" t="s">
        <v>182</v>
      </c>
      <c r="D76" s="50" t="s">
        <v>359</v>
      </c>
      <c r="E76" s="50" t="s">
        <v>630</v>
      </c>
      <c r="F76" s="51">
        <v>52.84</v>
      </c>
      <c r="G76" s="52">
        <v>61</v>
      </c>
      <c r="H76" s="72">
        <f>F76*G76</f>
        <v>3223.2400000000002</v>
      </c>
      <c r="I76" s="58">
        <v>0</v>
      </c>
      <c r="J76" s="58">
        <f>F76*I76</f>
        <v>0</v>
      </c>
      <c r="L76" s="51">
        <v>52.84</v>
      </c>
      <c r="M76" s="52">
        <v>61</v>
      </c>
      <c r="N76" s="72">
        <f>L76*M76</f>
        <v>3223.2400000000002</v>
      </c>
      <c r="O76" s="58">
        <v>0</v>
      </c>
      <c r="P76" s="58">
        <f>L76*O76</f>
        <v>0</v>
      </c>
      <c r="V76" s="31">
        <f>IF(AM76="5",BF76,0)</f>
        <v>0</v>
      </c>
      <c r="X76" s="31">
        <f>IF(AM76="1",BD76,0)</f>
        <v>3223.2400000000002</v>
      </c>
      <c r="Y76" s="31">
        <f>IF(AM76="1",BE76,0)</f>
        <v>0</v>
      </c>
      <c r="Z76" s="31">
        <f>IF(AM76="7",BD76,0)</f>
        <v>0</v>
      </c>
      <c r="AA76" s="31">
        <f>IF(AM76="7",BE76,0)</f>
        <v>0</v>
      </c>
      <c r="AB76" s="31">
        <f>IF(AM76="2",BD76,0)</f>
        <v>0</v>
      </c>
      <c r="AC76" s="31">
        <f>IF(AM76="2",BE76,0)</f>
        <v>0</v>
      </c>
      <c r="AD76" s="31">
        <f>IF(AM76="0",BF76,0)</f>
        <v>0</v>
      </c>
      <c r="AE76" s="26" t="s">
        <v>157</v>
      </c>
      <c r="AF76" s="20">
        <f>IF(AJ76=0,H76,0)</f>
        <v>0</v>
      </c>
      <c r="AG76" s="20">
        <f>IF(AJ76=15,H76,0)</f>
        <v>0</v>
      </c>
      <c r="AH76" s="20">
        <f>IF(AJ76=21,H76,0)</f>
        <v>3223.2400000000002</v>
      </c>
      <c r="AJ76" s="31">
        <v>21</v>
      </c>
      <c r="AK76" s="31">
        <f>G76*1</f>
        <v>61</v>
      </c>
      <c r="AL76" s="31">
        <f>G76*(1-1)</f>
        <v>0</v>
      </c>
      <c r="AM76" s="28" t="s">
        <v>7</v>
      </c>
      <c r="AR76" s="31">
        <f>AS76+AT76</f>
        <v>3223.2400000000002</v>
      </c>
      <c r="AS76" s="31">
        <f>F76*AK76</f>
        <v>3223.2400000000002</v>
      </c>
      <c r="AT76" s="31">
        <f>F76*AL76</f>
        <v>0</v>
      </c>
      <c r="AU76" s="32" t="s">
        <v>663</v>
      </c>
      <c r="AV76" s="32" t="s">
        <v>685</v>
      </c>
      <c r="AW76" s="26" t="s">
        <v>698</v>
      </c>
      <c r="AY76" s="31">
        <f>AS76+AT76</f>
        <v>3223.2400000000002</v>
      </c>
      <c r="AZ76" s="31">
        <f>G76/(100-BA76)*100</f>
        <v>61</v>
      </c>
      <c r="BA76" s="31">
        <v>0</v>
      </c>
      <c r="BB76" s="31">
        <f>J76</f>
        <v>0</v>
      </c>
      <c r="BD76" s="20">
        <f>F76*AK76</f>
        <v>3223.2400000000002</v>
      </c>
      <c r="BE76" s="20">
        <f>F76*AL76</f>
        <v>0</v>
      </c>
      <c r="BF76" s="20">
        <f>F76*G76</f>
        <v>3223.2400000000002</v>
      </c>
    </row>
    <row r="77" spans="1:16" ht="12.75">
      <c r="A77" s="47"/>
      <c r="B77" s="47"/>
      <c r="C77" s="47"/>
      <c r="D77" s="48" t="s">
        <v>360</v>
      </c>
      <c r="E77" s="47"/>
      <c r="F77" s="49">
        <v>42.768</v>
      </c>
      <c r="G77" s="47"/>
      <c r="H77" s="70"/>
      <c r="I77" s="56"/>
      <c r="J77" s="56"/>
      <c r="L77" s="49">
        <v>42.768</v>
      </c>
      <c r="M77" s="47"/>
      <c r="N77" s="70"/>
      <c r="O77" s="56"/>
      <c r="P77" s="56"/>
    </row>
    <row r="78" spans="1:16" ht="12.75">
      <c r="A78" s="47"/>
      <c r="B78" s="47"/>
      <c r="C78" s="47"/>
      <c r="D78" s="48" t="s">
        <v>361</v>
      </c>
      <c r="E78" s="47"/>
      <c r="F78" s="49">
        <v>10.072</v>
      </c>
      <c r="G78" s="47"/>
      <c r="H78" s="70"/>
      <c r="I78" s="56"/>
      <c r="J78" s="56"/>
      <c r="L78" s="49">
        <v>10.072</v>
      </c>
      <c r="M78" s="47"/>
      <c r="N78" s="70"/>
      <c r="O78" s="56"/>
      <c r="P78" s="56"/>
    </row>
    <row r="79" spans="1:58" ht="12.75">
      <c r="A79" s="41" t="s">
        <v>30</v>
      </c>
      <c r="B79" s="41" t="s">
        <v>157</v>
      </c>
      <c r="C79" s="41" t="s">
        <v>183</v>
      </c>
      <c r="D79" s="41" t="s">
        <v>362</v>
      </c>
      <c r="E79" s="41" t="s">
        <v>631</v>
      </c>
      <c r="F79" s="44">
        <v>16.2</v>
      </c>
      <c r="G79" s="45">
        <v>20</v>
      </c>
      <c r="H79" s="69">
        <f>F79*G79</f>
        <v>324</v>
      </c>
      <c r="I79" s="55">
        <v>0</v>
      </c>
      <c r="J79" s="55">
        <f>F79*I79</f>
        <v>0</v>
      </c>
      <c r="L79" s="44">
        <v>16.2</v>
      </c>
      <c r="M79" s="45">
        <v>20</v>
      </c>
      <c r="N79" s="69">
        <f>L79*M79</f>
        <v>324</v>
      </c>
      <c r="O79" s="55">
        <v>0</v>
      </c>
      <c r="P79" s="55">
        <f>L79*O79</f>
        <v>0</v>
      </c>
      <c r="V79" s="31">
        <f>IF(AM79="5",BF79,0)</f>
        <v>0</v>
      </c>
      <c r="X79" s="31">
        <f>IF(AM79="1",BD79,0)</f>
        <v>0</v>
      </c>
      <c r="Y79" s="31">
        <f>IF(AM79="1",BE79,0)</f>
        <v>324</v>
      </c>
      <c r="Z79" s="31">
        <f>IF(AM79="7",BD79,0)</f>
        <v>0</v>
      </c>
      <c r="AA79" s="31">
        <f>IF(AM79="7",BE79,0)</f>
        <v>0</v>
      </c>
      <c r="AB79" s="31">
        <f>IF(AM79="2",BD79,0)</f>
        <v>0</v>
      </c>
      <c r="AC79" s="31">
        <f>IF(AM79="2",BE79,0)</f>
        <v>0</v>
      </c>
      <c r="AD79" s="31">
        <f>IF(AM79="0",BF79,0)</f>
        <v>0</v>
      </c>
      <c r="AE79" s="26" t="s">
        <v>157</v>
      </c>
      <c r="AF79" s="19">
        <f>IF(AJ79=0,H79,0)</f>
        <v>0</v>
      </c>
      <c r="AG79" s="19">
        <f>IF(AJ79=15,H79,0)</f>
        <v>0</v>
      </c>
      <c r="AH79" s="19">
        <f>IF(AJ79=21,H79,0)</f>
        <v>324</v>
      </c>
      <c r="AJ79" s="31">
        <v>21</v>
      </c>
      <c r="AK79" s="31">
        <f>G79*0</f>
        <v>0</v>
      </c>
      <c r="AL79" s="31">
        <f>G79*(1-0)</f>
        <v>20</v>
      </c>
      <c r="AM79" s="27" t="s">
        <v>7</v>
      </c>
      <c r="AR79" s="31">
        <f>AS79+AT79</f>
        <v>324</v>
      </c>
      <c r="AS79" s="31">
        <f>F79*AK79</f>
        <v>0</v>
      </c>
      <c r="AT79" s="31">
        <f>F79*AL79</f>
        <v>324</v>
      </c>
      <c r="AU79" s="32" t="s">
        <v>663</v>
      </c>
      <c r="AV79" s="32" t="s">
        <v>685</v>
      </c>
      <c r="AW79" s="26" t="s">
        <v>698</v>
      </c>
      <c r="AY79" s="31">
        <f>AS79+AT79</f>
        <v>324</v>
      </c>
      <c r="AZ79" s="31">
        <f>G79/(100-BA79)*100</f>
        <v>20</v>
      </c>
      <c r="BA79" s="31">
        <v>0</v>
      </c>
      <c r="BB79" s="31">
        <f>J79</f>
        <v>0</v>
      </c>
      <c r="BD79" s="19">
        <f>F79*AK79</f>
        <v>0</v>
      </c>
      <c r="BE79" s="19">
        <f>F79*AL79</f>
        <v>324</v>
      </c>
      <c r="BF79" s="19">
        <f>F79*G79</f>
        <v>324</v>
      </c>
    </row>
    <row r="80" spans="1:16" ht="12.75">
      <c r="A80" s="47"/>
      <c r="B80" s="47"/>
      <c r="C80" s="47"/>
      <c r="D80" s="48" t="s">
        <v>363</v>
      </c>
      <c r="E80" s="47"/>
      <c r="F80" s="49">
        <v>16.2</v>
      </c>
      <c r="G80" s="47"/>
      <c r="H80" s="70"/>
      <c r="I80" s="56"/>
      <c r="J80" s="56"/>
      <c r="L80" s="49">
        <v>16.2</v>
      </c>
      <c r="M80" s="47"/>
      <c r="N80" s="70"/>
      <c r="O80" s="56"/>
      <c r="P80" s="56"/>
    </row>
    <row r="81" spans="1:58" ht="12.75">
      <c r="A81" s="50" t="s">
        <v>31</v>
      </c>
      <c r="B81" s="50" t="s">
        <v>157</v>
      </c>
      <c r="C81" s="50" t="s">
        <v>184</v>
      </c>
      <c r="D81" s="50" t="s">
        <v>364</v>
      </c>
      <c r="E81" s="50" t="s">
        <v>631</v>
      </c>
      <c r="F81" s="51">
        <v>17.82</v>
      </c>
      <c r="G81" s="52">
        <v>158</v>
      </c>
      <c r="H81" s="72">
        <f>F81*G81</f>
        <v>2815.56</v>
      </c>
      <c r="I81" s="58">
        <v>0</v>
      </c>
      <c r="J81" s="58">
        <f>F81*I81</f>
        <v>0</v>
      </c>
      <c r="L81" s="51">
        <v>17.82</v>
      </c>
      <c r="M81" s="52">
        <v>158</v>
      </c>
      <c r="N81" s="72">
        <f>L81*M81</f>
        <v>2815.56</v>
      </c>
      <c r="O81" s="58">
        <v>0</v>
      </c>
      <c r="P81" s="58">
        <f>L81*O81</f>
        <v>0</v>
      </c>
      <c r="V81" s="31">
        <f>IF(AM81="5",BF81,0)</f>
        <v>0</v>
      </c>
      <c r="X81" s="31">
        <f>IF(AM81="1",BD81,0)</f>
        <v>2815.56</v>
      </c>
      <c r="Y81" s="31">
        <f>IF(AM81="1",BE81,0)</f>
        <v>0</v>
      </c>
      <c r="Z81" s="31">
        <f>IF(AM81="7",BD81,0)</f>
        <v>0</v>
      </c>
      <c r="AA81" s="31">
        <f>IF(AM81="7",BE81,0)</f>
        <v>0</v>
      </c>
      <c r="AB81" s="31">
        <f>IF(AM81="2",BD81,0)</f>
        <v>0</v>
      </c>
      <c r="AC81" s="31">
        <f>IF(AM81="2",BE81,0)</f>
        <v>0</v>
      </c>
      <c r="AD81" s="31">
        <f>IF(AM81="0",BF81,0)</f>
        <v>0</v>
      </c>
      <c r="AE81" s="26" t="s">
        <v>157</v>
      </c>
      <c r="AF81" s="20">
        <f>IF(AJ81=0,H81,0)</f>
        <v>0</v>
      </c>
      <c r="AG81" s="20">
        <f>IF(AJ81=15,H81,0)</f>
        <v>0</v>
      </c>
      <c r="AH81" s="20">
        <f>IF(AJ81=21,H81,0)</f>
        <v>2815.56</v>
      </c>
      <c r="AJ81" s="31">
        <v>21</v>
      </c>
      <c r="AK81" s="31">
        <f>G81*1</f>
        <v>158</v>
      </c>
      <c r="AL81" s="31">
        <f>G81*(1-1)</f>
        <v>0</v>
      </c>
      <c r="AM81" s="28" t="s">
        <v>7</v>
      </c>
      <c r="AR81" s="31">
        <f>AS81+AT81</f>
        <v>2815.56</v>
      </c>
      <c r="AS81" s="31">
        <f>F81*AK81</f>
        <v>2815.56</v>
      </c>
      <c r="AT81" s="31">
        <f>F81*AL81</f>
        <v>0</v>
      </c>
      <c r="AU81" s="32" t="s">
        <v>663</v>
      </c>
      <c r="AV81" s="32" t="s">
        <v>685</v>
      </c>
      <c r="AW81" s="26" t="s">
        <v>698</v>
      </c>
      <c r="AY81" s="31">
        <f>AS81+AT81</f>
        <v>2815.56</v>
      </c>
      <c r="AZ81" s="31">
        <f>G81/(100-BA81)*100</f>
        <v>158</v>
      </c>
      <c r="BA81" s="31">
        <v>0</v>
      </c>
      <c r="BB81" s="31">
        <f>J81</f>
        <v>0</v>
      </c>
      <c r="BD81" s="20">
        <f>F81*AK81</f>
        <v>2815.56</v>
      </c>
      <c r="BE81" s="20">
        <f>F81*AL81</f>
        <v>0</v>
      </c>
      <c r="BF81" s="20">
        <f>F81*G81</f>
        <v>2815.56</v>
      </c>
    </row>
    <row r="82" spans="1:16" ht="12.75">
      <c r="A82" s="42"/>
      <c r="B82" s="42"/>
      <c r="C82" s="42"/>
      <c r="D82" s="43" t="s">
        <v>365</v>
      </c>
      <c r="E82" s="42"/>
      <c r="F82" s="46">
        <v>17.82</v>
      </c>
      <c r="G82" s="42"/>
      <c r="H82" s="71"/>
      <c r="I82" s="57"/>
      <c r="J82" s="57"/>
      <c r="L82" s="46">
        <v>17.82</v>
      </c>
      <c r="M82" s="42"/>
      <c r="N82" s="71"/>
      <c r="O82" s="57"/>
      <c r="P82" s="57"/>
    </row>
    <row r="83" spans="1:43" ht="12.75">
      <c r="A83" s="4"/>
      <c r="B83" s="13" t="s">
        <v>157</v>
      </c>
      <c r="C83" s="13" t="s">
        <v>33</v>
      </c>
      <c r="D83" s="13" t="s">
        <v>366</v>
      </c>
      <c r="E83" s="4" t="s">
        <v>6</v>
      </c>
      <c r="F83" s="4" t="s">
        <v>6</v>
      </c>
      <c r="G83" s="4"/>
      <c r="H83" s="34">
        <f>SUM(H84:H97)</f>
        <v>95637.27</v>
      </c>
      <c r="I83" s="54"/>
      <c r="J83" s="54">
        <f>SUM(J84:J97)</f>
        <v>55.550840920000006</v>
      </c>
      <c r="L83" s="4" t="s">
        <v>6</v>
      </c>
      <c r="M83" s="4"/>
      <c r="N83" s="34">
        <f>SUM(N84:N97)</f>
        <v>123188.52</v>
      </c>
      <c r="O83" s="54"/>
      <c r="P83" s="54">
        <f>SUM(P84:P97)</f>
        <v>80.48521592</v>
      </c>
      <c r="AE83" s="26" t="s">
        <v>157</v>
      </c>
      <c r="AO83" s="34">
        <f>SUM(AF84:AF97)</f>
        <v>0</v>
      </c>
      <c r="AP83" s="34">
        <f>SUM(AG84:AG97)</f>
        <v>0</v>
      </c>
      <c r="AQ83" s="34">
        <f>SUM(AH84:AH97)</f>
        <v>95637.27</v>
      </c>
    </row>
    <row r="84" spans="1:58" ht="12.75">
      <c r="A84" s="41" t="s">
        <v>32</v>
      </c>
      <c r="B84" s="41" t="s">
        <v>157</v>
      </c>
      <c r="C84" s="41" t="s">
        <v>185</v>
      </c>
      <c r="D84" s="41" t="s">
        <v>367</v>
      </c>
      <c r="E84" s="41" t="s">
        <v>630</v>
      </c>
      <c r="F84" s="44">
        <v>25.794</v>
      </c>
      <c r="G84" s="45">
        <v>1450</v>
      </c>
      <c r="H84" s="69">
        <f>F84*G84</f>
        <v>37401.3</v>
      </c>
      <c r="I84" s="55">
        <v>0.74</v>
      </c>
      <c r="J84" s="55">
        <f>F84*I84</f>
        <v>19.08756</v>
      </c>
      <c r="L84" s="44">
        <v>25.794</v>
      </c>
      <c r="M84" s="45">
        <v>1450</v>
      </c>
      <c r="N84" s="69">
        <f>L84*M84</f>
        <v>37401.3</v>
      </c>
      <c r="O84" s="55">
        <v>0.74</v>
      </c>
      <c r="P84" s="55">
        <f>L84*O84</f>
        <v>19.08756</v>
      </c>
      <c r="V84" s="31">
        <f>IF(AM84="5",BF84,0)</f>
        <v>0</v>
      </c>
      <c r="X84" s="31">
        <f>IF(AM84="1",BD84,0)</f>
        <v>24384.073773185526</v>
      </c>
      <c r="Y84" s="31">
        <f>IF(AM84="1",BE84,0)</f>
        <v>13017.226226814473</v>
      </c>
      <c r="Z84" s="31">
        <f>IF(AM84="7",BD84,0)</f>
        <v>0</v>
      </c>
      <c r="AA84" s="31">
        <f>IF(AM84="7",BE84,0)</f>
        <v>0</v>
      </c>
      <c r="AB84" s="31">
        <f>IF(AM84="2",BD84,0)</f>
        <v>0</v>
      </c>
      <c r="AC84" s="31">
        <f>IF(AM84="2",BE84,0)</f>
        <v>0</v>
      </c>
      <c r="AD84" s="31">
        <f>IF(AM84="0",BF84,0)</f>
        <v>0</v>
      </c>
      <c r="AE84" s="26" t="s">
        <v>157</v>
      </c>
      <c r="AF84" s="19">
        <f>IF(AJ84=0,H84,0)</f>
        <v>0</v>
      </c>
      <c r="AG84" s="19">
        <f>IF(AJ84=15,H84,0)</f>
        <v>0</v>
      </c>
      <c r="AH84" s="19">
        <f>IF(AJ84=21,H84,0)</f>
        <v>37401.3</v>
      </c>
      <c r="AJ84" s="31">
        <v>21</v>
      </c>
      <c r="AK84" s="31">
        <f>G84*0.651957920531787</f>
        <v>945.3389847710912</v>
      </c>
      <c r="AL84" s="31">
        <f>G84*(1-0.651957920531787)</f>
        <v>504.6610152289088</v>
      </c>
      <c r="AM84" s="27" t="s">
        <v>7</v>
      </c>
      <c r="AR84" s="31">
        <f>AS84+AT84</f>
        <v>37401.3</v>
      </c>
      <c r="AS84" s="31">
        <f>F84*AK84</f>
        <v>24384.073773185526</v>
      </c>
      <c r="AT84" s="31">
        <f>F84*AL84</f>
        <v>13017.226226814473</v>
      </c>
      <c r="AU84" s="32" t="s">
        <v>664</v>
      </c>
      <c r="AV84" s="32" t="s">
        <v>685</v>
      </c>
      <c r="AW84" s="26" t="s">
        <v>698</v>
      </c>
      <c r="AY84" s="31">
        <f>AS84+AT84</f>
        <v>37401.3</v>
      </c>
      <c r="AZ84" s="31">
        <f>G84/(100-BA84)*100</f>
        <v>1450</v>
      </c>
      <c r="BA84" s="31">
        <v>0</v>
      </c>
      <c r="BB84" s="31">
        <f>J84</f>
        <v>19.08756</v>
      </c>
      <c r="BD84" s="19">
        <f>F84*AK84</f>
        <v>24384.073773185526</v>
      </c>
      <c r="BE84" s="19">
        <f>F84*AL84</f>
        <v>13017.226226814473</v>
      </c>
      <c r="BF84" s="19">
        <f>F84*G84</f>
        <v>37401.3</v>
      </c>
    </row>
    <row r="85" spans="1:16" ht="12.75">
      <c r="A85" s="47"/>
      <c r="B85" s="47"/>
      <c r="C85" s="47"/>
      <c r="D85" s="48" t="s">
        <v>368</v>
      </c>
      <c r="E85" s="47"/>
      <c r="F85" s="49">
        <v>21.619</v>
      </c>
      <c r="G85" s="47"/>
      <c r="H85" s="70"/>
      <c r="I85" s="56"/>
      <c r="J85" s="56"/>
      <c r="L85" s="49">
        <v>21.619</v>
      </c>
      <c r="M85" s="47"/>
      <c r="N85" s="70"/>
      <c r="O85" s="56"/>
      <c r="P85" s="56"/>
    </row>
    <row r="86" spans="1:16" ht="12.75">
      <c r="A86" s="47"/>
      <c r="B86" s="47"/>
      <c r="C86" s="47"/>
      <c r="D86" s="48" t="s">
        <v>369</v>
      </c>
      <c r="E86" s="47"/>
      <c r="F86" s="49">
        <v>4.175</v>
      </c>
      <c r="G86" s="47"/>
      <c r="H86" s="70"/>
      <c r="I86" s="56"/>
      <c r="J86" s="56"/>
      <c r="L86" s="49">
        <v>4.175</v>
      </c>
      <c r="M86" s="47"/>
      <c r="N86" s="70"/>
      <c r="O86" s="56"/>
      <c r="P86" s="56"/>
    </row>
    <row r="87" spans="1:58" ht="12.75">
      <c r="A87" s="41" t="s">
        <v>33</v>
      </c>
      <c r="B87" s="41" t="s">
        <v>157</v>
      </c>
      <c r="C87" s="41" t="s">
        <v>186</v>
      </c>
      <c r="D87" s="41" t="s">
        <v>370</v>
      </c>
      <c r="E87" s="41" t="s">
        <v>629</v>
      </c>
      <c r="F87" s="44">
        <v>14.018</v>
      </c>
      <c r="G87" s="45">
        <v>2790</v>
      </c>
      <c r="H87" s="69">
        <f>F87*G87</f>
        <v>39110.22</v>
      </c>
      <c r="I87" s="55">
        <v>2.525</v>
      </c>
      <c r="J87" s="55">
        <f>F87*I87</f>
        <v>35.395450000000004</v>
      </c>
      <c r="L87" s="102">
        <v>23.893</v>
      </c>
      <c r="M87" s="45">
        <v>2790</v>
      </c>
      <c r="N87" s="69">
        <f>L87*M87</f>
        <v>66661.47</v>
      </c>
      <c r="O87" s="55">
        <v>2.525</v>
      </c>
      <c r="P87" s="55">
        <f>L87*O87</f>
        <v>60.329825</v>
      </c>
      <c r="V87" s="31">
        <f>IF(AM87="5",BF87,0)</f>
        <v>0</v>
      </c>
      <c r="X87" s="31">
        <f>IF(AM87="1",BD87,0)</f>
        <v>35281.41958080003</v>
      </c>
      <c r="Y87" s="31">
        <f>IF(AM87="1",BE87,0)</f>
        <v>3828.800419199976</v>
      </c>
      <c r="Z87" s="31">
        <f>IF(AM87="7",BD87,0)</f>
        <v>0</v>
      </c>
      <c r="AA87" s="31">
        <f>IF(AM87="7",BE87,0)</f>
        <v>0</v>
      </c>
      <c r="AB87" s="31">
        <f>IF(AM87="2",BD87,0)</f>
        <v>0</v>
      </c>
      <c r="AC87" s="31">
        <f>IF(AM87="2",BE87,0)</f>
        <v>0</v>
      </c>
      <c r="AD87" s="31">
        <f>IF(AM87="0",BF87,0)</f>
        <v>0</v>
      </c>
      <c r="AE87" s="26" t="s">
        <v>157</v>
      </c>
      <c r="AF87" s="19">
        <f>IF(AJ87=0,H87,0)</f>
        <v>0</v>
      </c>
      <c r="AG87" s="19">
        <f>IF(AJ87=15,H87,0)</f>
        <v>0</v>
      </c>
      <c r="AH87" s="19">
        <f>IF(AJ87=21,H87,0)</f>
        <v>39110.22</v>
      </c>
      <c r="AJ87" s="31">
        <v>21</v>
      </c>
      <c r="AK87" s="31">
        <f>G87*0.902102304226364</f>
        <v>2516.8654287915556</v>
      </c>
      <c r="AL87" s="31">
        <f>G87*(1-0.902102304226364)</f>
        <v>273.1345712084446</v>
      </c>
      <c r="AM87" s="27" t="s">
        <v>7</v>
      </c>
      <c r="AR87" s="31">
        <f>AS87+AT87</f>
        <v>39110.22000000001</v>
      </c>
      <c r="AS87" s="31">
        <f>F87*AK87</f>
        <v>35281.41958080003</v>
      </c>
      <c r="AT87" s="31">
        <f>F87*AL87</f>
        <v>3828.800419199976</v>
      </c>
      <c r="AU87" s="32" t="s">
        <v>664</v>
      </c>
      <c r="AV87" s="32" t="s">
        <v>685</v>
      </c>
      <c r="AW87" s="26" t="s">
        <v>698</v>
      </c>
      <c r="AY87" s="31">
        <f>AS87+AT87</f>
        <v>39110.22000000001</v>
      </c>
      <c r="AZ87" s="31">
        <f>G87/(100-BA87)*100</f>
        <v>2790</v>
      </c>
      <c r="BA87" s="31">
        <v>0</v>
      </c>
      <c r="BB87" s="31">
        <f>J87</f>
        <v>35.395450000000004</v>
      </c>
      <c r="BD87" s="19">
        <f>F87*AK87</f>
        <v>35281.41958080003</v>
      </c>
      <c r="BE87" s="19">
        <f>F87*AL87</f>
        <v>3828.800419199976</v>
      </c>
      <c r="BF87" s="19">
        <f>F87*G87</f>
        <v>39110.22</v>
      </c>
    </row>
    <row r="88" spans="1:16" ht="12.75">
      <c r="A88" s="47"/>
      <c r="B88" s="47"/>
      <c r="C88" s="47"/>
      <c r="D88" s="48" t="s">
        <v>371</v>
      </c>
      <c r="E88" s="47"/>
      <c r="F88" s="49">
        <v>6.378</v>
      </c>
      <c r="G88" s="47"/>
      <c r="H88" s="70"/>
      <c r="I88" s="56"/>
      <c r="J88" s="56"/>
      <c r="L88" s="49"/>
      <c r="M88" s="47"/>
      <c r="N88" s="70"/>
      <c r="O88" s="56"/>
      <c r="P88" s="56"/>
    </row>
    <row r="89" spans="1:16" ht="12.75">
      <c r="A89" s="47"/>
      <c r="B89" s="47"/>
      <c r="C89" s="47"/>
      <c r="D89" s="48" t="s">
        <v>372</v>
      </c>
      <c r="E89" s="47"/>
      <c r="F89" s="49">
        <v>7.46</v>
      </c>
      <c r="G89" s="47"/>
      <c r="H89" s="70"/>
      <c r="I89" s="56"/>
      <c r="J89" s="56"/>
      <c r="L89" s="49"/>
      <c r="M89" s="47"/>
      <c r="N89" s="70"/>
      <c r="O89" s="56"/>
      <c r="P89" s="56"/>
    </row>
    <row r="90" spans="1:16" ht="12.75">
      <c r="A90" s="47"/>
      <c r="B90" s="47"/>
      <c r="C90" s="47"/>
      <c r="D90" s="48" t="s">
        <v>373</v>
      </c>
      <c r="E90" s="47"/>
      <c r="F90" s="49">
        <v>0.18</v>
      </c>
      <c r="G90" s="47"/>
      <c r="H90" s="70"/>
      <c r="I90" s="56"/>
      <c r="J90" s="56"/>
      <c r="L90" s="49"/>
      <c r="M90" s="47"/>
      <c r="N90" s="70"/>
      <c r="O90" s="56"/>
      <c r="P90" s="56"/>
    </row>
    <row r="91" spans="1:58" ht="12.75">
      <c r="A91" s="41" t="s">
        <v>34</v>
      </c>
      <c r="B91" s="41" t="s">
        <v>157</v>
      </c>
      <c r="C91" s="41" t="s">
        <v>187</v>
      </c>
      <c r="D91" s="41" t="s">
        <v>374</v>
      </c>
      <c r="E91" s="41" t="s">
        <v>630</v>
      </c>
      <c r="F91" s="44">
        <v>16.95</v>
      </c>
      <c r="G91" s="45">
        <v>305</v>
      </c>
      <c r="H91" s="69">
        <f>F91*G91</f>
        <v>5169.75</v>
      </c>
      <c r="I91" s="55">
        <v>0.03916</v>
      </c>
      <c r="J91" s="55">
        <f>F91*I91</f>
        <v>0.663762</v>
      </c>
      <c r="L91" s="44">
        <v>16.95</v>
      </c>
      <c r="M91" s="45">
        <v>305</v>
      </c>
      <c r="N91" s="69">
        <f>L91*M91</f>
        <v>5169.75</v>
      </c>
      <c r="O91" s="55">
        <v>0.03916</v>
      </c>
      <c r="P91" s="55">
        <f>L91*O91</f>
        <v>0.663762</v>
      </c>
      <c r="V91" s="31">
        <f>IF(AM91="5",BF91,0)</f>
        <v>0</v>
      </c>
      <c r="X91" s="31">
        <f>IF(AM91="1",BD91,0)</f>
        <v>1409.0553063943155</v>
      </c>
      <c r="Y91" s="31">
        <f>IF(AM91="1",BE91,0)</f>
        <v>3760.694693605684</v>
      </c>
      <c r="Z91" s="31">
        <f>IF(AM91="7",BD91,0)</f>
        <v>0</v>
      </c>
      <c r="AA91" s="31">
        <f>IF(AM91="7",BE91,0)</f>
        <v>0</v>
      </c>
      <c r="AB91" s="31">
        <f>IF(AM91="2",BD91,0)</f>
        <v>0</v>
      </c>
      <c r="AC91" s="31">
        <f>IF(AM91="2",BE91,0)</f>
        <v>0</v>
      </c>
      <c r="AD91" s="31">
        <f>IF(AM91="0",BF91,0)</f>
        <v>0</v>
      </c>
      <c r="AE91" s="26" t="s">
        <v>157</v>
      </c>
      <c r="AF91" s="19">
        <f>IF(AJ91=0,H91,0)</f>
        <v>0</v>
      </c>
      <c r="AG91" s="19">
        <f>IF(AJ91=15,H91,0)</f>
        <v>0</v>
      </c>
      <c r="AH91" s="19">
        <f>IF(AJ91=21,H91,0)</f>
        <v>5169.75</v>
      </c>
      <c r="AJ91" s="31">
        <v>21</v>
      </c>
      <c r="AK91" s="31">
        <f>G91*0.272557726465364</f>
        <v>83.13010657193603</v>
      </c>
      <c r="AL91" s="31">
        <f>G91*(1-0.272557726465364)</f>
        <v>221.86989342806396</v>
      </c>
      <c r="AM91" s="27" t="s">
        <v>7</v>
      </c>
      <c r="AR91" s="31">
        <f>AS91+AT91</f>
        <v>5169.749999999999</v>
      </c>
      <c r="AS91" s="31">
        <f>F91*AK91</f>
        <v>1409.0553063943155</v>
      </c>
      <c r="AT91" s="31">
        <f>F91*AL91</f>
        <v>3760.694693605684</v>
      </c>
      <c r="AU91" s="32" t="s">
        <v>664</v>
      </c>
      <c r="AV91" s="32" t="s">
        <v>685</v>
      </c>
      <c r="AW91" s="26" t="s">
        <v>698</v>
      </c>
      <c r="AY91" s="31">
        <f>AS91+AT91</f>
        <v>5169.749999999999</v>
      </c>
      <c r="AZ91" s="31">
        <f>G91/(100-BA91)*100</f>
        <v>305</v>
      </c>
      <c r="BA91" s="31">
        <v>0</v>
      </c>
      <c r="BB91" s="31">
        <f>J91</f>
        <v>0.663762</v>
      </c>
      <c r="BD91" s="19">
        <f>F91*AK91</f>
        <v>1409.0553063943155</v>
      </c>
      <c r="BE91" s="19">
        <f>F91*AL91</f>
        <v>3760.694693605684</v>
      </c>
      <c r="BF91" s="19">
        <f>F91*G91</f>
        <v>5169.75</v>
      </c>
    </row>
    <row r="92" spans="1:16" ht="12.75">
      <c r="A92" s="47"/>
      <c r="B92" s="47"/>
      <c r="C92" s="47"/>
      <c r="D92" s="48" t="s">
        <v>375</v>
      </c>
      <c r="E92" s="47"/>
      <c r="F92" s="49">
        <v>16.95</v>
      </c>
      <c r="G92" s="47"/>
      <c r="H92" s="70"/>
      <c r="I92" s="56"/>
      <c r="J92" s="56"/>
      <c r="L92" s="49">
        <v>16.95</v>
      </c>
      <c r="M92" s="47"/>
      <c r="N92" s="70"/>
      <c r="O92" s="56"/>
      <c r="P92" s="56"/>
    </row>
    <row r="93" spans="1:58" ht="12.75">
      <c r="A93" s="41" t="s">
        <v>35</v>
      </c>
      <c r="B93" s="41" t="s">
        <v>157</v>
      </c>
      <c r="C93" s="41" t="s">
        <v>188</v>
      </c>
      <c r="D93" s="41" t="s">
        <v>376</v>
      </c>
      <c r="E93" s="41" t="s">
        <v>630</v>
      </c>
      <c r="F93" s="44">
        <v>16.95</v>
      </c>
      <c r="G93" s="45">
        <v>80</v>
      </c>
      <c r="H93" s="69">
        <f>F93*G93</f>
        <v>1356</v>
      </c>
      <c r="I93" s="55">
        <v>0</v>
      </c>
      <c r="J93" s="55">
        <f>F93*I93</f>
        <v>0</v>
      </c>
      <c r="L93" s="44">
        <v>16.95</v>
      </c>
      <c r="M93" s="45">
        <v>80</v>
      </c>
      <c r="N93" s="69">
        <f>L93*M93</f>
        <v>1356</v>
      </c>
      <c r="O93" s="55">
        <v>0</v>
      </c>
      <c r="P93" s="55">
        <f>L93*O93</f>
        <v>0</v>
      </c>
      <c r="V93" s="31">
        <f>IF(AM93="5",BF93,0)</f>
        <v>0</v>
      </c>
      <c r="X93" s="31">
        <f>IF(AM93="1",BD93,0)</f>
        <v>0</v>
      </c>
      <c r="Y93" s="31">
        <f>IF(AM93="1",BE93,0)</f>
        <v>1356</v>
      </c>
      <c r="Z93" s="31">
        <f>IF(AM93="7",BD93,0)</f>
        <v>0</v>
      </c>
      <c r="AA93" s="31">
        <f>IF(AM93="7",BE93,0)</f>
        <v>0</v>
      </c>
      <c r="AB93" s="31">
        <f>IF(AM93="2",BD93,0)</f>
        <v>0</v>
      </c>
      <c r="AC93" s="31">
        <f>IF(AM93="2",BE93,0)</f>
        <v>0</v>
      </c>
      <c r="AD93" s="31">
        <f>IF(AM93="0",BF93,0)</f>
        <v>0</v>
      </c>
      <c r="AE93" s="26" t="s">
        <v>157</v>
      </c>
      <c r="AF93" s="19">
        <f>IF(AJ93=0,H93,0)</f>
        <v>0</v>
      </c>
      <c r="AG93" s="19">
        <f>IF(AJ93=15,H93,0)</f>
        <v>0</v>
      </c>
      <c r="AH93" s="19">
        <f>IF(AJ93=21,H93,0)</f>
        <v>1356</v>
      </c>
      <c r="AJ93" s="31">
        <v>21</v>
      </c>
      <c r="AK93" s="31">
        <f>G93*0</f>
        <v>0</v>
      </c>
      <c r="AL93" s="31">
        <f>G93*(1-0)</f>
        <v>80</v>
      </c>
      <c r="AM93" s="27" t="s">
        <v>7</v>
      </c>
      <c r="AR93" s="31">
        <f>AS93+AT93</f>
        <v>1356</v>
      </c>
      <c r="AS93" s="31">
        <f>F93*AK93</f>
        <v>0</v>
      </c>
      <c r="AT93" s="31">
        <f>F93*AL93</f>
        <v>1356</v>
      </c>
      <c r="AU93" s="32" t="s">
        <v>664</v>
      </c>
      <c r="AV93" s="32" t="s">
        <v>685</v>
      </c>
      <c r="AW93" s="26" t="s">
        <v>698</v>
      </c>
      <c r="AY93" s="31">
        <f>AS93+AT93</f>
        <v>1356</v>
      </c>
      <c r="AZ93" s="31">
        <f>G93/(100-BA93)*100</f>
        <v>80</v>
      </c>
      <c r="BA93" s="31">
        <v>0</v>
      </c>
      <c r="BB93" s="31">
        <f>J93</f>
        <v>0</v>
      </c>
      <c r="BD93" s="19">
        <f>F93*AK93</f>
        <v>0</v>
      </c>
      <c r="BE93" s="19">
        <f>F93*AL93</f>
        <v>1356</v>
      </c>
      <c r="BF93" s="19">
        <f>F93*G93</f>
        <v>1356</v>
      </c>
    </row>
    <row r="94" spans="1:16" ht="12.75">
      <c r="A94" s="47"/>
      <c r="B94" s="47"/>
      <c r="C94" s="47"/>
      <c r="D94" s="48" t="s">
        <v>375</v>
      </c>
      <c r="E94" s="47"/>
      <c r="F94" s="49">
        <v>16.95</v>
      </c>
      <c r="G94" s="47"/>
      <c r="H94" s="70"/>
      <c r="I94" s="56"/>
      <c r="J94" s="56"/>
      <c r="L94" s="49">
        <v>16.95</v>
      </c>
      <c r="M94" s="47"/>
      <c r="N94" s="70"/>
      <c r="O94" s="56"/>
      <c r="P94" s="56"/>
    </row>
    <row r="95" spans="1:58" ht="12.75">
      <c r="A95" s="41" t="s">
        <v>36</v>
      </c>
      <c r="B95" s="41" t="s">
        <v>157</v>
      </c>
      <c r="C95" s="41" t="s">
        <v>189</v>
      </c>
      <c r="D95" s="41" t="s">
        <v>377</v>
      </c>
      <c r="E95" s="41" t="s">
        <v>632</v>
      </c>
      <c r="F95" s="44">
        <v>0.387</v>
      </c>
      <c r="G95" s="45">
        <v>30000</v>
      </c>
      <c r="H95" s="69">
        <f>F95*G95</f>
        <v>11610</v>
      </c>
      <c r="I95" s="55">
        <v>1.02116</v>
      </c>
      <c r="J95" s="55">
        <f>F95*I95</f>
        <v>0.39518892000000005</v>
      </c>
      <c r="L95" s="44">
        <v>0.387</v>
      </c>
      <c r="M95" s="45">
        <v>30000</v>
      </c>
      <c r="N95" s="69">
        <f>L95*M95</f>
        <v>11610</v>
      </c>
      <c r="O95" s="55">
        <v>1.02116</v>
      </c>
      <c r="P95" s="55">
        <f>L95*O95</f>
        <v>0.39518892000000005</v>
      </c>
      <c r="V95" s="31">
        <f>IF(AM95="5",BF95,0)</f>
        <v>0</v>
      </c>
      <c r="X95" s="31">
        <f>IF(AM95="1",BD95,0)</f>
        <v>7875.644425837325</v>
      </c>
      <c r="Y95" s="31">
        <f>IF(AM95="1",BE95,0)</f>
        <v>3734.3555741626747</v>
      </c>
      <c r="Z95" s="31">
        <f>IF(AM95="7",BD95,0)</f>
        <v>0</v>
      </c>
      <c r="AA95" s="31">
        <f>IF(AM95="7",BE95,0)</f>
        <v>0</v>
      </c>
      <c r="AB95" s="31">
        <f>IF(AM95="2",BD95,0)</f>
        <v>0</v>
      </c>
      <c r="AC95" s="31">
        <f>IF(AM95="2",BE95,0)</f>
        <v>0</v>
      </c>
      <c r="AD95" s="31">
        <f>IF(AM95="0",BF95,0)</f>
        <v>0</v>
      </c>
      <c r="AE95" s="26" t="s">
        <v>157</v>
      </c>
      <c r="AF95" s="19">
        <f>IF(AJ95=0,H95,0)</f>
        <v>0</v>
      </c>
      <c r="AG95" s="19">
        <f>IF(AJ95=15,H95,0)</f>
        <v>0</v>
      </c>
      <c r="AH95" s="19">
        <f>IF(AJ95=21,H95,0)</f>
        <v>11610</v>
      </c>
      <c r="AJ95" s="31">
        <v>21</v>
      </c>
      <c r="AK95" s="31">
        <f>G95*0.678350079744817</f>
        <v>20350.502392344508</v>
      </c>
      <c r="AL95" s="31">
        <f>G95*(1-0.678350079744817)</f>
        <v>9649.49760765549</v>
      </c>
      <c r="AM95" s="27" t="s">
        <v>7</v>
      </c>
      <c r="AR95" s="31">
        <f>AS95+AT95</f>
        <v>11610</v>
      </c>
      <c r="AS95" s="31">
        <f>F95*AK95</f>
        <v>7875.644425837325</v>
      </c>
      <c r="AT95" s="31">
        <f>F95*AL95</f>
        <v>3734.3555741626747</v>
      </c>
      <c r="AU95" s="32" t="s">
        <v>664</v>
      </c>
      <c r="AV95" s="32" t="s">
        <v>685</v>
      </c>
      <c r="AW95" s="26" t="s">
        <v>698</v>
      </c>
      <c r="AY95" s="31">
        <f>AS95+AT95</f>
        <v>11610</v>
      </c>
      <c r="AZ95" s="31">
        <f>G95/(100-BA95)*100</f>
        <v>30000</v>
      </c>
      <c r="BA95" s="31">
        <v>0</v>
      </c>
      <c r="BB95" s="31">
        <f>J95</f>
        <v>0.39518892000000005</v>
      </c>
      <c r="BD95" s="19">
        <f>F95*AK95</f>
        <v>7875.644425837325</v>
      </c>
      <c r="BE95" s="19">
        <f>F95*AL95</f>
        <v>3734.3555741626747</v>
      </c>
      <c r="BF95" s="19">
        <f>F95*G95</f>
        <v>11610</v>
      </c>
    </row>
    <row r="96" spans="1:16" ht="12.75">
      <c r="A96" s="47"/>
      <c r="B96" s="47"/>
      <c r="C96" s="47"/>
      <c r="D96" s="48" t="s">
        <v>378</v>
      </c>
      <c r="E96" s="47"/>
      <c r="F96" s="49">
        <v>0.387</v>
      </c>
      <c r="G96" s="47"/>
      <c r="H96" s="70"/>
      <c r="I96" s="56"/>
      <c r="J96" s="56"/>
      <c r="L96" s="49">
        <v>0.387</v>
      </c>
      <c r="M96" s="47"/>
      <c r="N96" s="70"/>
      <c r="O96" s="56"/>
      <c r="P96" s="56"/>
    </row>
    <row r="97" spans="1:58" ht="12.75">
      <c r="A97" s="41" t="s">
        <v>37</v>
      </c>
      <c r="B97" s="41" t="s">
        <v>157</v>
      </c>
      <c r="C97" s="41" t="s">
        <v>190</v>
      </c>
      <c r="D97" s="41" t="s">
        <v>379</v>
      </c>
      <c r="E97" s="41" t="s">
        <v>633</v>
      </c>
      <c r="F97" s="44">
        <v>2</v>
      </c>
      <c r="G97" s="45">
        <v>495</v>
      </c>
      <c r="H97" s="69">
        <f>F97*G97</f>
        <v>990</v>
      </c>
      <c r="I97" s="55">
        <v>0.00444</v>
      </c>
      <c r="J97" s="55">
        <f>F97*I97</f>
        <v>0.00888</v>
      </c>
      <c r="L97" s="44">
        <v>2</v>
      </c>
      <c r="M97" s="45">
        <v>495</v>
      </c>
      <c r="N97" s="69">
        <f>L97*M97</f>
        <v>990</v>
      </c>
      <c r="O97" s="55">
        <v>0.00444</v>
      </c>
      <c r="P97" s="55">
        <f>L97*O97</f>
        <v>0.00888</v>
      </c>
      <c r="V97" s="31">
        <f>IF(AM97="5",BF97,0)</f>
        <v>0</v>
      </c>
      <c r="X97" s="31">
        <f>IF(AM97="1",BD97,0)</f>
        <v>762.6437499999997</v>
      </c>
      <c r="Y97" s="31">
        <f>IF(AM97="1",BE97,0)</f>
        <v>227.35625000000024</v>
      </c>
      <c r="Z97" s="31">
        <f>IF(AM97="7",BD97,0)</f>
        <v>0</v>
      </c>
      <c r="AA97" s="31">
        <f>IF(AM97="7",BE97,0)</f>
        <v>0</v>
      </c>
      <c r="AB97" s="31">
        <f>IF(AM97="2",BD97,0)</f>
        <v>0</v>
      </c>
      <c r="AC97" s="31">
        <f>IF(AM97="2",BE97,0)</f>
        <v>0</v>
      </c>
      <c r="AD97" s="31">
        <f>IF(AM97="0",BF97,0)</f>
        <v>0</v>
      </c>
      <c r="AE97" s="26" t="s">
        <v>157</v>
      </c>
      <c r="AF97" s="19">
        <f>IF(AJ97=0,H97,0)</f>
        <v>0</v>
      </c>
      <c r="AG97" s="19">
        <f>IF(AJ97=15,H97,0)</f>
        <v>0</v>
      </c>
      <c r="AH97" s="19">
        <f>IF(AJ97=21,H97,0)</f>
        <v>990</v>
      </c>
      <c r="AJ97" s="31">
        <v>21</v>
      </c>
      <c r="AK97" s="31">
        <f>G97*0.770347222222222</f>
        <v>381.32187499999986</v>
      </c>
      <c r="AL97" s="31">
        <f>G97*(1-0.770347222222222)</f>
        <v>113.67812500000012</v>
      </c>
      <c r="AM97" s="27" t="s">
        <v>7</v>
      </c>
      <c r="AR97" s="31">
        <f>AS97+AT97</f>
        <v>990</v>
      </c>
      <c r="AS97" s="31">
        <f>F97*AK97</f>
        <v>762.6437499999997</v>
      </c>
      <c r="AT97" s="31">
        <f>F97*AL97</f>
        <v>227.35625000000024</v>
      </c>
      <c r="AU97" s="32" t="s">
        <v>664</v>
      </c>
      <c r="AV97" s="32" t="s">
        <v>685</v>
      </c>
      <c r="AW97" s="26" t="s">
        <v>698</v>
      </c>
      <c r="AY97" s="31">
        <f>AS97+AT97</f>
        <v>990</v>
      </c>
      <c r="AZ97" s="31">
        <f>G97/(100-BA97)*100</f>
        <v>495</v>
      </c>
      <c r="BA97" s="31">
        <v>0</v>
      </c>
      <c r="BB97" s="31">
        <f>J97</f>
        <v>0.00888</v>
      </c>
      <c r="BD97" s="19">
        <f>F97*AK97</f>
        <v>762.6437499999997</v>
      </c>
      <c r="BE97" s="19">
        <f>F97*AL97</f>
        <v>227.35625000000024</v>
      </c>
      <c r="BF97" s="19">
        <f>F97*G97</f>
        <v>990</v>
      </c>
    </row>
    <row r="98" spans="1:16" ht="12.75">
      <c r="A98" s="42"/>
      <c r="B98" s="42"/>
      <c r="C98" s="42"/>
      <c r="D98" s="43" t="s">
        <v>380</v>
      </c>
      <c r="E98" s="42"/>
      <c r="F98" s="46">
        <v>2</v>
      </c>
      <c r="G98" s="42"/>
      <c r="H98" s="42"/>
      <c r="I98" s="57"/>
      <c r="J98" s="57"/>
      <c r="L98" s="46">
        <v>2</v>
      </c>
      <c r="M98" s="42"/>
      <c r="N98" s="42"/>
      <c r="O98" s="57"/>
      <c r="P98" s="57"/>
    </row>
    <row r="99" spans="1:43" ht="12.75">
      <c r="A99" s="4"/>
      <c r="B99" s="13" t="s">
        <v>157</v>
      </c>
      <c r="C99" s="13" t="s">
        <v>37</v>
      </c>
      <c r="D99" s="13" t="s">
        <v>381</v>
      </c>
      <c r="E99" s="4" t="s">
        <v>6</v>
      </c>
      <c r="F99" s="4" t="s">
        <v>6</v>
      </c>
      <c r="G99" s="4"/>
      <c r="H99" s="34">
        <f>SUM(H100:H114)</f>
        <v>304926.95999999996</v>
      </c>
      <c r="I99" s="54"/>
      <c r="J99" s="54">
        <f>SUM(J100:J114)</f>
        <v>115.87530334999998</v>
      </c>
      <c r="L99" s="4" t="s">
        <v>6</v>
      </c>
      <c r="M99" s="4"/>
      <c r="N99" s="34">
        <f>SUM(N100:N114)</f>
        <v>351817.95999999996</v>
      </c>
      <c r="O99" s="54"/>
      <c r="P99" s="54">
        <f>SUM(P100:P114)</f>
        <v>116.07729534999999</v>
      </c>
      <c r="AE99" s="26" t="s">
        <v>157</v>
      </c>
      <c r="AO99" s="34">
        <f>SUM(AF100:AF114)</f>
        <v>0</v>
      </c>
      <c r="AP99" s="34">
        <f>SUM(AG100:AG114)</f>
        <v>0</v>
      </c>
      <c r="AQ99" s="34">
        <f>SUM(AH100:AH114)</f>
        <v>304926.95999999996</v>
      </c>
    </row>
    <row r="100" spans="1:58" ht="12.75">
      <c r="A100" s="41" t="s">
        <v>38</v>
      </c>
      <c r="B100" s="41" t="s">
        <v>157</v>
      </c>
      <c r="C100" s="41" t="s">
        <v>191</v>
      </c>
      <c r="D100" s="41" t="s">
        <v>382</v>
      </c>
      <c r="E100" s="41" t="s">
        <v>630</v>
      </c>
      <c r="F100" s="44">
        <v>144.28</v>
      </c>
      <c r="G100" s="45">
        <v>1490</v>
      </c>
      <c r="H100" s="69">
        <f>F100*G100</f>
        <v>214977.2</v>
      </c>
      <c r="I100" s="55">
        <v>0.77123</v>
      </c>
      <c r="J100" s="55">
        <f>F100*I100</f>
        <v>111.2730644</v>
      </c>
      <c r="L100" s="44">
        <v>144.28</v>
      </c>
      <c r="M100" s="45">
        <v>1490</v>
      </c>
      <c r="N100" s="69">
        <f>L100*M100</f>
        <v>214977.2</v>
      </c>
      <c r="O100" s="55">
        <v>0.77123</v>
      </c>
      <c r="P100" s="55">
        <f>L100*O100</f>
        <v>111.2730644</v>
      </c>
      <c r="V100" s="31">
        <f>IF(AM100="5",BF100,0)</f>
        <v>0</v>
      </c>
      <c r="X100" s="31">
        <f>IF(AM100="1",BD100,0)</f>
        <v>143368.4587847329</v>
      </c>
      <c r="Y100" s="31">
        <f>IF(AM100="1",BE100,0)</f>
        <v>71608.7412152671</v>
      </c>
      <c r="Z100" s="31">
        <f>IF(AM100="7",BD100,0)</f>
        <v>0</v>
      </c>
      <c r="AA100" s="31">
        <f>IF(AM100="7",BE100,0)</f>
        <v>0</v>
      </c>
      <c r="AB100" s="31">
        <f>IF(AM100="2",BD100,0)</f>
        <v>0</v>
      </c>
      <c r="AC100" s="31">
        <f>IF(AM100="2",BE100,0)</f>
        <v>0</v>
      </c>
      <c r="AD100" s="31">
        <f>IF(AM100="0",BF100,0)</f>
        <v>0</v>
      </c>
      <c r="AE100" s="26" t="s">
        <v>157</v>
      </c>
      <c r="AF100" s="19">
        <f>IF(AJ100=0,H100,0)</f>
        <v>0</v>
      </c>
      <c r="AG100" s="19">
        <f>IF(AJ100=15,H100,0)</f>
        <v>0</v>
      </c>
      <c r="AH100" s="19">
        <f>IF(AJ100=21,H100,0)</f>
        <v>214977.2</v>
      </c>
      <c r="AJ100" s="31">
        <v>21</v>
      </c>
      <c r="AK100" s="31">
        <f>G100*0.666900763358779</f>
        <v>993.6821374045808</v>
      </c>
      <c r="AL100" s="31">
        <f>G100*(1-0.666900763358779)</f>
        <v>496.3178625954193</v>
      </c>
      <c r="AM100" s="27" t="s">
        <v>7</v>
      </c>
      <c r="AR100" s="31">
        <f>AS100+AT100</f>
        <v>214977.2</v>
      </c>
      <c r="AS100" s="31">
        <f>F100*AK100</f>
        <v>143368.4587847329</v>
      </c>
      <c r="AT100" s="31">
        <f>F100*AL100</f>
        <v>71608.7412152671</v>
      </c>
      <c r="AU100" s="32" t="s">
        <v>665</v>
      </c>
      <c r="AV100" s="32" t="s">
        <v>686</v>
      </c>
      <c r="AW100" s="26" t="s">
        <v>698</v>
      </c>
      <c r="AY100" s="31">
        <f>AS100+AT100</f>
        <v>214977.2</v>
      </c>
      <c r="AZ100" s="31">
        <f>G100/(100-BA100)*100</f>
        <v>1490</v>
      </c>
      <c r="BA100" s="31">
        <v>0</v>
      </c>
      <c r="BB100" s="31">
        <f>J100</f>
        <v>111.2730644</v>
      </c>
      <c r="BD100" s="19">
        <f>F100*AK100</f>
        <v>143368.4587847329</v>
      </c>
      <c r="BE100" s="19">
        <f>F100*AL100</f>
        <v>71608.7412152671</v>
      </c>
      <c r="BF100" s="19">
        <f>F100*G100</f>
        <v>214977.2</v>
      </c>
    </row>
    <row r="101" spans="1:16" ht="12.75">
      <c r="A101" s="47"/>
      <c r="B101" s="47"/>
      <c r="C101" s="47"/>
      <c r="D101" s="48" t="s">
        <v>383</v>
      </c>
      <c r="E101" s="47"/>
      <c r="F101" s="49">
        <v>148.2</v>
      </c>
      <c r="G101" s="47"/>
      <c r="H101" s="70"/>
      <c r="I101" s="56"/>
      <c r="J101" s="56"/>
      <c r="L101" s="49">
        <v>148.2</v>
      </c>
      <c r="M101" s="47"/>
      <c r="N101" s="70"/>
      <c r="O101" s="56"/>
      <c r="P101" s="56"/>
    </row>
    <row r="102" spans="1:16" ht="12.75">
      <c r="A102" s="47"/>
      <c r="B102" s="47"/>
      <c r="C102" s="47"/>
      <c r="D102" s="48" t="s">
        <v>384</v>
      </c>
      <c r="E102" s="47"/>
      <c r="F102" s="49">
        <v>11.4</v>
      </c>
      <c r="G102" s="47"/>
      <c r="H102" s="70"/>
      <c r="I102" s="56"/>
      <c r="J102" s="56"/>
      <c r="L102" s="49">
        <v>11.4</v>
      </c>
      <c r="M102" s="47"/>
      <c r="N102" s="70"/>
      <c r="O102" s="56"/>
      <c r="P102" s="56"/>
    </row>
    <row r="103" spans="1:16" ht="12.75">
      <c r="A103" s="47"/>
      <c r="B103" s="47"/>
      <c r="C103" s="47"/>
      <c r="D103" s="48" t="s">
        <v>385</v>
      </c>
      <c r="E103" s="47"/>
      <c r="F103" s="49">
        <v>-15.32</v>
      </c>
      <c r="G103" s="47"/>
      <c r="H103" s="70"/>
      <c r="I103" s="56"/>
      <c r="J103" s="56"/>
      <c r="L103" s="49">
        <v>-15.32</v>
      </c>
      <c r="M103" s="47"/>
      <c r="N103" s="70"/>
      <c r="O103" s="56"/>
      <c r="P103" s="56"/>
    </row>
    <row r="104" spans="1:16" ht="12.75">
      <c r="A104" s="99" t="s">
        <v>729</v>
      </c>
      <c r="B104" s="47"/>
      <c r="C104" s="47" t="s">
        <v>727</v>
      </c>
      <c r="D104" s="100" t="s">
        <v>728</v>
      </c>
      <c r="E104" s="41" t="s">
        <v>630</v>
      </c>
      <c r="F104" s="44"/>
      <c r="G104" s="45"/>
      <c r="H104" s="69"/>
      <c r="I104" s="55"/>
      <c r="J104" s="55"/>
      <c r="L104" s="102">
        <f>L100</f>
        <v>144.28</v>
      </c>
      <c r="M104" s="69">
        <v>325</v>
      </c>
      <c r="N104" s="69">
        <f>L104*M104</f>
        <v>46891</v>
      </c>
      <c r="O104" s="55">
        <v>0.0014</v>
      </c>
      <c r="P104" s="55">
        <f>L104*O104</f>
        <v>0.201992</v>
      </c>
    </row>
    <row r="105" spans="1:58" ht="12.75">
      <c r="A105" s="41" t="s">
        <v>39</v>
      </c>
      <c r="B105" s="41" t="s">
        <v>157</v>
      </c>
      <c r="C105" s="41" t="s">
        <v>192</v>
      </c>
      <c r="D105" s="41" t="s">
        <v>386</v>
      </c>
      <c r="E105" s="41" t="s">
        <v>632</v>
      </c>
      <c r="F105" s="44">
        <v>2.164</v>
      </c>
      <c r="G105" s="45">
        <v>30000</v>
      </c>
      <c r="H105" s="69">
        <f>F105*G105</f>
        <v>64920.00000000001</v>
      </c>
      <c r="I105" s="55">
        <v>1.02029</v>
      </c>
      <c r="J105" s="55">
        <f>F105*I105</f>
        <v>2.2079075599999998</v>
      </c>
      <c r="L105" s="44">
        <v>2.164</v>
      </c>
      <c r="M105" s="45">
        <v>30000</v>
      </c>
      <c r="N105" s="69">
        <f>L105*M105</f>
        <v>64920.00000000001</v>
      </c>
      <c r="O105" s="55">
        <v>1.02029</v>
      </c>
      <c r="P105" s="55">
        <f>L105*O105</f>
        <v>2.2079075599999998</v>
      </c>
      <c r="V105" s="31">
        <f>IF(AM105="5",BF105,0)</f>
        <v>0</v>
      </c>
      <c r="X105" s="31">
        <f>IF(AM105="1",BD105,0)</f>
        <v>43105.61243271768</v>
      </c>
      <c r="Y105" s="31">
        <f>IF(AM105="1",BE105,0)</f>
        <v>21814.38756728232</v>
      </c>
      <c r="Z105" s="31">
        <f>IF(AM105="7",BD105,0)</f>
        <v>0</v>
      </c>
      <c r="AA105" s="31">
        <f>IF(AM105="7",BE105,0)</f>
        <v>0</v>
      </c>
      <c r="AB105" s="31">
        <f>IF(AM105="2",BD105,0)</f>
        <v>0</v>
      </c>
      <c r="AC105" s="31">
        <f>IF(AM105="2",BE105,0)</f>
        <v>0</v>
      </c>
      <c r="AD105" s="31">
        <f>IF(AM105="0",BF105,0)</f>
        <v>0</v>
      </c>
      <c r="AE105" s="26" t="s">
        <v>157</v>
      </c>
      <c r="AF105" s="19">
        <f>IF(AJ105=0,H105,0)</f>
        <v>0</v>
      </c>
      <c r="AG105" s="19">
        <f>IF(AJ105=15,H105,0)</f>
        <v>0</v>
      </c>
      <c r="AH105" s="19">
        <f>IF(AJ105=21,H105,0)</f>
        <v>64920.00000000001</v>
      </c>
      <c r="AJ105" s="31">
        <v>21</v>
      </c>
      <c r="AK105" s="31">
        <f>G105*0.663980474934037</f>
        <v>19919.41424802111</v>
      </c>
      <c r="AL105" s="31">
        <f>G105*(1-0.663980474934037)</f>
        <v>10080.58575197889</v>
      </c>
      <c r="AM105" s="27" t="s">
        <v>7</v>
      </c>
      <c r="AR105" s="31">
        <f>AS105+AT105</f>
        <v>64920</v>
      </c>
      <c r="AS105" s="31">
        <f>F105*AK105</f>
        <v>43105.61243271768</v>
      </c>
      <c r="AT105" s="31">
        <f>F105*AL105</f>
        <v>21814.38756728232</v>
      </c>
      <c r="AU105" s="32" t="s">
        <v>665</v>
      </c>
      <c r="AV105" s="32" t="s">
        <v>686</v>
      </c>
      <c r="AW105" s="26" t="s">
        <v>698</v>
      </c>
      <c r="AY105" s="31">
        <f>AS105+AT105</f>
        <v>64920</v>
      </c>
      <c r="AZ105" s="31">
        <f>G105/(100-BA105)*100</f>
        <v>30000</v>
      </c>
      <c r="BA105" s="31">
        <v>0</v>
      </c>
      <c r="BB105" s="31">
        <f>J105</f>
        <v>2.2079075599999998</v>
      </c>
      <c r="BD105" s="19">
        <f>F105*AK105</f>
        <v>43105.61243271768</v>
      </c>
      <c r="BE105" s="19">
        <f>F105*AL105</f>
        <v>21814.38756728232</v>
      </c>
      <c r="BF105" s="19">
        <f>F105*G105</f>
        <v>64920.00000000001</v>
      </c>
    </row>
    <row r="106" spans="1:16" ht="12.75">
      <c r="A106" s="47"/>
      <c r="B106" s="47"/>
      <c r="C106" s="47"/>
      <c r="D106" s="48" t="s">
        <v>387</v>
      </c>
      <c r="E106" s="47"/>
      <c r="F106" s="49">
        <v>2.164</v>
      </c>
      <c r="G106" s="47"/>
      <c r="H106" s="70"/>
      <c r="I106" s="56"/>
      <c r="J106" s="56"/>
      <c r="L106" s="49">
        <v>2.164</v>
      </c>
      <c r="M106" s="47"/>
      <c r="N106" s="70"/>
      <c r="O106" s="56"/>
      <c r="P106" s="56"/>
    </row>
    <row r="107" spans="1:58" ht="12.75">
      <c r="A107" s="41" t="s">
        <v>40</v>
      </c>
      <c r="B107" s="41" t="s">
        <v>157</v>
      </c>
      <c r="C107" s="41" t="s">
        <v>193</v>
      </c>
      <c r="D107" s="41" t="s">
        <v>388</v>
      </c>
      <c r="E107" s="41" t="s">
        <v>632</v>
      </c>
      <c r="F107" s="44">
        <v>0.204</v>
      </c>
      <c r="G107" s="45">
        <v>34900</v>
      </c>
      <c r="H107" s="69">
        <f>F107*G107</f>
        <v>7119.599999999999</v>
      </c>
      <c r="I107" s="55">
        <v>1.09709</v>
      </c>
      <c r="J107" s="55">
        <f>F107*I107</f>
        <v>0.22380635999999995</v>
      </c>
      <c r="L107" s="44">
        <v>0.204</v>
      </c>
      <c r="M107" s="45">
        <v>34900</v>
      </c>
      <c r="N107" s="69">
        <f>L107*M107</f>
        <v>7119.599999999999</v>
      </c>
      <c r="O107" s="55">
        <v>1.09709</v>
      </c>
      <c r="P107" s="55">
        <f>L107*O107</f>
        <v>0.22380635999999995</v>
      </c>
      <c r="V107" s="31">
        <f>IF(AM107="5",BF107,0)</f>
        <v>0</v>
      </c>
      <c r="X107" s="31">
        <f>IF(AM107="1",BD107,0)</f>
        <v>5319.141092786714</v>
      </c>
      <c r="Y107" s="31">
        <f>IF(AM107="1",BE107,0)</f>
        <v>1800.4589072132853</v>
      </c>
      <c r="Z107" s="31">
        <f>IF(AM107="7",BD107,0)</f>
        <v>0</v>
      </c>
      <c r="AA107" s="31">
        <f>IF(AM107="7",BE107,0)</f>
        <v>0</v>
      </c>
      <c r="AB107" s="31">
        <f>IF(AM107="2",BD107,0)</f>
        <v>0</v>
      </c>
      <c r="AC107" s="31">
        <f>IF(AM107="2",BE107,0)</f>
        <v>0</v>
      </c>
      <c r="AD107" s="31">
        <f>IF(AM107="0",BF107,0)</f>
        <v>0</v>
      </c>
      <c r="AE107" s="26" t="s">
        <v>157</v>
      </c>
      <c r="AF107" s="19">
        <f>IF(AJ107=0,H107,0)</f>
        <v>0</v>
      </c>
      <c r="AG107" s="19">
        <f>IF(AJ107=15,H107,0)</f>
        <v>0</v>
      </c>
      <c r="AH107" s="19">
        <f>IF(AJ107=21,H107,0)</f>
        <v>7119.599999999999</v>
      </c>
      <c r="AJ107" s="31">
        <v>21</v>
      </c>
      <c r="AK107" s="31">
        <f>G107*0.747112350804359</f>
        <v>26074.221043072128</v>
      </c>
      <c r="AL107" s="31">
        <f>G107*(1-0.747112350804359)</f>
        <v>8825.77895692787</v>
      </c>
      <c r="AM107" s="27" t="s">
        <v>7</v>
      </c>
      <c r="AR107" s="31">
        <f>AS107+AT107</f>
        <v>7119.5999999999985</v>
      </c>
      <c r="AS107" s="31">
        <f>F107*AK107</f>
        <v>5319.141092786714</v>
      </c>
      <c r="AT107" s="31">
        <f>F107*AL107</f>
        <v>1800.4589072132853</v>
      </c>
      <c r="AU107" s="32" t="s">
        <v>665</v>
      </c>
      <c r="AV107" s="32" t="s">
        <v>686</v>
      </c>
      <c r="AW107" s="26" t="s">
        <v>698</v>
      </c>
      <c r="AY107" s="31">
        <f>AS107+AT107</f>
        <v>7119.5999999999985</v>
      </c>
      <c r="AZ107" s="31">
        <f>G107/(100-BA107)*100</f>
        <v>34900</v>
      </c>
      <c r="BA107" s="31">
        <v>0</v>
      </c>
      <c r="BB107" s="31">
        <f>J107</f>
        <v>0.22380635999999995</v>
      </c>
      <c r="BD107" s="19">
        <f>F107*AK107</f>
        <v>5319.141092786714</v>
      </c>
      <c r="BE107" s="19">
        <f>F107*AL107</f>
        <v>1800.4589072132853</v>
      </c>
      <c r="BF107" s="19">
        <f>F107*G107</f>
        <v>7119.599999999999</v>
      </c>
    </row>
    <row r="108" spans="1:16" ht="12.75">
      <c r="A108" s="47"/>
      <c r="B108" s="47"/>
      <c r="C108" s="47"/>
      <c r="D108" s="48" t="s">
        <v>389</v>
      </c>
      <c r="E108" s="47"/>
      <c r="F108" s="49">
        <v>0.091</v>
      </c>
      <c r="G108" s="47"/>
      <c r="H108" s="70"/>
      <c r="I108" s="56"/>
      <c r="J108" s="56"/>
      <c r="L108" s="49">
        <v>0.091</v>
      </c>
      <c r="M108" s="47"/>
      <c r="N108" s="70"/>
      <c r="O108" s="56"/>
      <c r="P108" s="56"/>
    </row>
    <row r="109" spans="1:16" ht="12.75">
      <c r="A109" s="47"/>
      <c r="B109" s="47"/>
      <c r="C109" s="47"/>
      <c r="D109" s="48" t="s">
        <v>390</v>
      </c>
      <c r="E109" s="47"/>
      <c r="F109" s="49">
        <v>0.113</v>
      </c>
      <c r="G109" s="47"/>
      <c r="H109" s="70"/>
      <c r="I109" s="56"/>
      <c r="J109" s="56"/>
      <c r="L109" s="49">
        <v>0.113</v>
      </c>
      <c r="M109" s="47"/>
      <c r="N109" s="70"/>
      <c r="O109" s="56"/>
      <c r="P109" s="56"/>
    </row>
    <row r="110" spans="1:58" ht="12.75">
      <c r="A110" s="41" t="s">
        <v>41</v>
      </c>
      <c r="B110" s="41" t="s">
        <v>157</v>
      </c>
      <c r="C110" s="41" t="s">
        <v>194</v>
      </c>
      <c r="D110" s="41" t="s">
        <v>391</v>
      </c>
      <c r="E110" s="41" t="s">
        <v>632</v>
      </c>
      <c r="F110" s="44">
        <v>0.307</v>
      </c>
      <c r="G110" s="45">
        <v>35500</v>
      </c>
      <c r="H110" s="69">
        <f>F110*G110</f>
        <v>10898.5</v>
      </c>
      <c r="I110" s="55">
        <v>1.09709</v>
      </c>
      <c r="J110" s="55">
        <f>F110*I110</f>
        <v>0.33680662999999994</v>
      </c>
      <c r="L110" s="44">
        <v>0.307</v>
      </c>
      <c r="M110" s="45">
        <v>35500</v>
      </c>
      <c r="N110" s="69">
        <f>L110*M110</f>
        <v>10898.5</v>
      </c>
      <c r="O110" s="55">
        <v>1.09709</v>
      </c>
      <c r="P110" s="55">
        <f>L110*O110</f>
        <v>0.33680662999999994</v>
      </c>
      <c r="V110" s="31">
        <f>IF(AM110="5",BF110,0)</f>
        <v>0</v>
      </c>
      <c r="X110" s="31">
        <f>IF(AM110="1",BD110,0)</f>
        <v>8176.307750768836</v>
      </c>
      <c r="Y110" s="31">
        <f>IF(AM110="1",BE110,0)</f>
        <v>2722.1922492311637</v>
      </c>
      <c r="Z110" s="31">
        <f>IF(AM110="7",BD110,0)</f>
        <v>0</v>
      </c>
      <c r="AA110" s="31">
        <f>IF(AM110="7",BE110,0)</f>
        <v>0</v>
      </c>
      <c r="AB110" s="31">
        <f>IF(AM110="2",BD110,0)</f>
        <v>0</v>
      </c>
      <c r="AC110" s="31">
        <f>IF(AM110="2",BE110,0)</f>
        <v>0</v>
      </c>
      <c r="AD110" s="31">
        <f>IF(AM110="0",BF110,0)</f>
        <v>0</v>
      </c>
      <c r="AE110" s="26" t="s">
        <v>157</v>
      </c>
      <c r="AF110" s="19">
        <f>IF(AJ110=0,H110,0)</f>
        <v>0</v>
      </c>
      <c r="AG110" s="19">
        <f>IF(AJ110=15,H110,0)</f>
        <v>0</v>
      </c>
      <c r="AH110" s="19">
        <f>IF(AJ110=21,H110,0)</f>
        <v>10898.5</v>
      </c>
      <c r="AJ110" s="31">
        <v>21</v>
      </c>
      <c r="AK110" s="31">
        <f>G110*0.750223218862122</f>
        <v>26632.92426960533</v>
      </c>
      <c r="AL110" s="31">
        <f>G110*(1-0.750223218862122)</f>
        <v>8867.07573039467</v>
      </c>
      <c r="AM110" s="27" t="s">
        <v>7</v>
      </c>
      <c r="AR110" s="31">
        <f>AS110+AT110</f>
        <v>10898.5</v>
      </c>
      <c r="AS110" s="31">
        <f>F110*AK110</f>
        <v>8176.307750768836</v>
      </c>
      <c r="AT110" s="31">
        <f>F110*AL110</f>
        <v>2722.1922492311637</v>
      </c>
      <c r="AU110" s="32" t="s">
        <v>665</v>
      </c>
      <c r="AV110" s="32" t="s">
        <v>686</v>
      </c>
      <c r="AW110" s="26" t="s">
        <v>698</v>
      </c>
      <c r="AY110" s="31">
        <f>AS110+AT110</f>
        <v>10898.5</v>
      </c>
      <c r="AZ110" s="31">
        <f>G110/(100-BA110)*100</f>
        <v>35500</v>
      </c>
      <c r="BA110" s="31">
        <v>0</v>
      </c>
      <c r="BB110" s="31">
        <f>J110</f>
        <v>0.33680662999999994</v>
      </c>
      <c r="BD110" s="19">
        <f>F110*AK110</f>
        <v>8176.307750768836</v>
      </c>
      <c r="BE110" s="19">
        <f>F110*AL110</f>
        <v>2722.1922492311637</v>
      </c>
      <c r="BF110" s="19">
        <f>F110*G110</f>
        <v>10898.5</v>
      </c>
    </row>
    <row r="111" spans="1:16" ht="12.75">
      <c r="A111" s="47"/>
      <c r="B111" s="47"/>
      <c r="C111" s="47"/>
      <c r="D111" s="48" t="s">
        <v>392</v>
      </c>
      <c r="E111" s="47"/>
      <c r="F111" s="49">
        <v>0.307</v>
      </c>
      <c r="G111" s="47"/>
      <c r="H111" s="70"/>
      <c r="I111" s="56"/>
      <c r="J111" s="56"/>
      <c r="L111" s="49">
        <v>0.307</v>
      </c>
      <c r="M111" s="47"/>
      <c r="N111" s="70"/>
      <c r="O111" s="56"/>
      <c r="P111" s="56"/>
    </row>
    <row r="112" spans="1:58" ht="12.75">
      <c r="A112" s="41" t="s">
        <v>42</v>
      </c>
      <c r="B112" s="41" t="s">
        <v>157</v>
      </c>
      <c r="C112" s="41" t="s">
        <v>195</v>
      </c>
      <c r="D112" s="41" t="s">
        <v>393</v>
      </c>
      <c r="E112" s="41" t="s">
        <v>629</v>
      </c>
      <c r="F112" s="44">
        <v>0.578</v>
      </c>
      <c r="G112" s="45">
        <v>5470</v>
      </c>
      <c r="H112" s="69">
        <f>F112*G112</f>
        <v>3161.66</v>
      </c>
      <c r="I112" s="55">
        <v>1.6824</v>
      </c>
      <c r="J112" s="55">
        <f>F112*I112</f>
        <v>0.9724271999999998</v>
      </c>
      <c r="L112" s="44">
        <v>0.578</v>
      </c>
      <c r="M112" s="45">
        <v>5470</v>
      </c>
      <c r="N112" s="69">
        <f>L112*M112</f>
        <v>3161.66</v>
      </c>
      <c r="O112" s="55">
        <v>1.6824</v>
      </c>
      <c r="P112" s="55">
        <f>L112*O112</f>
        <v>0.9724271999999998</v>
      </c>
      <c r="V112" s="31">
        <f>IF(AM112="5",BF112,0)</f>
        <v>0</v>
      </c>
      <c r="X112" s="31">
        <f>IF(AM112="1",BD112,0)</f>
        <v>1728.807560673365</v>
      </c>
      <c r="Y112" s="31">
        <f>IF(AM112="1",BE112,0)</f>
        <v>1432.8524393266348</v>
      </c>
      <c r="Z112" s="31">
        <f>IF(AM112="7",BD112,0)</f>
        <v>0</v>
      </c>
      <c r="AA112" s="31">
        <f>IF(AM112="7",BE112,0)</f>
        <v>0</v>
      </c>
      <c r="AB112" s="31">
        <f>IF(AM112="2",BD112,0)</f>
        <v>0</v>
      </c>
      <c r="AC112" s="31">
        <f>IF(AM112="2",BE112,0)</f>
        <v>0</v>
      </c>
      <c r="AD112" s="31">
        <f>IF(AM112="0",BF112,0)</f>
        <v>0</v>
      </c>
      <c r="AE112" s="26" t="s">
        <v>157</v>
      </c>
      <c r="AF112" s="19">
        <f>IF(AJ112=0,H112,0)</f>
        <v>0</v>
      </c>
      <c r="AG112" s="19">
        <f>IF(AJ112=15,H112,0)</f>
        <v>0</v>
      </c>
      <c r="AH112" s="19">
        <f>IF(AJ112=21,H112,0)</f>
        <v>3161.66</v>
      </c>
      <c r="AJ112" s="31">
        <v>21</v>
      </c>
      <c r="AK112" s="31">
        <f>G112*0.546803755202446</f>
        <v>2991.016540957379</v>
      </c>
      <c r="AL112" s="31">
        <f>G112*(1-0.546803755202446)</f>
        <v>2478.983459042621</v>
      </c>
      <c r="AM112" s="27" t="s">
        <v>7</v>
      </c>
      <c r="AR112" s="31">
        <f>AS112+AT112</f>
        <v>3161.66</v>
      </c>
      <c r="AS112" s="31">
        <f>F112*AK112</f>
        <v>1728.807560673365</v>
      </c>
      <c r="AT112" s="31">
        <f>F112*AL112</f>
        <v>1432.8524393266348</v>
      </c>
      <c r="AU112" s="32" t="s">
        <v>665</v>
      </c>
      <c r="AV112" s="32" t="s">
        <v>686</v>
      </c>
      <c r="AW112" s="26" t="s">
        <v>698</v>
      </c>
      <c r="AY112" s="31">
        <f>AS112+AT112</f>
        <v>3161.66</v>
      </c>
      <c r="AZ112" s="31">
        <f>G112/(100-BA112)*100</f>
        <v>5470</v>
      </c>
      <c r="BA112" s="31">
        <v>0</v>
      </c>
      <c r="BB112" s="31">
        <f>J112</f>
        <v>0.9724271999999998</v>
      </c>
      <c r="BD112" s="19">
        <f>F112*AK112</f>
        <v>1728.807560673365</v>
      </c>
      <c r="BE112" s="19">
        <f>F112*AL112</f>
        <v>1432.8524393266348</v>
      </c>
      <c r="BF112" s="19">
        <f>F112*G112</f>
        <v>3161.66</v>
      </c>
    </row>
    <row r="113" spans="1:16" ht="12.75">
      <c r="A113" s="47"/>
      <c r="B113" s="47"/>
      <c r="C113" s="47"/>
      <c r="D113" s="48" t="s">
        <v>394</v>
      </c>
      <c r="E113" s="47"/>
      <c r="F113" s="49">
        <v>0.578</v>
      </c>
      <c r="G113" s="47"/>
      <c r="H113" s="70"/>
      <c r="I113" s="56"/>
      <c r="J113" s="56"/>
      <c r="L113" s="49">
        <v>0.578</v>
      </c>
      <c r="M113" s="47"/>
      <c r="N113" s="70"/>
      <c r="O113" s="56"/>
      <c r="P113" s="56"/>
    </row>
    <row r="114" spans="1:58" ht="12.75">
      <c r="A114" s="41" t="s">
        <v>43</v>
      </c>
      <c r="B114" s="41" t="s">
        <v>157</v>
      </c>
      <c r="C114" s="41" t="s">
        <v>196</v>
      </c>
      <c r="D114" s="41" t="s">
        <v>395</v>
      </c>
      <c r="E114" s="41" t="s">
        <v>630</v>
      </c>
      <c r="F114" s="44">
        <v>3.08</v>
      </c>
      <c r="G114" s="45">
        <v>1250</v>
      </c>
      <c r="H114" s="69">
        <f>F114*G114</f>
        <v>3850</v>
      </c>
      <c r="I114" s="55">
        <v>0.27964</v>
      </c>
      <c r="J114" s="55">
        <f>F114*I114</f>
        <v>0.8612912</v>
      </c>
      <c r="L114" s="44">
        <v>3.08</v>
      </c>
      <c r="M114" s="45">
        <v>1250</v>
      </c>
      <c r="N114" s="69">
        <f>L114*M114</f>
        <v>3850</v>
      </c>
      <c r="O114" s="55">
        <v>0.27964</v>
      </c>
      <c r="P114" s="55">
        <f>L114*O114</f>
        <v>0.8612912</v>
      </c>
      <c r="V114" s="31">
        <f>IF(AM114="5",BF114,0)</f>
        <v>0</v>
      </c>
      <c r="X114" s="31">
        <f>IF(AM114="1",BD114,0)</f>
        <v>3203.6317757009333</v>
      </c>
      <c r="Y114" s="31">
        <f>IF(AM114="1",BE114,0)</f>
        <v>646.3682242990667</v>
      </c>
      <c r="Z114" s="31">
        <f>IF(AM114="7",BD114,0)</f>
        <v>0</v>
      </c>
      <c r="AA114" s="31">
        <f>IF(AM114="7",BE114,0)</f>
        <v>0</v>
      </c>
      <c r="AB114" s="31">
        <f>IF(AM114="2",BD114,0)</f>
        <v>0</v>
      </c>
      <c r="AC114" s="31">
        <f>IF(AM114="2",BE114,0)</f>
        <v>0</v>
      </c>
      <c r="AD114" s="31">
        <f>IF(AM114="0",BF114,0)</f>
        <v>0</v>
      </c>
      <c r="AE114" s="26" t="s">
        <v>157</v>
      </c>
      <c r="AF114" s="19">
        <f>IF(AJ114=0,H114,0)</f>
        <v>0</v>
      </c>
      <c r="AG114" s="19">
        <f>IF(AJ114=15,H114,0)</f>
        <v>0</v>
      </c>
      <c r="AH114" s="19">
        <f>IF(AJ114=21,H114,0)</f>
        <v>3850</v>
      </c>
      <c r="AJ114" s="31">
        <v>21</v>
      </c>
      <c r="AK114" s="31">
        <f>G114*0.83211214953271</f>
        <v>1040.1401869158874</v>
      </c>
      <c r="AL114" s="31">
        <f>G114*(1-0.83211214953271)</f>
        <v>209.85981308411255</v>
      </c>
      <c r="AM114" s="27" t="s">
        <v>7</v>
      </c>
      <c r="AR114" s="31">
        <f>AS114+AT114</f>
        <v>3850</v>
      </c>
      <c r="AS114" s="31">
        <f>F114*AK114</f>
        <v>3203.6317757009333</v>
      </c>
      <c r="AT114" s="31">
        <f>F114*AL114</f>
        <v>646.3682242990667</v>
      </c>
      <c r="AU114" s="32" t="s">
        <v>665</v>
      </c>
      <c r="AV114" s="32" t="s">
        <v>686</v>
      </c>
      <c r="AW114" s="26" t="s">
        <v>698</v>
      </c>
      <c r="AY114" s="31">
        <f>AS114+AT114</f>
        <v>3850</v>
      </c>
      <c r="AZ114" s="31">
        <f>G114/(100-BA114)*100</f>
        <v>1250</v>
      </c>
      <c r="BA114" s="31">
        <v>0</v>
      </c>
      <c r="BB114" s="31">
        <f>J114</f>
        <v>0.8612912</v>
      </c>
      <c r="BD114" s="19">
        <f>F114*AK114</f>
        <v>3203.6317757009333</v>
      </c>
      <c r="BE114" s="19">
        <f>F114*AL114</f>
        <v>646.3682242990667</v>
      </c>
      <c r="BF114" s="19">
        <f>F114*G114</f>
        <v>3850</v>
      </c>
    </row>
    <row r="115" spans="1:16" ht="12.75">
      <c r="A115" s="42"/>
      <c r="B115" s="42"/>
      <c r="C115" s="42"/>
      <c r="D115" s="43" t="s">
        <v>396</v>
      </c>
      <c r="E115" s="42"/>
      <c r="F115" s="46">
        <v>3.08</v>
      </c>
      <c r="G115" s="42"/>
      <c r="H115" s="42"/>
      <c r="I115" s="57"/>
      <c r="J115" s="57"/>
      <c r="L115" s="46">
        <v>3.08</v>
      </c>
      <c r="M115" s="42"/>
      <c r="N115" s="42"/>
      <c r="O115" s="57"/>
      <c r="P115" s="57"/>
    </row>
    <row r="116" spans="1:43" ht="12.75">
      <c r="A116" s="4"/>
      <c r="B116" s="13" t="s">
        <v>157</v>
      </c>
      <c r="C116" s="13" t="s">
        <v>40</v>
      </c>
      <c r="D116" s="13" t="s">
        <v>397</v>
      </c>
      <c r="E116" s="4" t="s">
        <v>6</v>
      </c>
      <c r="F116" s="4" t="s">
        <v>6</v>
      </c>
      <c r="G116" s="4"/>
      <c r="H116" s="34">
        <f>SUM(H117:H117)</f>
        <v>1834.936</v>
      </c>
      <c r="I116" s="54"/>
      <c r="J116" s="54">
        <f>SUM(J117:J117)</f>
        <v>0.43527679999999996</v>
      </c>
      <c r="L116" s="4" t="s">
        <v>6</v>
      </c>
      <c r="M116" s="4"/>
      <c r="N116" s="34">
        <f>SUM(N117:N117)</f>
        <v>1834.936</v>
      </c>
      <c r="O116" s="54"/>
      <c r="P116" s="54">
        <f>SUM(P117:P117)</f>
        <v>0.43527679999999996</v>
      </c>
      <c r="AE116" s="26" t="s">
        <v>157</v>
      </c>
      <c r="AO116" s="34">
        <f>SUM(AF117:AF117)</f>
        <v>0</v>
      </c>
      <c r="AP116" s="34">
        <f>SUM(AG117:AG117)</f>
        <v>0</v>
      </c>
      <c r="AQ116" s="34">
        <f>SUM(AH117:AH117)</f>
        <v>1834.936</v>
      </c>
    </row>
    <row r="117" spans="1:58" ht="12.75">
      <c r="A117" s="41" t="s">
        <v>44</v>
      </c>
      <c r="B117" s="41" t="s">
        <v>157</v>
      </c>
      <c r="C117" s="41" t="s">
        <v>197</v>
      </c>
      <c r="D117" s="41" t="s">
        <v>398</v>
      </c>
      <c r="E117" s="41" t="s">
        <v>630</v>
      </c>
      <c r="F117" s="44">
        <v>2.776</v>
      </c>
      <c r="G117" s="45">
        <v>661</v>
      </c>
      <c r="H117" s="69">
        <f>F117*G117</f>
        <v>1834.936</v>
      </c>
      <c r="I117" s="55">
        <v>0.1568</v>
      </c>
      <c r="J117" s="55">
        <f>F117*I117</f>
        <v>0.43527679999999996</v>
      </c>
      <c r="L117" s="44">
        <v>2.776</v>
      </c>
      <c r="M117" s="45">
        <v>661</v>
      </c>
      <c r="N117" s="69">
        <f>L117*M117</f>
        <v>1834.936</v>
      </c>
      <c r="O117" s="55">
        <v>0.1568</v>
      </c>
      <c r="P117" s="55">
        <f>L117*O117</f>
        <v>0.43527679999999996</v>
      </c>
      <c r="V117" s="31">
        <f>IF(AM117="5",BF117,0)</f>
        <v>0</v>
      </c>
      <c r="X117" s="31">
        <f>IF(AM117="1",BD117,0)</f>
        <v>749.126171644133</v>
      </c>
      <c r="Y117" s="31">
        <f>IF(AM117="1",BE117,0)</f>
        <v>1085.8098283558668</v>
      </c>
      <c r="Z117" s="31">
        <f>IF(AM117="7",BD117,0)</f>
        <v>0</v>
      </c>
      <c r="AA117" s="31">
        <f>IF(AM117="7",BE117,0)</f>
        <v>0</v>
      </c>
      <c r="AB117" s="31">
        <f>IF(AM117="2",BD117,0)</f>
        <v>0</v>
      </c>
      <c r="AC117" s="31">
        <f>IF(AM117="2",BE117,0)</f>
        <v>0</v>
      </c>
      <c r="AD117" s="31">
        <f>IF(AM117="0",BF117,0)</f>
        <v>0</v>
      </c>
      <c r="AE117" s="26" t="s">
        <v>157</v>
      </c>
      <c r="AF117" s="19">
        <f>IF(AJ117=0,H117,0)</f>
        <v>0</v>
      </c>
      <c r="AG117" s="19">
        <f>IF(AJ117=15,H117,0)</f>
        <v>0</v>
      </c>
      <c r="AH117" s="19">
        <f>IF(AJ117=21,H117,0)</f>
        <v>1834.936</v>
      </c>
      <c r="AJ117" s="31">
        <v>21</v>
      </c>
      <c r="AK117" s="31">
        <f>G117*0.408257384259796</f>
        <v>269.85813099572516</v>
      </c>
      <c r="AL117" s="31">
        <f>G117*(1-0.408257384259796)</f>
        <v>391.1418690042748</v>
      </c>
      <c r="AM117" s="27" t="s">
        <v>7</v>
      </c>
      <c r="AR117" s="31">
        <f>AS117+AT117</f>
        <v>1834.9359999999997</v>
      </c>
      <c r="AS117" s="31">
        <f>F117*AK117</f>
        <v>749.126171644133</v>
      </c>
      <c r="AT117" s="31">
        <f>F117*AL117</f>
        <v>1085.8098283558668</v>
      </c>
      <c r="AU117" s="32" t="s">
        <v>666</v>
      </c>
      <c r="AV117" s="32" t="s">
        <v>686</v>
      </c>
      <c r="AW117" s="26" t="s">
        <v>698</v>
      </c>
      <c r="AY117" s="31">
        <f>AS117+AT117</f>
        <v>1834.9359999999997</v>
      </c>
      <c r="AZ117" s="31">
        <f>G117/(100-BA117)*100</f>
        <v>661</v>
      </c>
      <c r="BA117" s="31">
        <v>0</v>
      </c>
      <c r="BB117" s="31">
        <f>J117</f>
        <v>0.43527679999999996</v>
      </c>
      <c r="BD117" s="19">
        <f>F117*AK117</f>
        <v>749.126171644133</v>
      </c>
      <c r="BE117" s="19">
        <f>F117*AL117</f>
        <v>1085.8098283558668</v>
      </c>
      <c r="BF117" s="19">
        <f>F117*G117</f>
        <v>1834.936</v>
      </c>
    </row>
    <row r="118" spans="1:16" ht="12.75">
      <c r="A118" s="42"/>
      <c r="B118" s="42"/>
      <c r="C118" s="42"/>
      <c r="D118" s="43" t="s">
        <v>399</v>
      </c>
      <c r="E118" s="42"/>
      <c r="F118" s="46">
        <v>2.776</v>
      </c>
      <c r="G118" s="42"/>
      <c r="H118" s="42"/>
      <c r="I118" s="57"/>
      <c r="J118" s="57"/>
      <c r="L118" s="46">
        <v>2.776</v>
      </c>
      <c r="M118" s="42"/>
      <c r="N118" s="42"/>
      <c r="O118" s="57"/>
      <c r="P118" s="57"/>
    </row>
    <row r="119" spans="1:43" ht="12.75">
      <c r="A119" s="4"/>
      <c r="B119" s="13" t="s">
        <v>157</v>
      </c>
      <c r="C119" s="13" t="s">
        <v>47</v>
      </c>
      <c r="D119" s="13" t="s">
        <v>400</v>
      </c>
      <c r="E119" s="4" t="s">
        <v>6</v>
      </c>
      <c r="F119" s="4" t="s">
        <v>6</v>
      </c>
      <c r="G119" s="4"/>
      <c r="H119" s="34">
        <f>SUM(H120:H147)</f>
        <v>230232.884</v>
      </c>
      <c r="I119" s="54"/>
      <c r="J119" s="54">
        <f>SUM(J120:J147)</f>
        <v>73.16026613000001</v>
      </c>
      <c r="L119" s="4" t="s">
        <v>6</v>
      </c>
      <c r="M119" s="4"/>
      <c r="N119" s="34">
        <f>SUM(N120:N147)</f>
        <v>263232.88399999996</v>
      </c>
      <c r="O119" s="54"/>
      <c r="P119" s="54">
        <f>SUM(P120:P147)</f>
        <v>73.25026613000001</v>
      </c>
      <c r="AE119" s="26" t="s">
        <v>157</v>
      </c>
      <c r="AO119" s="34">
        <f>SUM(AF120:AF147)</f>
        <v>0</v>
      </c>
      <c r="AP119" s="34">
        <f>SUM(AG120:AG147)</f>
        <v>0</v>
      </c>
      <c r="AQ119" s="34">
        <f>SUM(AH120:AH147)</f>
        <v>230232.884</v>
      </c>
    </row>
    <row r="120" spans="1:58" ht="12.75">
      <c r="A120" s="41" t="s">
        <v>45</v>
      </c>
      <c r="B120" s="41" t="s">
        <v>157</v>
      </c>
      <c r="C120" s="41" t="s">
        <v>198</v>
      </c>
      <c r="D120" s="41" t="s">
        <v>401</v>
      </c>
      <c r="E120" s="41" t="s">
        <v>629</v>
      </c>
      <c r="F120" s="44">
        <v>0.871</v>
      </c>
      <c r="G120" s="45">
        <v>4550</v>
      </c>
      <c r="H120" s="69">
        <f>F120*G120</f>
        <v>3963.05</v>
      </c>
      <c r="I120" s="55">
        <v>2.52507</v>
      </c>
      <c r="J120" s="55">
        <f>F120*I120</f>
        <v>2.19933597</v>
      </c>
      <c r="L120" s="44">
        <v>0.871</v>
      </c>
      <c r="M120" s="45">
        <v>4550</v>
      </c>
      <c r="N120" s="69">
        <f>L120*M120</f>
        <v>3963.05</v>
      </c>
      <c r="O120" s="55">
        <v>2.52507</v>
      </c>
      <c r="P120" s="55">
        <f>L120*O120</f>
        <v>2.19933597</v>
      </c>
      <c r="V120" s="31">
        <f>IF(AM120="5",BF120,0)</f>
        <v>0</v>
      </c>
      <c r="X120" s="31">
        <f>IF(AM120="1",BD120,0)</f>
        <v>3433.1806858165796</v>
      </c>
      <c r="Y120" s="31">
        <f>IF(AM120="1",BE120,0)</f>
        <v>529.8693141834203</v>
      </c>
      <c r="Z120" s="31">
        <f>IF(AM120="7",BD120,0)</f>
        <v>0</v>
      </c>
      <c r="AA120" s="31">
        <f>IF(AM120="7",BE120,0)</f>
        <v>0</v>
      </c>
      <c r="AB120" s="31">
        <f>IF(AM120="2",BD120,0)</f>
        <v>0</v>
      </c>
      <c r="AC120" s="31">
        <f>IF(AM120="2",BE120,0)</f>
        <v>0</v>
      </c>
      <c r="AD120" s="31">
        <f>IF(AM120="0",BF120,0)</f>
        <v>0</v>
      </c>
      <c r="AE120" s="26" t="s">
        <v>157</v>
      </c>
      <c r="AF120" s="19">
        <f>IF(AJ120=0,H120,0)</f>
        <v>0</v>
      </c>
      <c r="AG120" s="19">
        <f>IF(AJ120=15,H120,0)</f>
        <v>0</v>
      </c>
      <c r="AH120" s="19">
        <f>IF(AJ120=21,H120,0)</f>
        <v>3963.05</v>
      </c>
      <c r="AJ120" s="31">
        <v>21</v>
      </c>
      <c r="AK120" s="31">
        <f>G120*0.866297595492507</f>
        <v>3941.6540594909065</v>
      </c>
      <c r="AL120" s="31">
        <f>G120*(1-0.866297595492507)</f>
        <v>608.3459405090933</v>
      </c>
      <c r="AM120" s="27" t="s">
        <v>7</v>
      </c>
      <c r="AR120" s="31">
        <f>AS120+AT120</f>
        <v>3963.05</v>
      </c>
      <c r="AS120" s="31">
        <f>F120*AK120</f>
        <v>3433.1806858165796</v>
      </c>
      <c r="AT120" s="31">
        <f>F120*AL120</f>
        <v>529.8693141834203</v>
      </c>
      <c r="AU120" s="32" t="s">
        <v>667</v>
      </c>
      <c r="AV120" s="32" t="s">
        <v>687</v>
      </c>
      <c r="AW120" s="26" t="s">
        <v>698</v>
      </c>
      <c r="AY120" s="31">
        <f>AS120+AT120</f>
        <v>3963.05</v>
      </c>
      <c r="AZ120" s="31">
        <f>G120/(100-BA120)*100</f>
        <v>4550</v>
      </c>
      <c r="BA120" s="31">
        <v>0</v>
      </c>
      <c r="BB120" s="31">
        <f>J120</f>
        <v>2.19933597</v>
      </c>
      <c r="BD120" s="19">
        <f>F120*AK120</f>
        <v>3433.1806858165796</v>
      </c>
      <c r="BE120" s="19">
        <f>F120*AL120</f>
        <v>529.8693141834203</v>
      </c>
      <c r="BF120" s="19">
        <f>F120*G120</f>
        <v>3963.05</v>
      </c>
    </row>
    <row r="121" spans="1:16" ht="12.75">
      <c r="A121" s="47"/>
      <c r="B121" s="47"/>
      <c r="C121" s="47"/>
      <c r="D121" s="48" t="s">
        <v>402</v>
      </c>
      <c r="E121" s="47"/>
      <c r="F121" s="49">
        <v>0.871</v>
      </c>
      <c r="G121" s="47"/>
      <c r="H121" s="70"/>
      <c r="I121" s="56"/>
      <c r="J121" s="56"/>
      <c r="L121" s="49">
        <v>0.871</v>
      </c>
      <c r="M121" s="47"/>
      <c r="N121" s="70"/>
      <c r="O121" s="56"/>
      <c r="P121" s="56"/>
    </row>
    <row r="122" spans="1:58" ht="12.75">
      <c r="A122" s="41" t="s">
        <v>46</v>
      </c>
      <c r="B122" s="41" t="s">
        <v>157</v>
      </c>
      <c r="C122" s="41" t="s">
        <v>199</v>
      </c>
      <c r="D122" s="41" t="s">
        <v>403</v>
      </c>
      <c r="E122" s="41" t="s">
        <v>633</v>
      </c>
      <c r="F122" s="44">
        <v>13</v>
      </c>
      <c r="G122" s="45">
        <v>1450</v>
      </c>
      <c r="H122" s="69">
        <f>F122*G122</f>
        <v>18850</v>
      </c>
      <c r="I122" s="55">
        <v>0.26487</v>
      </c>
      <c r="J122" s="55">
        <f>F122*I122</f>
        <v>3.44331</v>
      </c>
      <c r="L122" s="44">
        <v>13</v>
      </c>
      <c r="M122" s="45">
        <v>1450</v>
      </c>
      <c r="N122" s="69">
        <f>L122*M122</f>
        <v>18850</v>
      </c>
      <c r="O122" s="55">
        <v>0.26487</v>
      </c>
      <c r="P122" s="55">
        <f>L122*O122</f>
        <v>3.44331</v>
      </c>
      <c r="V122" s="31">
        <f>IF(AM122="5",BF122,0)</f>
        <v>0</v>
      </c>
      <c r="X122" s="31">
        <f>IF(AM122="1",BD122,0)</f>
        <v>5937.500441306257</v>
      </c>
      <c r="Y122" s="31">
        <f>IF(AM122="1",BE122,0)</f>
        <v>12912.499558693744</v>
      </c>
      <c r="Z122" s="31">
        <f>IF(AM122="7",BD122,0)</f>
        <v>0</v>
      </c>
      <c r="AA122" s="31">
        <f>IF(AM122="7",BE122,0)</f>
        <v>0</v>
      </c>
      <c r="AB122" s="31">
        <f>IF(AM122="2",BD122,0)</f>
        <v>0</v>
      </c>
      <c r="AC122" s="31">
        <f>IF(AM122="2",BE122,0)</f>
        <v>0</v>
      </c>
      <c r="AD122" s="31">
        <f>IF(AM122="0",BF122,0)</f>
        <v>0</v>
      </c>
      <c r="AE122" s="26" t="s">
        <v>157</v>
      </c>
      <c r="AF122" s="19">
        <f>IF(AJ122=0,H122,0)</f>
        <v>0</v>
      </c>
      <c r="AG122" s="19">
        <f>IF(AJ122=15,H122,0)</f>
        <v>0</v>
      </c>
      <c r="AH122" s="19">
        <f>IF(AJ122=21,H122,0)</f>
        <v>18850</v>
      </c>
      <c r="AJ122" s="31">
        <v>21</v>
      </c>
      <c r="AK122" s="31">
        <f>G122*0.314986760812003</f>
        <v>456.73080317740437</v>
      </c>
      <c r="AL122" s="31">
        <f>G122*(1-0.314986760812003)</f>
        <v>993.2691968225957</v>
      </c>
      <c r="AM122" s="27" t="s">
        <v>7</v>
      </c>
      <c r="AR122" s="31">
        <f>AS122+AT122</f>
        <v>18850</v>
      </c>
      <c r="AS122" s="31">
        <f>F122*AK122</f>
        <v>5937.500441306257</v>
      </c>
      <c r="AT122" s="31">
        <f>F122*AL122</f>
        <v>12912.499558693744</v>
      </c>
      <c r="AU122" s="32" t="s">
        <v>667</v>
      </c>
      <c r="AV122" s="32" t="s">
        <v>687</v>
      </c>
      <c r="AW122" s="26" t="s">
        <v>698</v>
      </c>
      <c r="AY122" s="31">
        <f>AS122+AT122</f>
        <v>18850</v>
      </c>
      <c r="AZ122" s="31">
        <f>G122/(100-BA122)*100</f>
        <v>1450</v>
      </c>
      <c r="BA122" s="31">
        <v>0</v>
      </c>
      <c r="BB122" s="31">
        <f>J122</f>
        <v>3.44331</v>
      </c>
      <c r="BD122" s="19">
        <f>F122*AK122</f>
        <v>5937.500441306257</v>
      </c>
      <c r="BE122" s="19">
        <f>F122*AL122</f>
        <v>12912.499558693744</v>
      </c>
      <c r="BF122" s="19">
        <f>F122*G122</f>
        <v>18850</v>
      </c>
    </row>
    <row r="123" spans="1:16" ht="12.75">
      <c r="A123" s="47"/>
      <c r="B123" s="47"/>
      <c r="C123" s="47"/>
      <c r="D123" s="48" t="s">
        <v>404</v>
      </c>
      <c r="E123" s="47"/>
      <c r="F123" s="49">
        <v>13</v>
      </c>
      <c r="G123" s="47"/>
      <c r="H123" s="70"/>
      <c r="I123" s="56"/>
      <c r="J123" s="56"/>
      <c r="L123" s="49">
        <v>13</v>
      </c>
      <c r="M123" s="47"/>
      <c r="N123" s="70"/>
      <c r="O123" s="56"/>
      <c r="P123" s="56"/>
    </row>
    <row r="124" spans="1:58" ht="12.75">
      <c r="A124" s="50" t="s">
        <v>47</v>
      </c>
      <c r="B124" s="50" t="s">
        <v>157</v>
      </c>
      <c r="C124" s="50" t="s">
        <v>200</v>
      </c>
      <c r="D124" s="50" t="s">
        <v>405</v>
      </c>
      <c r="E124" s="50" t="s">
        <v>630</v>
      </c>
      <c r="F124" s="51">
        <v>100.98</v>
      </c>
      <c r="G124" s="52">
        <v>1260</v>
      </c>
      <c r="H124" s="72">
        <f>F124*G124</f>
        <v>127234.8</v>
      </c>
      <c r="I124" s="58">
        <v>0.5</v>
      </c>
      <c r="J124" s="58">
        <f>F124*I124</f>
        <v>50.49</v>
      </c>
      <c r="L124" s="51">
        <v>100.98</v>
      </c>
      <c r="M124" s="52">
        <v>1260</v>
      </c>
      <c r="N124" s="72">
        <f>L124*M124</f>
        <v>127234.8</v>
      </c>
      <c r="O124" s="58">
        <v>0.5</v>
      </c>
      <c r="P124" s="58">
        <f>L124*O124</f>
        <v>50.49</v>
      </c>
      <c r="V124" s="31">
        <f>IF(AM124="5",BF124,0)</f>
        <v>0</v>
      </c>
      <c r="X124" s="31">
        <f>IF(AM124="1",BD124,0)</f>
        <v>127234.8</v>
      </c>
      <c r="Y124" s="31">
        <f>IF(AM124="1",BE124,0)</f>
        <v>0</v>
      </c>
      <c r="Z124" s="31">
        <f>IF(AM124="7",BD124,0)</f>
        <v>0</v>
      </c>
      <c r="AA124" s="31">
        <f>IF(AM124="7",BE124,0)</f>
        <v>0</v>
      </c>
      <c r="AB124" s="31">
        <f>IF(AM124="2",BD124,0)</f>
        <v>0</v>
      </c>
      <c r="AC124" s="31">
        <f>IF(AM124="2",BE124,0)</f>
        <v>0</v>
      </c>
      <c r="AD124" s="31">
        <f>IF(AM124="0",BF124,0)</f>
        <v>0</v>
      </c>
      <c r="AE124" s="26" t="s">
        <v>157</v>
      </c>
      <c r="AF124" s="20">
        <f>IF(AJ124=0,H124,0)</f>
        <v>0</v>
      </c>
      <c r="AG124" s="20">
        <f>IF(AJ124=15,H124,0)</f>
        <v>0</v>
      </c>
      <c r="AH124" s="20">
        <f>IF(AJ124=21,H124,0)</f>
        <v>127234.8</v>
      </c>
      <c r="AJ124" s="31">
        <v>21</v>
      </c>
      <c r="AK124" s="31">
        <f>G124*1</f>
        <v>1260</v>
      </c>
      <c r="AL124" s="31">
        <f>G124*(1-1)</f>
        <v>0</v>
      </c>
      <c r="AM124" s="28" t="s">
        <v>7</v>
      </c>
      <c r="AR124" s="31">
        <f>AS124+AT124</f>
        <v>127234.8</v>
      </c>
      <c r="AS124" s="31">
        <f>F124*AK124</f>
        <v>127234.8</v>
      </c>
      <c r="AT124" s="31">
        <f>F124*AL124</f>
        <v>0</v>
      </c>
      <c r="AU124" s="32" t="s">
        <v>667</v>
      </c>
      <c r="AV124" s="32" t="s">
        <v>687</v>
      </c>
      <c r="AW124" s="26" t="s">
        <v>698</v>
      </c>
      <c r="AY124" s="31">
        <f>AS124+AT124</f>
        <v>127234.8</v>
      </c>
      <c r="AZ124" s="31">
        <f>G124/(100-BA124)*100</f>
        <v>1260</v>
      </c>
      <c r="BA124" s="31">
        <v>0</v>
      </c>
      <c r="BB124" s="31">
        <f>J124</f>
        <v>50.49</v>
      </c>
      <c r="BD124" s="20">
        <f>F124*AK124</f>
        <v>127234.8</v>
      </c>
      <c r="BE124" s="20">
        <f>F124*AL124</f>
        <v>0</v>
      </c>
      <c r="BF124" s="20">
        <f>F124*G124</f>
        <v>127234.8</v>
      </c>
    </row>
    <row r="125" spans="1:16" ht="12.75">
      <c r="A125" s="47"/>
      <c r="B125" s="47"/>
      <c r="C125" s="47"/>
      <c r="D125" s="48" t="s">
        <v>406</v>
      </c>
      <c r="E125" s="47"/>
      <c r="F125" s="49">
        <v>100.98</v>
      </c>
      <c r="G125" s="47"/>
      <c r="H125" s="70"/>
      <c r="I125" s="56"/>
      <c r="J125" s="56"/>
      <c r="L125" s="49">
        <v>100.98</v>
      </c>
      <c r="M125" s="47"/>
      <c r="N125" s="70"/>
      <c r="O125" s="56"/>
      <c r="P125" s="56"/>
    </row>
    <row r="126" spans="1:16" ht="12.75">
      <c r="A126" s="99" t="s">
        <v>730</v>
      </c>
      <c r="B126" s="47"/>
      <c r="C126" s="47"/>
      <c r="D126" s="100" t="s">
        <v>732</v>
      </c>
      <c r="E126" s="103" t="s">
        <v>733</v>
      </c>
      <c r="F126" s="44"/>
      <c r="G126" s="45"/>
      <c r="H126" s="69"/>
      <c r="I126" s="55"/>
      <c r="J126" s="55"/>
      <c r="L126" s="102">
        <v>1</v>
      </c>
      <c r="M126" s="69">
        <v>8000</v>
      </c>
      <c r="N126" s="69">
        <f>L126*M126</f>
        <v>8000</v>
      </c>
      <c r="O126" s="55">
        <v>0</v>
      </c>
      <c r="P126" s="55">
        <f>L126*O126</f>
        <v>0</v>
      </c>
    </row>
    <row r="127" spans="1:16" ht="12.75">
      <c r="A127" s="99" t="s">
        <v>731</v>
      </c>
      <c r="B127" s="47"/>
      <c r="C127" s="47"/>
      <c r="D127" s="100" t="s">
        <v>728</v>
      </c>
      <c r="E127" s="41" t="s">
        <v>630</v>
      </c>
      <c r="F127" s="44"/>
      <c r="G127" s="45"/>
      <c r="H127" s="69"/>
      <c r="I127" s="55"/>
      <c r="J127" s="55"/>
      <c r="L127" s="102">
        <v>100</v>
      </c>
      <c r="M127" s="69">
        <v>250</v>
      </c>
      <c r="N127" s="69">
        <f>L127*M127</f>
        <v>25000</v>
      </c>
      <c r="O127" s="55">
        <v>0.0009</v>
      </c>
      <c r="P127" s="55">
        <f>L127*O127</f>
        <v>0.09</v>
      </c>
    </row>
    <row r="128" spans="1:58" ht="12.75">
      <c r="A128" s="41" t="s">
        <v>48</v>
      </c>
      <c r="B128" s="41" t="s">
        <v>157</v>
      </c>
      <c r="C128" s="41" t="s">
        <v>201</v>
      </c>
      <c r="D128" s="41" t="s">
        <v>407</v>
      </c>
      <c r="E128" s="41" t="s">
        <v>632</v>
      </c>
      <c r="F128" s="44">
        <v>0.078</v>
      </c>
      <c r="G128" s="45">
        <v>30000</v>
      </c>
      <c r="H128" s="69">
        <f>F128*G128</f>
        <v>2340</v>
      </c>
      <c r="I128" s="55">
        <v>1.02139</v>
      </c>
      <c r="J128" s="55">
        <f>F128*I128</f>
        <v>0.07966842</v>
      </c>
      <c r="L128" s="44">
        <v>0.078</v>
      </c>
      <c r="M128" s="45">
        <v>30000</v>
      </c>
      <c r="N128" s="69">
        <f>L128*M128</f>
        <v>2340</v>
      </c>
      <c r="O128" s="55">
        <v>1.02139</v>
      </c>
      <c r="P128" s="55">
        <f>L128*O128</f>
        <v>0.07966842</v>
      </c>
      <c r="V128" s="31">
        <f>IF(AM128="5",BF128,0)</f>
        <v>0</v>
      </c>
      <c r="X128" s="31">
        <f>IF(AM128="1",BD128,0)</f>
        <v>1533.0664914992274</v>
      </c>
      <c r="Y128" s="31">
        <f>IF(AM128="1",BE128,0)</f>
        <v>806.9335085007727</v>
      </c>
      <c r="Z128" s="31">
        <f>IF(AM128="7",BD128,0)</f>
        <v>0</v>
      </c>
      <c r="AA128" s="31">
        <f>IF(AM128="7",BE128,0)</f>
        <v>0</v>
      </c>
      <c r="AB128" s="31">
        <f>IF(AM128="2",BD128,0)</f>
        <v>0</v>
      </c>
      <c r="AC128" s="31">
        <f>IF(AM128="2",BE128,0)</f>
        <v>0</v>
      </c>
      <c r="AD128" s="31">
        <f>IF(AM128="0",BF128,0)</f>
        <v>0</v>
      </c>
      <c r="AE128" s="26" t="s">
        <v>157</v>
      </c>
      <c r="AF128" s="19">
        <f>IF(AJ128=0,H128,0)</f>
        <v>0</v>
      </c>
      <c r="AG128" s="19">
        <f>IF(AJ128=15,H128,0)</f>
        <v>0</v>
      </c>
      <c r="AH128" s="19">
        <f>IF(AJ128=21,H128,0)</f>
        <v>2340</v>
      </c>
      <c r="AJ128" s="31">
        <v>21</v>
      </c>
      <c r="AK128" s="31">
        <f>G128*0.655156620298815</f>
        <v>19654.698608964452</v>
      </c>
      <c r="AL128" s="31">
        <f>G128*(1-0.655156620298815)</f>
        <v>10345.301391035548</v>
      </c>
      <c r="AM128" s="27" t="s">
        <v>7</v>
      </c>
      <c r="AR128" s="31">
        <f>AS128+AT128</f>
        <v>2340</v>
      </c>
      <c r="AS128" s="31">
        <f>F128*AK128</f>
        <v>1533.0664914992274</v>
      </c>
      <c r="AT128" s="31">
        <f>F128*AL128</f>
        <v>806.9335085007727</v>
      </c>
      <c r="AU128" s="32" t="s">
        <v>667</v>
      </c>
      <c r="AV128" s="32" t="s">
        <v>687</v>
      </c>
      <c r="AW128" s="26" t="s">
        <v>698</v>
      </c>
      <c r="AY128" s="31">
        <f>AS128+AT128</f>
        <v>2340</v>
      </c>
      <c r="AZ128" s="31">
        <f>G128/(100-BA128)*100</f>
        <v>30000</v>
      </c>
      <c r="BA128" s="31">
        <v>0</v>
      </c>
      <c r="BB128" s="31">
        <f>J128</f>
        <v>0.07966842</v>
      </c>
      <c r="BD128" s="19">
        <f>F128*AK128</f>
        <v>1533.0664914992274</v>
      </c>
      <c r="BE128" s="19">
        <f>F128*AL128</f>
        <v>806.9335085007727</v>
      </c>
      <c r="BF128" s="19">
        <f>F128*G128</f>
        <v>2340</v>
      </c>
    </row>
    <row r="129" spans="1:16" ht="12.75">
      <c r="A129" s="47"/>
      <c r="B129" s="47"/>
      <c r="C129" s="47"/>
      <c r="D129" s="48" t="s">
        <v>408</v>
      </c>
      <c r="E129" s="47"/>
      <c r="F129" s="49">
        <v>0.078</v>
      </c>
      <c r="G129" s="47"/>
      <c r="H129" s="70"/>
      <c r="I129" s="56"/>
      <c r="J129" s="56"/>
      <c r="L129" s="49">
        <v>0.078</v>
      </c>
      <c r="M129" s="47"/>
      <c r="N129" s="70"/>
      <c r="O129" s="56"/>
      <c r="P129" s="56"/>
    </row>
    <row r="130" spans="1:58" ht="12.75">
      <c r="A130" s="41" t="s">
        <v>49</v>
      </c>
      <c r="B130" s="41" t="s">
        <v>157</v>
      </c>
      <c r="C130" s="41" t="s">
        <v>202</v>
      </c>
      <c r="D130" s="41" t="s">
        <v>409</v>
      </c>
      <c r="E130" s="41" t="s">
        <v>630</v>
      </c>
      <c r="F130" s="44">
        <v>50.49</v>
      </c>
      <c r="G130" s="45">
        <v>124</v>
      </c>
      <c r="H130" s="69">
        <f>F130*G130</f>
        <v>6260.76</v>
      </c>
      <c r="I130" s="55">
        <v>0.00552</v>
      </c>
      <c r="J130" s="55">
        <f>F130*I130</f>
        <v>0.2787048</v>
      </c>
      <c r="L130" s="44">
        <v>50.49</v>
      </c>
      <c r="M130" s="45">
        <v>124</v>
      </c>
      <c r="N130" s="69">
        <f>L130*M130</f>
        <v>6260.76</v>
      </c>
      <c r="O130" s="55">
        <v>0.00552</v>
      </c>
      <c r="P130" s="55">
        <f>L130*O130</f>
        <v>0.2787048</v>
      </c>
      <c r="V130" s="31">
        <f>IF(AM130="5",BF130,0)</f>
        <v>0</v>
      </c>
      <c r="X130" s="31">
        <f>IF(AM130="1",BD130,0)</f>
        <v>958.5649048543697</v>
      </c>
      <c r="Y130" s="31">
        <f>IF(AM130="1",BE130,0)</f>
        <v>5302.19509514563</v>
      </c>
      <c r="Z130" s="31">
        <f>IF(AM130="7",BD130,0)</f>
        <v>0</v>
      </c>
      <c r="AA130" s="31">
        <f>IF(AM130="7",BE130,0)</f>
        <v>0</v>
      </c>
      <c r="AB130" s="31">
        <f>IF(AM130="2",BD130,0)</f>
        <v>0</v>
      </c>
      <c r="AC130" s="31">
        <f>IF(AM130="2",BE130,0)</f>
        <v>0</v>
      </c>
      <c r="AD130" s="31">
        <f>IF(AM130="0",BF130,0)</f>
        <v>0</v>
      </c>
      <c r="AE130" s="26" t="s">
        <v>157</v>
      </c>
      <c r="AF130" s="19">
        <f>IF(AJ130=0,H130,0)</f>
        <v>0</v>
      </c>
      <c r="AG130" s="19">
        <f>IF(AJ130=15,H130,0)</f>
        <v>0</v>
      </c>
      <c r="AH130" s="19">
        <f>IF(AJ130=21,H130,0)</f>
        <v>6260.76</v>
      </c>
      <c r="AJ130" s="31">
        <v>21</v>
      </c>
      <c r="AK130" s="31">
        <f>G130*0.153106796116505</f>
        <v>18.985242718446617</v>
      </c>
      <c r="AL130" s="31">
        <f>G130*(1-0.153106796116505)</f>
        <v>105.01475728155337</v>
      </c>
      <c r="AM130" s="27" t="s">
        <v>7</v>
      </c>
      <c r="AR130" s="31">
        <f>AS130+AT130</f>
        <v>6260.76</v>
      </c>
      <c r="AS130" s="31">
        <f>F130*AK130</f>
        <v>958.5649048543697</v>
      </c>
      <c r="AT130" s="31">
        <f>F130*AL130</f>
        <v>5302.19509514563</v>
      </c>
      <c r="AU130" s="32" t="s">
        <v>667</v>
      </c>
      <c r="AV130" s="32" t="s">
        <v>687</v>
      </c>
      <c r="AW130" s="26" t="s">
        <v>698</v>
      </c>
      <c r="AY130" s="31">
        <f>AS130+AT130</f>
        <v>6260.76</v>
      </c>
      <c r="AZ130" s="31">
        <f>G130/(100-BA130)*100</f>
        <v>124</v>
      </c>
      <c r="BA130" s="31">
        <v>0</v>
      </c>
      <c r="BB130" s="31">
        <f>J130</f>
        <v>0.2787048</v>
      </c>
      <c r="BD130" s="19">
        <f>F130*AK130</f>
        <v>958.5649048543697</v>
      </c>
      <c r="BE130" s="19">
        <f>F130*AL130</f>
        <v>5302.19509514563</v>
      </c>
      <c r="BF130" s="19">
        <f>F130*G130</f>
        <v>6260.76</v>
      </c>
    </row>
    <row r="131" spans="1:16" ht="12.75">
      <c r="A131" s="47"/>
      <c r="B131" s="47"/>
      <c r="C131" s="47"/>
      <c r="D131" s="48" t="s">
        <v>410</v>
      </c>
      <c r="E131" s="47"/>
      <c r="F131" s="49">
        <v>50.49</v>
      </c>
      <c r="G131" s="47"/>
      <c r="H131" s="70"/>
      <c r="I131" s="56"/>
      <c r="J131" s="56"/>
      <c r="L131" s="49">
        <v>50.49</v>
      </c>
      <c r="M131" s="47"/>
      <c r="N131" s="70"/>
      <c r="O131" s="56"/>
      <c r="P131" s="56"/>
    </row>
    <row r="132" spans="1:58" ht="12.75">
      <c r="A132" s="41" t="s">
        <v>50</v>
      </c>
      <c r="B132" s="41" t="s">
        <v>157</v>
      </c>
      <c r="C132" s="41" t="s">
        <v>203</v>
      </c>
      <c r="D132" s="41" t="s">
        <v>411</v>
      </c>
      <c r="E132" s="41" t="s">
        <v>630</v>
      </c>
      <c r="F132" s="44">
        <v>50.49</v>
      </c>
      <c r="G132" s="45">
        <v>29</v>
      </c>
      <c r="H132" s="69">
        <f>F132*G132</f>
        <v>1464.21</v>
      </c>
      <c r="I132" s="55">
        <v>0</v>
      </c>
      <c r="J132" s="55">
        <f>F132*I132</f>
        <v>0</v>
      </c>
      <c r="L132" s="44">
        <v>50.49</v>
      </c>
      <c r="M132" s="45">
        <v>29</v>
      </c>
      <c r="N132" s="69">
        <f>L132*M132</f>
        <v>1464.21</v>
      </c>
      <c r="O132" s="55">
        <v>0</v>
      </c>
      <c r="P132" s="55">
        <f>L132*O132</f>
        <v>0</v>
      </c>
      <c r="V132" s="31">
        <f>IF(AM132="5",BF132,0)</f>
        <v>0</v>
      </c>
      <c r="X132" s="31">
        <f>IF(AM132="1",BD132,0)</f>
        <v>0</v>
      </c>
      <c r="Y132" s="31">
        <f>IF(AM132="1",BE132,0)</f>
        <v>1464.21</v>
      </c>
      <c r="Z132" s="31">
        <f>IF(AM132="7",BD132,0)</f>
        <v>0</v>
      </c>
      <c r="AA132" s="31">
        <f>IF(AM132="7",BE132,0)</f>
        <v>0</v>
      </c>
      <c r="AB132" s="31">
        <f>IF(AM132="2",BD132,0)</f>
        <v>0</v>
      </c>
      <c r="AC132" s="31">
        <f>IF(AM132="2",BE132,0)</f>
        <v>0</v>
      </c>
      <c r="AD132" s="31">
        <f>IF(AM132="0",BF132,0)</f>
        <v>0</v>
      </c>
      <c r="AE132" s="26" t="s">
        <v>157</v>
      </c>
      <c r="AF132" s="19">
        <f>IF(AJ132=0,H132,0)</f>
        <v>0</v>
      </c>
      <c r="AG132" s="19">
        <f>IF(AJ132=15,H132,0)</f>
        <v>0</v>
      </c>
      <c r="AH132" s="19">
        <f>IF(AJ132=21,H132,0)</f>
        <v>1464.21</v>
      </c>
      <c r="AJ132" s="31">
        <v>21</v>
      </c>
      <c r="AK132" s="31">
        <f>G132*0</f>
        <v>0</v>
      </c>
      <c r="AL132" s="31">
        <f>G132*(1-0)</f>
        <v>29</v>
      </c>
      <c r="AM132" s="27" t="s">
        <v>7</v>
      </c>
      <c r="AR132" s="31">
        <f>AS132+AT132</f>
        <v>1464.21</v>
      </c>
      <c r="AS132" s="31">
        <f>F132*AK132</f>
        <v>0</v>
      </c>
      <c r="AT132" s="31">
        <f>F132*AL132</f>
        <v>1464.21</v>
      </c>
      <c r="AU132" s="32" t="s">
        <v>667</v>
      </c>
      <c r="AV132" s="32" t="s">
        <v>687</v>
      </c>
      <c r="AW132" s="26" t="s">
        <v>698</v>
      </c>
      <c r="AY132" s="31">
        <f>AS132+AT132</f>
        <v>1464.21</v>
      </c>
      <c r="AZ132" s="31">
        <f>G132/(100-BA132)*100</f>
        <v>28.999999999999996</v>
      </c>
      <c r="BA132" s="31">
        <v>0</v>
      </c>
      <c r="BB132" s="31">
        <f>J132</f>
        <v>0</v>
      </c>
      <c r="BD132" s="19">
        <f>F132*AK132</f>
        <v>0</v>
      </c>
      <c r="BE132" s="19">
        <f>F132*AL132</f>
        <v>1464.21</v>
      </c>
      <c r="BF132" s="19">
        <f>F132*G132</f>
        <v>1464.21</v>
      </c>
    </row>
    <row r="133" spans="1:16" ht="12.75">
      <c r="A133" s="47"/>
      <c r="B133" s="47"/>
      <c r="C133" s="47"/>
      <c r="D133" s="48" t="s">
        <v>410</v>
      </c>
      <c r="E133" s="47"/>
      <c r="F133" s="49">
        <v>50.49</v>
      </c>
      <c r="G133" s="47"/>
      <c r="H133" s="70"/>
      <c r="I133" s="56"/>
      <c r="J133" s="56"/>
      <c r="L133" s="49">
        <v>50.49</v>
      </c>
      <c r="M133" s="47"/>
      <c r="N133" s="70"/>
      <c r="O133" s="56"/>
      <c r="P133" s="56"/>
    </row>
    <row r="134" spans="1:58" ht="12.75">
      <c r="A134" s="41" t="s">
        <v>51</v>
      </c>
      <c r="B134" s="41" t="s">
        <v>157</v>
      </c>
      <c r="C134" s="41" t="s">
        <v>204</v>
      </c>
      <c r="D134" s="41" t="s">
        <v>412</v>
      </c>
      <c r="E134" s="41" t="s">
        <v>629</v>
      </c>
      <c r="F134" s="44">
        <v>5.648</v>
      </c>
      <c r="G134" s="45">
        <v>3100</v>
      </c>
      <c r="H134" s="69">
        <f>F134*G134</f>
        <v>17508.8</v>
      </c>
      <c r="I134" s="55">
        <v>2.52511</v>
      </c>
      <c r="J134" s="55">
        <f>F134*I134</f>
        <v>14.26182128</v>
      </c>
      <c r="L134" s="44">
        <v>5.648</v>
      </c>
      <c r="M134" s="45">
        <v>3100</v>
      </c>
      <c r="N134" s="69">
        <f>L134*M134</f>
        <v>17508.8</v>
      </c>
      <c r="O134" s="55">
        <v>2.52511</v>
      </c>
      <c r="P134" s="55">
        <f>L134*O134</f>
        <v>14.26182128</v>
      </c>
      <c r="V134" s="31">
        <f>IF(AM134="5",BF134,0)</f>
        <v>0</v>
      </c>
      <c r="X134" s="31">
        <f>IF(AM134="1",BD134,0)</f>
        <v>14053.179542138363</v>
      </c>
      <c r="Y134" s="31">
        <f>IF(AM134="1",BE134,0)</f>
        <v>3455.620457861637</v>
      </c>
      <c r="Z134" s="31">
        <f>IF(AM134="7",BD134,0)</f>
        <v>0</v>
      </c>
      <c r="AA134" s="31">
        <f>IF(AM134="7",BE134,0)</f>
        <v>0</v>
      </c>
      <c r="AB134" s="31">
        <f>IF(AM134="2",BD134,0)</f>
        <v>0</v>
      </c>
      <c r="AC134" s="31">
        <f>IF(AM134="2",BE134,0)</f>
        <v>0</v>
      </c>
      <c r="AD134" s="31">
        <f>IF(AM134="0",BF134,0)</f>
        <v>0</v>
      </c>
      <c r="AE134" s="26" t="s">
        <v>157</v>
      </c>
      <c r="AF134" s="19">
        <f>IF(AJ134=0,H134,0)</f>
        <v>0</v>
      </c>
      <c r="AG134" s="19">
        <f>IF(AJ134=15,H134,0)</f>
        <v>0</v>
      </c>
      <c r="AH134" s="19">
        <f>IF(AJ134=21,H134,0)</f>
        <v>17508.8</v>
      </c>
      <c r="AJ134" s="31">
        <v>21</v>
      </c>
      <c r="AK134" s="31">
        <f>G134*0.802635220125786</f>
        <v>2488.169182389937</v>
      </c>
      <c r="AL134" s="31">
        <f>G134*(1-0.802635220125786)</f>
        <v>611.8308176100633</v>
      </c>
      <c r="AM134" s="27" t="s">
        <v>7</v>
      </c>
      <c r="AR134" s="31">
        <f>AS134+AT134</f>
        <v>17508.8</v>
      </c>
      <c r="AS134" s="31">
        <f>F134*AK134</f>
        <v>14053.179542138363</v>
      </c>
      <c r="AT134" s="31">
        <f>F134*AL134</f>
        <v>3455.620457861637</v>
      </c>
      <c r="AU134" s="32" t="s">
        <v>667</v>
      </c>
      <c r="AV134" s="32" t="s">
        <v>687</v>
      </c>
      <c r="AW134" s="26" t="s">
        <v>698</v>
      </c>
      <c r="AY134" s="31">
        <f>AS134+AT134</f>
        <v>17508.8</v>
      </c>
      <c r="AZ134" s="31">
        <f>G134/(100-BA134)*100</f>
        <v>3100</v>
      </c>
      <c r="BA134" s="31">
        <v>0</v>
      </c>
      <c r="BB134" s="31">
        <f>J134</f>
        <v>14.26182128</v>
      </c>
      <c r="BD134" s="19">
        <f>F134*AK134</f>
        <v>14053.179542138363</v>
      </c>
      <c r="BE134" s="19">
        <f>F134*AL134</f>
        <v>3455.620457861637</v>
      </c>
      <c r="BF134" s="19">
        <f>F134*G134</f>
        <v>17508.8</v>
      </c>
    </row>
    <row r="135" spans="1:16" ht="12.75">
      <c r="A135" s="47"/>
      <c r="B135" s="47"/>
      <c r="C135" s="47"/>
      <c r="D135" s="48" t="s">
        <v>413</v>
      </c>
      <c r="E135" s="47"/>
      <c r="F135" s="49">
        <v>2.228</v>
      </c>
      <c r="G135" s="47"/>
      <c r="H135" s="70"/>
      <c r="I135" s="56"/>
      <c r="J135" s="56"/>
      <c r="L135" s="49">
        <v>2.228</v>
      </c>
      <c r="M135" s="47"/>
      <c r="N135" s="70"/>
      <c r="O135" s="56"/>
      <c r="P135" s="56"/>
    </row>
    <row r="136" spans="1:16" ht="12.75">
      <c r="A136" s="47"/>
      <c r="B136" s="47"/>
      <c r="C136" s="47"/>
      <c r="D136" s="48" t="s">
        <v>414</v>
      </c>
      <c r="E136" s="47"/>
      <c r="F136" s="49">
        <v>3.42</v>
      </c>
      <c r="G136" s="47"/>
      <c r="H136" s="70"/>
      <c r="I136" s="56"/>
      <c r="J136" s="56"/>
      <c r="L136" s="49">
        <v>3.42</v>
      </c>
      <c r="M136" s="47"/>
      <c r="N136" s="70"/>
      <c r="O136" s="56"/>
      <c r="P136" s="56"/>
    </row>
    <row r="137" spans="1:58" ht="12.75">
      <c r="A137" s="41" t="s">
        <v>52</v>
      </c>
      <c r="B137" s="41" t="s">
        <v>157</v>
      </c>
      <c r="C137" s="41" t="s">
        <v>205</v>
      </c>
      <c r="D137" s="41" t="s">
        <v>415</v>
      </c>
      <c r="E137" s="41" t="s">
        <v>631</v>
      </c>
      <c r="F137" s="44">
        <v>31.92</v>
      </c>
      <c r="G137" s="45">
        <v>360</v>
      </c>
      <c r="H137" s="69">
        <f>F137*G137</f>
        <v>11491.2</v>
      </c>
      <c r="I137" s="55">
        <v>0.04965</v>
      </c>
      <c r="J137" s="55">
        <f>F137*I137</f>
        <v>1.5848280000000001</v>
      </c>
      <c r="L137" s="44">
        <v>31.92</v>
      </c>
      <c r="M137" s="45">
        <v>360</v>
      </c>
      <c r="N137" s="69">
        <f>L137*M137</f>
        <v>11491.2</v>
      </c>
      <c r="O137" s="55">
        <v>0.04965</v>
      </c>
      <c r="P137" s="55">
        <f>L137*O137</f>
        <v>1.5848280000000001</v>
      </c>
      <c r="V137" s="31">
        <f>IF(AM137="5",BF137,0)</f>
        <v>0</v>
      </c>
      <c r="X137" s="31">
        <f>IF(AM137="1",BD137,0)</f>
        <v>2031.5644810400897</v>
      </c>
      <c r="Y137" s="31">
        <f>IF(AM137="1",BE137,0)</f>
        <v>9459.63551895991</v>
      </c>
      <c r="Z137" s="31">
        <f>IF(AM137="7",BD137,0)</f>
        <v>0</v>
      </c>
      <c r="AA137" s="31">
        <f>IF(AM137="7",BE137,0)</f>
        <v>0</v>
      </c>
      <c r="AB137" s="31">
        <f>IF(AM137="2",BD137,0)</f>
        <v>0</v>
      </c>
      <c r="AC137" s="31">
        <f>IF(AM137="2",BE137,0)</f>
        <v>0</v>
      </c>
      <c r="AD137" s="31">
        <f>IF(AM137="0",BF137,0)</f>
        <v>0</v>
      </c>
      <c r="AE137" s="26" t="s">
        <v>157</v>
      </c>
      <c r="AF137" s="19">
        <f>IF(AJ137=0,H137,0)</f>
        <v>0</v>
      </c>
      <c r="AG137" s="19">
        <f>IF(AJ137=15,H137,0)</f>
        <v>0</v>
      </c>
      <c r="AH137" s="19">
        <f>IF(AJ137=21,H137,0)</f>
        <v>11491.2</v>
      </c>
      <c r="AJ137" s="31">
        <v>21</v>
      </c>
      <c r="AK137" s="31">
        <f>G137*0.176793066088841</f>
        <v>63.645503791982755</v>
      </c>
      <c r="AL137" s="31">
        <f>G137*(1-0.176793066088841)</f>
        <v>296.3544962080172</v>
      </c>
      <c r="AM137" s="27" t="s">
        <v>7</v>
      </c>
      <c r="AR137" s="31">
        <f>AS137+AT137</f>
        <v>11491.2</v>
      </c>
      <c r="AS137" s="31">
        <f>F137*AK137</f>
        <v>2031.5644810400897</v>
      </c>
      <c r="AT137" s="31">
        <f>F137*AL137</f>
        <v>9459.63551895991</v>
      </c>
      <c r="AU137" s="32" t="s">
        <v>667</v>
      </c>
      <c r="AV137" s="32" t="s">
        <v>687</v>
      </c>
      <c r="AW137" s="26" t="s">
        <v>698</v>
      </c>
      <c r="AY137" s="31">
        <f>AS137+AT137</f>
        <v>11491.2</v>
      </c>
      <c r="AZ137" s="31">
        <f>G137/(100-BA137)*100</f>
        <v>360</v>
      </c>
      <c r="BA137" s="31">
        <v>0</v>
      </c>
      <c r="BB137" s="31">
        <f>J137</f>
        <v>1.5848280000000001</v>
      </c>
      <c r="BD137" s="19">
        <f>F137*AK137</f>
        <v>2031.5644810400897</v>
      </c>
      <c r="BE137" s="19">
        <f>F137*AL137</f>
        <v>9459.63551895991</v>
      </c>
      <c r="BF137" s="19">
        <f>F137*G137</f>
        <v>11491.2</v>
      </c>
    </row>
    <row r="138" spans="1:16" ht="12.75">
      <c r="A138" s="47"/>
      <c r="B138" s="47"/>
      <c r="C138" s="47"/>
      <c r="D138" s="48" t="s">
        <v>416</v>
      </c>
      <c r="E138" s="47"/>
      <c r="F138" s="49">
        <v>31.92</v>
      </c>
      <c r="G138" s="47"/>
      <c r="H138" s="70"/>
      <c r="I138" s="56"/>
      <c r="J138" s="56"/>
      <c r="L138" s="49">
        <v>31.92</v>
      </c>
      <c r="M138" s="47"/>
      <c r="N138" s="70"/>
      <c r="O138" s="56"/>
      <c r="P138" s="56"/>
    </row>
    <row r="139" spans="1:58" ht="12.75">
      <c r="A139" s="41" t="s">
        <v>53</v>
      </c>
      <c r="B139" s="41" t="s">
        <v>157</v>
      </c>
      <c r="C139" s="41" t="s">
        <v>206</v>
      </c>
      <c r="D139" s="41" t="s">
        <v>417</v>
      </c>
      <c r="E139" s="41" t="s">
        <v>631</v>
      </c>
      <c r="F139" s="44">
        <v>31.92</v>
      </c>
      <c r="G139" s="45">
        <v>81</v>
      </c>
      <c r="H139" s="69">
        <f>F139*G139</f>
        <v>2585.52</v>
      </c>
      <c r="I139" s="55">
        <v>0</v>
      </c>
      <c r="J139" s="55">
        <f>F139*I139</f>
        <v>0</v>
      </c>
      <c r="L139" s="44">
        <v>31.92</v>
      </c>
      <c r="M139" s="45">
        <v>81</v>
      </c>
      <c r="N139" s="69">
        <f>L139*M139</f>
        <v>2585.52</v>
      </c>
      <c r="O139" s="55">
        <v>0</v>
      </c>
      <c r="P139" s="55">
        <f>L139*O139</f>
        <v>0</v>
      </c>
      <c r="V139" s="31">
        <f>IF(AM139="5",BF139,0)</f>
        <v>0</v>
      </c>
      <c r="X139" s="31">
        <f>IF(AM139="1",BD139,0)</f>
        <v>0</v>
      </c>
      <c r="Y139" s="31">
        <f>IF(AM139="1",BE139,0)</f>
        <v>2585.52</v>
      </c>
      <c r="Z139" s="31">
        <f>IF(AM139="7",BD139,0)</f>
        <v>0</v>
      </c>
      <c r="AA139" s="31">
        <f>IF(AM139="7",BE139,0)</f>
        <v>0</v>
      </c>
      <c r="AB139" s="31">
        <f>IF(AM139="2",BD139,0)</f>
        <v>0</v>
      </c>
      <c r="AC139" s="31">
        <f>IF(AM139="2",BE139,0)</f>
        <v>0</v>
      </c>
      <c r="AD139" s="31">
        <f>IF(AM139="0",BF139,0)</f>
        <v>0</v>
      </c>
      <c r="AE139" s="26" t="s">
        <v>157</v>
      </c>
      <c r="AF139" s="19">
        <f>IF(AJ139=0,H139,0)</f>
        <v>0</v>
      </c>
      <c r="AG139" s="19">
        <f>IF(AJ139=15,H139,0)</f>
        <v>0</v>
      </c>
      <c r="AH139" s="19">
        <f>IF(AJ139=21,H139,0)</f>
        <v>2585.52</v>
      </c>
      <c r="AJ139" s="31">
        <v>21</v>
      </c>
      <c r="AK139" s="31">
        <f>G139*0</f>
        <v>0</v>
      </c>
      <c r="AL139" s="31">
        <f>G139*(1-0)</f>
        <v>81</v>
      </c>
      <c r="AM139" s="27" t="s">
        <v>7</v>
      </c>
      <c r="AR139" s="31">
        <f>AS139+AT139</f>
        <v>2585.52</v>
      </c>
      <c r="AS139" s="31">
        <f>F139*AK139</f>
        <v>0</v>
      </c>
      <c r="AT139" s="31">
        <f>F139*AL139</f>
        <v>2585.52</v>
      </c>
      <c r="AU139" s="32" t="s">
        <v>667</v>
      </c>
      <c r="AV139" s="32" t="s">
        <v>687</v>
      </c>
      <c r="AW139" s="26" t="s">
        <v>698</v>
      </c>
      <c r="AY139" s="31">
        <f>AS139+AT139</f>
        <v>2585.52</v>
      </c>
      <c r="AZ139" s="31">
        <f>G139/(100-BA139)*100</f>
        <v>81</v>
      </c>
      <c r="BA139" s="31">
        <v>0</v>
      </c>
      <c r="BB139" s="31">
        <f>J139</f>
        <v>0</v>
      </c>
      <c r="BD139" s="19">
        <f>F139*AK139</f>
        <v>0</v>
      </c>
      <c r="BE139" s="19">
        <f>F139*AL139</f>
        <v>2585.52</v>
      </c>
      <c r="BF139" s="19">
        <f>F139*G139</f>
        <v>2585.52</v>
      </c>
    </row>
    <row r="140" spans="1:16" ht="12.75">
      <c r="A140" s="47"/>
      <c r="B140" s="47"/>
      <c r="C140" s="47"/>
      <c r="D140" s="48" t="s">
        <v>416</v>
      </c>
      <c r="E140" s="47"/>
      <c r="F140" s="49">
        <v>31.92</v>
      </c>
      <c r="G140" s="47"/>
      <c r="H140" s="70"/>
      <c r="I140" s="56"/>
      <c r="J140" s="56"/>
      <c r="L140" s="49">
        <v>31.92</v>
      </c>
      <c r="M140" s="47"/>
      <c r="N140" s="70"/>
      <c r="O140" s="56"/>
      <c r="P140" s="56"/>
    </row>
    <row r="141" spans="1:58" ht="12.75">
      <c r="A141" s="41" t="s">
        <v>54</v>
      </c>
      <c r="B141" s="41" t="s">
        <v>157</v>
      </c>
      <c r="C141" s="41" t="s">
        <v>207</v>
      </c>
      <c r="D141" s="41" t="s">
        <v>418</v>
      </c>
      <c r="E141" s="41" t="s">
        <v>630</v>
      </c>
      <c r="F141" s="44">
        <v>15.96</v>
      </c>
      <c r="G141" s="45">
        <v>490</v>
      </c>
      <c r="H141" s="69">
        <f>F141*G141</f>
        <v>7820.400000000001</v>
      </c>
      <c r="I141" s="55">
        <v>0.00782</v>
      </c>
      <c r="J141" s="55">
        <f>F141*I141</f>
        <v>0.12480720000000002</v>
      </c>
      <c r="L141" s="44">
        <v>15.96</v>
      </c>
      <c r="M141" s="45">
        <v>490</v>
      </c>
      <c r="N141" s="69">
        <f>L141*M141</f>
        <v>7820.400000000001</v>
      </c>
      <c r="O141" s="55">
        <v>0.00782</v>
      </c>
      <c r="P141" s="55">
        <f>L141*O141</f>
        <v>0.12480720000000002</v>
      </c>
      <c r="V141" s="31">
        <f>IF(AM141="5",BF141,0)</f>
        <v>0</v>
      </c>
      <c r="X141" s="31">
        <f>IF(AM141="1",BD141,0)</f>
        <v>1797.7863918697167</v>
      </c>
      <c r="Y141" s="31">
        <f>IF(AM141="1",BE141,0)</f>
        <v>6022.613608130284</v>
      </c>
      <c r="Z141" s="31">
        <f>IF(AM141="7",BD141,0)</f>
        <v>0</v>
      </c>
      <c r="AA141" s="31">
        <f>IF(AM141="7",BE141,0)</f>
        <v>0</v>
      </c>
      <c r="AB141" s="31">
        <f>IF(AM141="2",BD141,0)</f>
        <v>0</v>
      </c>
      <c r="AC141" s="31">
        <f>IF(AM141="2",BE141,0)</f>
        <v>0</v>
      </c>
      <c r="AD141" s="31">
        <f>IF(AM141="0",BF141,0)</f>
        <v>0</v>
      </c>
      <c r="AE141" s="26" t="s">
        <v>157</v>
      </c>
      <c r="AF141" s="19">
        <f>IF(AJ141=0,H141,0)</f>
        <v>0</v>
      </c>
      <c r="AG141" s="19">
        <f>IF(AJ141=15,H141,0)</f>
        <v>0</v>
      </c>
      <c r="AH141" s="19">
        <f>IF(AJ141=21,H141,0)</f>
        <v>7820.400000000001</v>
      </c>
      <c r="AJ141" s="31">
        <v>21</v>
      </c>
      <c r="AK141" s="31">
        <f>G141*0.229884199257035</f>
        <v>112.64325763594715</v>
      </c>
      <c r="AL141" s="31">
        <f>G141*(1-0.229884199257035)</f>
        <v>377.3567423640529</v>
      </c>
      <c r="AM141" s="27" t="s">
        <v>7</v>
      </c>
      <c r="AR141" s="31">
        <f>AS141+AT141</f>
        <v>7820.400000000001</v>
      </c>
      <c r="AS141" s="31">
        <f>F141*AK141</f>
        <v>1797.7863918697167</v>
      </c>
      <c r="AT141" s="31">
        <f>F141*AL141</f>
        <v>6022.613608130284</v>
      </c>
      <c r="AU141" s="32" t="s">
        <v>667</v>
      </c>
      <c r="AV141" s="32" t="s">
        <v>687</v>
      </c>
      <c r="AW141" s="26" t="s">
        <v>698</v>
      </c>
      <c r="AY141" s="31">
        <f>AS141+AT141</f>
        <v>7820.400000000001</v>
      </c>
      <c r="AZ141" s="31">
        <f>G141/(100-BA141)*100</f>
        <v>490.00000000000006</v>
      </c>
      <c r="BA141" s="31">
        <v>0</v>
      </c>
      <c r="BB141" s="31">
        <f>J141</f>
        <v>0.12480720000000002</v>
      </c>
      <c r="BD141" s="19">
        <f>F141*AK141</f>
        <v>1797.7863918697167</v>
      </c>
      <c r="BE141" s="19">
        <f>F141*AL141</f>
        <v>6022.613608130284</v>
      </c>
      <c r="BF141" s="19">
        <f>F141*G141</f>
        <v>7820.400000000001</v>
      </c>
    </row>
    <row r="142" spans="1:16" ht="12.75">
      <c r="A142" s="47"/>
      <c r="B142" s="47"/>
      <c r="C142" s="47"/>
      <c r="D142" s="48" t="s">
        <v>419</v>
      </c>
      <c r="E142" s="47"/>
      <c r="F142" s="49">
        <v>15.96</v>
      </c>
      <c r="G142" s="47"/>
      <c r="H142" s="70"/>
      <c r="I142" s="56"/>
      <c r="J142" s="56"/>
      <c r="L142" s="49">
        <v>15.96</v>
      </c>
      <c r="M142" s="47"/>
      <c r="N142" s="70"/>
      <c r="O142" s="56"/>
      <c r="P142" s="56"/>
    </row>
    <row r="143" spans="1:58" ht="12.75">
      <c r="A143" s="41" t="s">
        <v>55</v>
      </c>
      <c r="B143" s="41" t="s">
        <v>157</v>
      </c>
      <c r="C143" s="41" t="s">
        <v>208</v>
      </c>
      <c r="D143" s="41" t="s">
        <v>420</v>
      </c>
      <c r="E143" s="41" t="s">
        <v>630</v>
      </c>
      <c r="F143" s="44">
        <v>15.96</v>
      </c>
      <c r="G143" s="45">
        <v>104</v>
      </c>
      <c r="H143" s="69">
        <f>F143*G143</f>
        <v>1659.8400000000001</v>
      </c>
      <c r="I143" s="55">
        <v>0</v>
      </c>
      <c r="J143" s="55">
        <f>F143*I143</f>
        <v>0</v>
      </c>
      <c r="L143" s="44">
        <v>15.96</v>
      </c>
      <c r="M143" s="45">
        <v>104</v>
      </c>
      <c r="N143" s="69">
        <f>L143*M143</f>
        <v>1659.8400000000001</v>
      </c>
      <c r="O143" s="55">
        <v>0</v>
      </c>
      <c r="P143" s="55">
        <f>L143*O143</f>
        <v>0</v>
      </c>
      <c r="V143" s="31">
        <f>IF(AM143="5",BF143,0)</f>
        <v>0</v>
      </c>
      <c r="X143" s="31">
        <f>IF(AM143="1",BD143,0)</f>
        <v>0</v>
      </c>
      <c r="Y143" s="31">
        <f>IF(AM143="1",BE143,0)</f>
        <v>1659.8400000000001</v>
      </c>
      <c r="Z143" s="31">
        <f>IF(AM143="7",BD143,0)</f>
        <v>0</v>
      </c>
      <c r="AA143" s="31">
        <f>IF(AM143="7",BE143,0)</f>
        <v>0</v>
      </c>
      <c r="AB143" s="31">
        <f>IF(AM143="2",BD143,0)</f>
        <v>0</v>
      </c>
      <c r="AC143" s="31">
        <f>IF(AM143="2",BE143,0)</f>
        <v>0</v>
      </c>
      <c r="AD143" s="31">
        <f>IF(AM143="0",BF143,0)</f>
        <v>0</v>
      </c>
      <c r="AE143" s="26" t="s">
        <v>157</v>
      </c>
      <c r="AF143" s="19">
        <f>IF(AJ143=0,H143,0)</f>
        <v>0</v>
      </c>
      <c r="AG143" s="19">
        <f>IF(AJ143=15,H143,0)</f>
        <v>0</v>
      </c>
      <c r="AH143" s="19">
        <f>IF(AJ143=21,H143,0)</f>
        <v>1659.8400000000001</v>
      </c>
      <c r="AJ143" s="31">
        <v>21</v>
      </c>
      <c r="AK143" s="31">
        <f>G143*0</f>
        <v>0</v>
      </c>
      <c r="AL143" s="31">
        <f>G143*(1-0)</f>
        <v>104</v>
      </c>
      <c r="AM143" s="27" t="s">
        <v>7</v>
      </c>
      <c r="AR143" s="31">
        <f>AS143+AT143</f>
        <v>1659.8400000000001</v>
      </c>
      <c r="AS143" s="31">
        <f>F143*AK143</f>
        <v>0</v>
      </c>
      <c r="AT143" s="31">
        <f>F143*AL143</f>
        <v>1659.8400000000001</v>
      </c>
      <c r="AU143" s="32" t="s">
        <v>667</v>
      </c>
      <c r="AV143" s="32" t="s">
        <v>687</v>
      </c>
      <c r="AW143" s="26" t="s">
        <v>698</v>
      </c>
      <c r="AY143" s="31">
        <f>AS143+AT143</f>
        <v>1659.8400000000001</v>
      </c>
      <c r="AZ143" s="31">
        <f>G143/(100-BA143)*100</f>
        <v>104</v>
      </c>
      <c r="BA143" s="31">
        <v>0</v>
      </c>
      <c r="BB143" s="31">
        <f>J143</f>
        <v>0</v>
      </c>
      <c r="BD143" s="19">
        <f>F143*AK143</f>
        <v>0</v>
      </c>
      <c r="BE143" s="19">
        <f>F143*AL143</f>
        <v>1659.8400000000001</v>
      </c>
      <c r="BF143" s="19">
        <f>F143*G143</f>
        <v>1659.8400000000001</v>
      </c>
    </row>
    <row r="144" spans="1:16" ht="12.75">
      <c r="A144" s="47"/>
      <c r="B144" s="47"/>
      <c r="C144" s="47"/>
      <c r="D144" s="48" t="s">
        <v>419</v>
      </c>
      <c r="E144" s="47"/>
      <c r="F144" s="49">
        <v>15.96</v>
      </c>
      <c r="G144" s="47"/>
      <c r="H144" s="70"/>
      <c r="I144" s="56"/>
      <c r="J144" s="56"/>
      <c r="L144" s="49">
        <v>15.96</v>
      </c>
      <c r="M144" s="47"/>
      <c r="N144" s="70"/>
      <c r="O144" s="56"/>
      <c r="P144" s="56"/>
    </row>
    <row r="145" spans="1:58" ht="12.75">
      <c r="A145" s="41" t="s">
        <v>56</v>
      </c>
      <c r="B145" s="41" t="s">
        <v>157</v>
      </c>
      <c r="C145" s="41" t="s">
        <v>209</v>
      </c>
      <c r="D145" s="41" t="s">
        <v>421</v>
      </c>
      <c r="E145" s="41" t="s">
        <v>632</v>
      </c>
      <c r="F145" s="44">
        <v>0.678</v>
      </c>
      <c r="G145" s="45">
        <v>30000</v>
      </c>
      <c r="H145" s="69">
        <f>F145*G145</f>
        <v>20340</v>
      </c>
      <c r="I145" s="55">
        <v>1.01665</v>
      </c>
      <c r="J145" s="55">
        <f>F145*I145</f>
        <v>0.6892887000000001</v>
      </c>
      <c r="L145" s="44">
        <v>0.678</v>
      </c>
      <c r="M145" s="45">
        <v>30000</v>
      </c>
      <c r="N145" s="69">
        <f>L145*M145</f>
        <v>20340</v>
      </c>
      <c r="O145" s="55">
        <v>1.01665</v>
      </c>
      <c r="P145" s="55">
        <f>L145*O145</f>
        <v>0.6892887000000001</v>
      </c>
      <c r="V145" s="31">
        <f>IF(AM145="5",BF145,0)</f>
        <v>0</v>
      </c>
      <c r="X145" s="31">
        <f>IF(AM145="1",BD145,0)</f>
        <v>13014.804705882363</v>
      </c>
      <c r="Y145" s="31">
        <f>IF(AM145="1",BE145,0)</f>
        <v>7325.195294117638</v>
      </c>
      <c r="Z145" s="31">
        <f>IF(AM145="7",BD145,0)</f>
        <v>0</v>
      </c>
      <c r="AA145" s="31">
        <f>IF(AM145="7",BE145,0)</f>
        <v>0</v>
      </c>
      <c r="AB145" s="31">
        <f>IF(AM145="2",BD145,0)</f>
        <v>0</v>
      </c>
      <c r="AC145" s="31">
        <f>IF(AM145="2",BE145,0)</f>
        <v>0</v>
      </c>
      <c r="AD145" s="31">
        <f>IF(AM145="0",BF145,0)</f>
        <v>0</v>
      </c>
      <c r="AE145" s="26" t="s">
        <v>157</v>
      </c>
      <c r="AF145" s="19">
        <f>IF(AJ145=0,H145,0)</f>
        <v>0</v>
      </c>
      <c r="AG145" s="19">
        <f>IF(AJ145=15,H145,0)</f>
        <v>0</v>
      </c>
      <c r="AH145" s="19">
        <f>IF(AJ145=21,H145,0)</f>
        <v>20340</v>
      </c>
      <c r="AJ145" s="31">
        <v>21</v>
      </c>
      <c r="AK145" s="31">
        <f>G145*0.639862571577304</f>
        <v>19195.87714731912</v>
      </c>
      <c r="AL145" s="31">
        <f>G145*(1-0.639862571577304)</f>
        <v>10804.12285268088</v>
      </c>
      <c r="AM145" s="27" t="s">
        <v>7</v>
      </c>
      <c r="AR145" s="31">
        <f>AS145+AT145</f>
        <v>20340</v>
      </c>
      <c r="AS145" s="31">
        <f>F145*AK145</f>
        <v>13014.804705882363</v>
      </c>
      <c r="AT145" s="31">
        <f>F145*AL145</f>
        <v>7325.195294117638</v>
      </c>
      <c r="AU145" s="32" t="s">
        <v>667</v>
      </c>
      <c r="AV145" s="32" t="s">
        <v>687</v>
      </c>
      <c r="AW145" s="26" t="s">
        <v>698</v>
      </c>
      <c r="AY145" s="31">
        <f>AS145+AT145</f>
        <v>20340</v>
      </c>
      <c r="AZ145" s="31">
        <f>G145/(100-BA145)*100</f>
        <v>30000</v>
      </c>
      <c r="BA145" s="31">
        <v>0</v>
      </c>
      <c r="BB145" s="31">
        <f>J145</f>
        <v>0.6892887000000001</v>
      </c>
      <c r="BD145" s="19">
        <f>F145*AK145</f>
        <v>13014.804705882363</v>
      </c>
      <c r="BE145" s="19">
        <f>F145*AL145</f>
        <v>7325.195294117638</v>
      </c>
      <c r="BF145" s="19">
        <f>F145*G145</f>
        <v>20340</v>
      </c>
    </row>
    <row r="146" spans="1:16" ht="12.75">
      <c r="A146" s="47"/>
      <c r="B146" s="47"/>
      <c r="C146" s="47"/>
      <c r="D146" s="48" t="s">
        <v>422</v>
      </c>
      <c r="E146" s="47"/>
      <c r="F146" s="49">
        <v>0.678</v>
      </c>
      <c r="G146" s="47"/>
      <c r="H146" s="70"/>
      <c r="I146" s="56"/>
      <c r="J146" s="56"/>
      <c r="L146" s="49">
        <v>0.678</v>
      </c>
      <c r="M146" s="47"/>
      <c r="N146" s="70"/>
      <c r="O146" s="56"/>
      <c r="P146" s="56"/>
    </row>
    <row r="147" spans="1:58" ht="12.75">
      <c r="A147" s="41" t="s">
        <v>57</v>
      </c>
      <c r="B147" s="41" t="s">
        <v>157</v>
      </c>
      <c r="C147" s="41" t="s">
        <v>210</v>
      </c>
      <c r="D147" s="41" t="s">
        <v>423</v>
      </c>
      <c r="E147" s="41" t="s">
        <v>631</v>
      </c>
      <c r="F147" s="44">
        <v>17.712</v>
      </c>
      <c r="G147" s="45">
        <v>492</v>
      </c>
      <c r="H147" s="69">
        <f>F147*G147</f>
        <v>8714.304</v>
      </c>
      <c r="I147" s="55">
        <v>0.00048</v>
      </c>
      <c r="J147" s="55">
        <f>F147*I147</f>
        <v>0.00850176</v>
      </c>
      <c r="L147" s="44">
        <v>17.712</v>
      </c>
      <c r="M147" s="45">
        <v>492</v>
      </c>
      <c r="N147" s="69">
        <f>L147*M147</f>
        <v>8714.304</v>
      </c>
      <c r="O147" s="55">
        <v>0.00048</v>
      </c>
      <c r="P147" s="55">
        <f>L147*O147</f>
        <v>0.00850176</v>
      </c>
      <c r="V147" s="31">
        <f>IF(AM147="5",BF147,0)</f>
        <v>0</v>
      </c>
      <c r="X147" s="31">
        <f>IF(AM147="1",BD147,0)</f>
        <v>1060.164137429356</v>
      </c>
      <c r="Y147" s="31">
        <f>IF(AM147="1",BE147,0)</f>
        <v>7654.139862570644</v>
      </c>
      <c r="Z147" s="31">
        <f>IF(AM147="7",BD147,0)</f>
        <v>0</v>
      </c>
      <c r="AA147" s="31">
        <f>IF(AM147="7",BE147,0)</f>
        <v>0</v>
      </c>
      <c r="AB147" s="31">
        <f>IF(AM147="2",BD147,0)</f>
        <v>0</v>
      </c>
      <c r="AC147" s="31">
        <f>IF(AM147="2",BE147,0)</f>
        <v>0</v>
      </c>
      <c r="AD147" s="31">
        <f>IF(AM147="0",BF147,0)</f>
        <v>0</v>
      </c>
      <c r="AE147" s="26" t="s">
        <v>157</v>
      </c>
      <c r="AF147" s="19">
        <f>IF(AJ147=0,H147,0)</f>
        <v>0</v>
      </c>
      <c r="AG147" s="19">
        <f>IF(AJ147=15,H147,0)</f>
        <v>0</v>
      </c>
      <c r="AH147" s="19">
        <f>IF(AJ147=21,H147,0)</f>
        <v>8714.304</v>
      </c>
      <c r="AJ147" s="31">
        <v>21</v>
      </c>
      <c r="AK147" s="31">
        <f>G147*0.121657924422806</f>
        <v>59.85569881602055</v>
      </c>
      <c r="AL147" s="31">
        <f>G147*(1-0.121657924422806)</f>
        <v>432.14430118397945</v>
      </c>
      <c r="AM147" s="27" t="s">
        <v>7</v>
      </c>
      <c r="AR147" s="31">
        <f>AS147+AT147</f>
        <v>8714.304</v>
      </c>
      <c r="AS147" s="31">
        <f>F147*AK147</f>
        <v>1060.164137429356</v>
      </c>
      <c r="AT147" s="31">
        <f>F147*AL147</f>
        <v>7654.139862570644</v>
      </c>
      <c r="AU147" s="32" t="s">
        <v>667</v>
      </c>
      <c r="AV147" s="32" t="s">
        <v>687</v>
      </c>
      <c r="AW147" s="26" t="s">
        <v>698</v>
      </c>
      <c r="AY147" s="31">
        <f>AS147+AT147</f>
        <v>8714.304</v>
      </c>
      <c r="AZ147" s="31">
        <f>G147/(100-BA147)*100</f>
        <v>492</v>
      </c>
      <c r="BA147" s="31">
        <v>0</v>
      </c>
      <c r="BB147" s="31">
        <f>J147</f>
        <v>0.00850176</v>
      </c>
      <c r="BD147" s="19">
        <f>F147*AK147</f>
        <v>1060.164137429356</v>
      </c>
      <c r="BE147" s="19">
        <f>F147*AL147</f>
        <v>7654.139862570644</v>
      </c>
      <c r="BF147" s="19">
        <f>F147*G147</f>
        <v>8714.304</v>
      </c>
    </row>
    <row r="148" spans="1:16" ht="12.75">
      <c r="A148" s="42"/>
      <c r="B148" s="42"/>
      <c r="C148" s="42"/>
      <c r="D148" s="43" t="s">
        <v>424</v>
      </c>
      <c r="E148" s="42"/>
      <c r="F148" s="46">
        <v>17.712</v>
      </c>
      <c r="G148" s="42"/>
      <c r="H148" s="42"/>
      <c r="I148" s="57"/>
      <c r="J148" s="57"/>
      <c r="L148" s="46">
        <v>17.712</v>
      </c>
      <c r="M148" s="42"/>
      <c r="N148" s="42"/>
      <c r="O148" s="57"/>
      <c r="P148" s="57"/>
    </row>
    <row r="149" spans="1:43" ht="12.75">
      <c r="A149" s="4"/>
      <c r="B149" s="13" t="s">
        <v>157</v>
      </c>
      <c r="C149" s="13" t="s">
        <v>67</v>
      </c>
      <c r="D149" s="13" t="s">
        <v>425</v>
      </c>
      <c r="E149" s="4" t="s">
        <v>6</v>
      </c>
      <c r="F149" s="4" t="s">
        <v>6</v>
      </c>
      <c r="G149" s="4"/>
      <c r="H149" s="34">
        <f>SUM(H150:H162)</f>
        <v>82214.109</v>
      </c>
      <c r="I149" s="54"/>
      <c r="J149" s="54">
        <f>SUM(J150:J162)</f>
        <v>5.04873292</v>
      </c>
      <c r="L149" s="4" t="s">
        <v>6</v>
      </c>
      <c r="M149" s="4"/>
      <c r="N149" s="34">
        <f>SUM(N150:N162)</f>
        <v>0</v>
      </c>
      <c r="O149" s="54"/>
      <c r="P149" s="54">
        <f>SUM(P150:P162)</f>
        <v>0</v>
      </c>
      <c r="AE149" s="26" t="s">
        <v>157</v>
      </c>
      <c r="AO149" s="34">
        <f>SUM(AF150:AF162)</f>
        <v>0</v>
      </c>
      <c r="AP149" s="34">
        <f>SUM(AG150:AG162)</f>
        <v>0</v>
      </c>
      <c r="AQ149" s="34">
        <f>SUM(AH150:AH162)</f>
        <v>82214.109</v>
      </c>
    </row>
    <row r="150" spans="1:58" ht="12.75">
      <c r="A150" s="41" t="s">
        <v>58</v>
      </c>
      <c r="B150" s="41" t="s">
        <v>157</v>
      </c>
      <c r="C150" s="41" t="s">
        <v>211</v>
      </c>
      <c r="D150" s="41" t="s">
        <v>426</v>
      </c>
      <c r="E150" s="41" t="s">
        <v>630</v>
      </c>
      <c r="F150" s="44">
        <v>224.19</v>
      </c>
      <c r="G150" s="45">
        <v>56.5</v>
      </c>
      <c r="H150" s="69">
        <f>F150*G150</f>
        <v>12666.735</v>
      </c>
      <c r="I150" s="55">
        <v>0.00032</v>
      </c>
      <c r="J150" s="55">
        <f>F150*I150</f>
        <v>0.07174080000000001</v>
      </c>
      <c r="L150" s="101">
        <v>0</v>
      </c>
      <c r="M150" s="45">
        <v>56.5</v>
      </c>
      <c r="N150" s="69">
        <f>L150*M150</f>
        <v>0</v>
      </c>
      <c r="O150" s="55">
        <v>0.00032</v>
      </c>
      <c r="P150" s="55">
        <f>L150*O150</f>
        <v>0</v>
      </c>
      <c r="V150" s="31">
        <f>IF(AM150="5",BF150,0)</f>
        <v>0</v>
      </c>
      <c r="X150" s="31">
        <f>IF(AM150="1",BD150,0)</f>
        <v>6930.75198535523</v>
      </c>
      <c r="Y150" s="31">
        <f>IF(AM150="1",BE150,0)</f>
        <v>5735.983014644769</v>
      </c>
      <c r="Z150" s="31">
        <f>IF(AM150="7",BD150,0)</f>
        <v>0</v>
      </c>
      <c r="AA150" s="31">
        <f>IF(AM150="7",BE150,0)</f>
        <v>0</v>
      </c>
      <c r="AB150" s="31">
        <f>IF(AM150="2",BD150,0)</f>
        <v>0</v>
      </c>
      <c r="AC150" s="31">
        <f>IF(AM150="2",BE150,0)</f>
        <v>0</v>
      </c>
      <c r="AD150" s="31">
        <f>IF(AM150="0",BF150,0)</f>
        <v>0</v>
      </c>
      <c r="AE150" s="26" t="s">
        <v>157</v>
      </c>
      <c r="AF150" s="19">
        <f>IF(AJ150=0,H150,0)</f>
        <v>0</v>
      </c>
      <c r="AG150" s="19">
        <f>IF(AJ150=15,H150,0)</f>
        <v>0</v>
      </c>
      <c r="AH150" s="19">
        <f>IF(AJ150=21,H150,0)</f>
        <v>12666.735</v>
      </c>
      <c r="AJ150" s="31">
        <v>21</v>
      </c>
      <c r="AK150" s="31">
        <f>G150*0.547161678629515</f>
        <v>30.9146348425676</v>
      </c>
      <c r="AL150" s="31">
        <f>G150*(1-0.547161678629515)</f>
        <v>25.5853651574324</v>
      </c>
      <c r="AM150" s="27" t="s">
        <v>7</v>
      </c>
      <c r="AR150" s="31">
        <f>AS150+AT150</f>
        <v>12666.735</v>
      </c>
      <c r="AS150" s="31">
        <f>F150*AK150</f>
        <v>6930.75198535523</v>
      </c>
      <c r="AT150" s="31">
        <f>F150*AL150</f>
        <v>5735.983014644769</v>
      </c>
      <c r="AU150" s="32" t="s">
        <v>668</v>
      </c>
      <c r="AV150" s="32" t="s">
        <v>688</v>
      </c>
      <c r="AW150" s="26" t="s">
        <v>698</v>
      </c>
      <c r="AY150" s="31">
        <f>AS150+AT150</f>
        <v>12666.735</v>
      </c>
      <c r="AZ150" s="31">
        <f>G150/(100-BA150)*100</f>
        <v>56.49999999999999</v>
      </c>
      <c r="BA150" s="31">
        <v>0</v>
      </c>
      <c r="BB150" s="31">
        <f>J150</f>
        <v>0.07174080000000001</v>
      </c>
      <c r="BD150" s="19">
        <f>F150*AK150</f>
        <v>6930.75198535523</v>
      </c>
      <c r="BE150" s="19">
        <f>F150*AL150</f>
        <v>5735.983014644769</v>
      </c>
      <c r="BF150" s="19">
        <f>F150*G150</f>
        <v>12666.735</v>
      </c>
    </row>
    <row r="151" spans="1:16" ht="12.75">
      <c r="A151" s="47"/>
      <c r="B151" s="47"/>
      <c r="C151" s="47"/>
      <c r="D151" s="48" t="s">
        <v>427</v>
      </c>
      <c r="E151" s="47"/>
      <c r="F151" s="49">
        <v>123.84</v>
      </c>
      <c r="G151" s="47"/>
      <c r="H151" s="70"/>
      <c r="I151" s="56"/>
      <c r="J151" s="56"/>
      <c r="L151" s="104"/>
      <c r="M151" s="47"/>
      <c r="N151" s="70"/>
      <c r="O151" s="56"/>
      <c r="P151" s="56"/>
    </row>
    <row r="152" spans="1:16" ht="12.75">
      <c r="A152" s="47"/>
      <c r="B152" s="47"/>
      <c r="C152" s="47"/>
      <c r="D152" s="48" t="s">
        <v>428</v>
      </c>
      <c r="E152" s="47"/>
      <c r="F152" s="49">
        <v>96.39</v>
      </c>
      <c r="G152" s="47"/>
      <c r="H152" s="70"/>
      <c r="I152" s="56"/>
      <c r="J152" s="56"/>
      <c r="L152" s="104"/>
      <c r="M152" s="47"/>
      <c r="N152" s="70"/>
      <c r="O152" s="56"/>
      <c r="P152" s="56"/>
    </row>
    <row r="153" spans="1:16" ht="12.75">
      <c r="A153" s="47"/>
      <c r="B153" s="47"/>
      <c r="C153" s="47"/>
      <c r="D153" s="48" t="s">
        <v>429</v>
      </c>
      <c r="E153" s="47"/>
      <c r="F153" s="49">
        <v>3.96</v>
      </c>
      <c r="G153" s="47"/>
      <c r="H153" s="70"/>
      <c r="I153" s="56"/>
      <c r="J153" s="56"/>
      <c r="L153" s="104"/>
      <c r="M153" s="47"/>
      <c r="N153" s="70"/>
      <c r="O153" s="56"/>
      <c r="P153" s="56"/>
    </row>
    <row r="154" spans="1:58" ht="12.75">
      <c r="A154" s="41" t="s">
        <v>59</v>
      </c>
      <c r="B154" s="41" t="s">
        <v>157</v>
      </c>
      <c r="C154" s="41" t="s">
        <v>212</v>
      </c>
      <c r="D154" s="41" t="s">
        <v>430</v>
      </c>
      <c r="E154" s="41" t="s">
        <v>630</v>
      </c>
      <c r="F154" s="44">
        <v>14.688</v>
      </c>
      <c r="G154" s="45">
        <v>33</v>
      </c>
      <c r="H154" s="69">
        <f>F154*G154</f>
        <v>484.704</v>
      </c>
      <c r="I154" s="55">
        <v>4E-05</v>
      </c>
      <c r="J154" s="55">
        <f>F154*I154</f>
        <v>0.0005875200000000001</v>
      </c>
      <c r="L154" s="101">
        <v>0</v>
      </c>
      <c r="M154" s="45">
        <v>33</v>
      </c>
      <c r="N154" s="69">
        <f>L154*M154</f>
        <v>0</v>
      </c>
      <c r="O154" s="55">
        <v>4E-05</v>
      </c>
      <c r="P154" s="55">
        <f>L154*O154</f>
        <v>0</v>
      </c>
      <c r="V154" s="31">
        <f>IF(AM154="5",BF154,0)</f>
        <v>0</v>
      </c>
      <c r="X154" s="31">
        <f>IF(AM154="1",BD154,0)</f>
        <v>142.2229524609346</v>
      </c>
      <c r="Y154" s="31">
        <f>IF(AM154="1",BE154,0)</f>
        <v>342.48104753906546</v>
      </c>
      <c r="Z154" s="31">
        <f>IF(AM154="7",BD154,0)</f>
        <v>0</v>
      </c>
      <c r="AA154" s="31">
        <f>IF(AM154="7",BE154,0)</f>
        <v>0</v>
      </c>
      <c r="AB154" s="31">
        <f>IF(AM154="2",BD154,0)</f>
        <v>0</v>
      </c>
      <c r="AC154" s="31">
        <f>IF(AM154="2",BE154,0)</f>
        <v>0</v>
      </c>
      <c r="AD154" s="31">
        <f>IF(AM154="0",BF154,0)</f>
        <v>0</v>
      </c>
      <c r="AE154" s="26" t="s">
        <v>157</v>
      </c>
      <c r="AF154" s="19">
        <f>IF(AJ154=0,H154,0)</f>
        <v>0</v>
      </c>
      <c r="AG154" s="19">
        <f>IF(AJ154=15,H154,0)</f>
        <v>0</v>
      </c>
      <c r="AH154" s="19">
        <f>IF(AJ154=21,H154,0)</f>
        <v>484.704</v>
      </c>
      <c r="AJ154" s="31">
        <v>21</v>
      </c>
      <c r="AK154" s="31">
        <f>G154*0.293422279289906</f>
        <v>9.682935216566898</v>
      </c>
      <c r="AL154" s="31">
        <f>G154*(1-0.293422279289906)</f>
        <v>23.317064783433104</v>
      </c>
      <c r="AM154" s="27" t="s">
        <v>7</v>
      </c>
      <c r="AR154" s="31">
        <f>AS154+AT154</f>
        <v>484.70400000000006</v>
      </c>
      <c r="AS154" s="31">
        <f>F154*AK154</f>
        <v>142.2229524609346</v>
      </c>
      <c r="AT154" s="31">
        <f>F154*AL154</f>
        <v>342.48104753906546</v>
      </c>
      <c r="AU154" s="32" t="s">
        <v>668</v>
      </c>
      <c r="AV154" s="32" t="s">
        <v>688</v>
      </c>
      <c r="AW154" s="26" t="s">
        <v>698</v>
      </c>
      <c r="AY154" s="31">
        <f>AS154+AT154</f>
        <v>484.70400000000006</v>
      </c>
      <c r="AZ154" s="31">
        <f>G154/(100-BA154)*100</f>
        <v>33</v>
      </c>
      <c r="BA154" s="31">
        <v>0</v>
      </c>
      <c r="BB154" s="31">
        <f>J154</f>
        <v>0.0005875200000000001</v>
      </c>
      <c r="BD154" s="19">
        <f>F154*AK154</f>
        <v>142.2229524609346</v>
      </c>
      <c r="BE154" s="19">
        <f>F154*AL154</f>
        <v>342.48104753906546</v>
      </c>
      <c r="BF154" s="19">
        <f>F154*G154</f>
        <v>484.704</v>
      </c>
    </row>
    <row r="155" spans="1:16" ht="12.75">
      <c r="A155" s="47"/>
      <c r="B155" s="47"/>
      <c r="C155" s="47"/>
      <c r="D155" s="48" t="s">
        <v>431</v>
      </c>
      <c r="E155" s="47"/>
      <c r="F155" s="49">
        <v>14.688</v>
      </c>
      <c r="G155" s="47"/>
      <c r="H155" s="70"/>
      <c r="I155" s="56"/>
      <c r="J155" s="56"/>
      <c r="L155" s="104"/>
      <c r="M155" s="47"/>
      <c r="N155" s="70"/>
      <c r="O155" s="56"/>
      <c r="P155" s="56"/>
    </row>
    <row r="156" spans="1:58" ht="12.75">
      <c r="A156" s="41" t="s">
        <v>60</v>
      </c>
      <c r="B156" s="41" t="s">
        <v>157</v>
      </c>
      <c r="C156" s="41" t="s">
        <v>213</v>
      </c>
      <c r="D156" s="41" t="s">
        <v>432</v>
      </c>
      <c r="E156" s="41" t="s">
        <v>630</v>
      </c>
      <c r="F156" s="44">
        <v>3.85</v>
      </c>
      <c r="G156" s="45">
        <v>234</v>
      </c>
      <c r="H156" s="69">
        <f>F156*G156</f>
        <v>900.9</v>
      </c>
      <c r="I156" s="55">
        <v>0.00367</v>
      </c>
      <c r="J156" s="55">
        <f>F156*I156</f>
        <v>0.014129500000000001</v>
      </c>
      <c r="L156" s="101">
        <v>0</v>
      </c>
      <c r="M156" s="45">
        <v>234</v>
      </c>
      <c r="N156" s="69">
        <f>L156*M156</f>
        <v>0</v>
      </c>
      <c r="O156" s="55">
        <v>0.00367</v>
      </c>
      <c r="P156" s="55">
        <f>L156*O156</f>
        <v>0</v>
      </c>
      <c r="V156" s="31">
        <f>IF(AM156="5",BF156,0)</f>
        <v>0</v>
      </c>
      <c r="X156" s="31">
        <f>IF(AM156="1",BD156,0)</f>
        <v>233.66373280255513</v>
      </c>
      <c r="Y156" s="31">
        <f>IF(AM156="1",BE156,0)</f>
        <v>667.2362671974448</v>
      </c>
      <c r="Z156" s="31">
        <f>IF(AM156="7",BD156,0)</f>
        <v>0</v>
      </c>
      <c r="AA156" s="31">
        <f>IF(AM156="7",BE156,0)</f>
        <v>0</v>
      </c>
      <c r="AB156" s="31">
        <f>IF(AM156="2",BD156,0)</f>
        <v>0</v>
      </c>
      <c r="AC156" s="31">
        <f>IF(AM156="2",BE156,0)</f>
        <v>0</v>
      </c>
      <c r="AD156" s="31">
        <f>IF(AM156="0",BF156,0)</f>
        <v>0</v>
      </c>
      <c r="AE156" s="26" t="s">
        <v>157</v>
      </c>
      <c r="AF156" s="19">
        <f>IF(AJ156=0,H156,0)</f>
        <v>0</v>
      </c>
      <c r="AG156" s="19">
        <f>IF(AJ156=15,H156,0)</f>
        <v>0</v>
      </c>
      <c r="AH156" s="19">
        <f>IF(AJ156=21,H156,0)</f>
        <v>900.9</v>
      </c>
      <c r="AJ156" s="31">
        <v>21</v>
      </c>
      <c r="AK156" s="31">
        <f>G156*0.259367002777839</f>
        <v>60.69187865001432</v>
      </c>
      <c r="AL156" s="31">
        <f>G156*(1-0.259367002777839)</f>
        <v>173.30812134998567</v>
      </c>
      <c r="AM156" s="27" t="s">
        <v>7</v>
      </c>
      <c r="AR156" s="31">
        <f>AS156+AT156</f>
        <v>900.9</v>
      </c>
      <c r="AS156" s="31">
        <f>F156*AK156</f>
        <v>233.66373280255513</v>
      </c>
      <c r="AT156" s="31">
        <f>F156*AL156</f>
        <v>667.2362671974448</v>
      </c>
      <c r="AU156" s="32" t="s">
        <v>668</v>
      </c>
      <c r="AV156" s="32" t="s">
        <v>688</v>
      </c>
      <c r="AW156" s="26" t="s">
        <v>698</v>
      </c>
      <c r="AY156" s="31">
        <f>AS156+AT156</f>
        <v>900.9</v>
      </c>
      <c r="AZ156" s="31">
        <f>G156/(100-BA156)*100</f>
        <v>234</v>
      </c>
      <c r="BA156" s="31">
        <v>0</v>
      </c>
      <c r="BB156" s="31">
        <f>J156</f>
        <v>0.014129500000000001</v>
      </c>
      <c r="BD156" s="19">
        <f>F156*AK156</f>
        <v>233.66373280255513</v>
      </c>
      <c r="BE156" s="19">
        <f>F156*AL156</f>
        <v>667.2362671974448</v>
      </c>
      <c r="BF156" s="19">
        <f>F156*G156</f>
        <v>900.9</v>
      </c>
    </row>
    <row r="157" spans="1:16" ht="12.75">
      <c r="A157" s="47"/>
      <c r="B157" s="47"/>
      <c r="C157" s="47"/>
      <c r="D157" s="48" t="s">
        <v>433</v>
      </c>
      <c r="E157" s="47"/>
      <c r="F157" s="49">
        <v>3.85</v>
      </c>
      <c r="G157" s="47"/>
      <c r="H157" s="70"/>
      <c r="I157" s="56"/>
      <c r="J157" s="56"/>
      <c r="L157" s="104"/>
      <c r="M157" s="47"/>
      <c r="N157" s="70"/>
      <c r="O157" s="56"/>
      <c r="P157" s="56"/>
    </row>
    <row r="158" spans="1:58" ht="12.75">
      <c r="A158" s="41" t="s">
        <v>61</v>
      </c>
      <c r="B158" s="41" t="s">
        <v>157</v>
      </c>
      <c r="C158" s="41" t="s">
        <v>214</v>
      </c>
      <c r="D158" s="41" t="s">
        <v>434</v>
      </c>
      <c r="E158" s="41" t="s">
        <v>630</v>
      </c>
      <c r="F158" s="44">
        <v>123.84</v>
      </c>
      <c r="G158" s="45">
        <v>278</v>
      </c>
      <c r="H158" s="69">
        <f>F158*G158</f>
        <v>34427.520000000004</v>
      </c>
      <c r="I158" s="55">
        <v>0.021</v>
      </c>
      <c r="J158" s="55">
        <f>F158*I158</f>
        <v>2.6006400000000003</v>
      </c>
      <c r="L158" s="101">
        <v>0</v>
      </c>
      <c r="M158" s="45">
        <v>278</v>
      </c>
      <c r="N158" s="69">
        <f>L158*M158</f>
        <v>0</v>
      </c>
      <c r="O158" s="55">
        <v>0.021</v>
      </c>
      <c r="P158" s="55">
        <f>L158*O158</f>
        <v>0</v>
      </c>
      <c r="V158" s="31">
        <f>IF(AM158="5",BF158,0)</f>
        <v>0</v>
      </c>
      <c r="X158" s="31">
        <f>IF(AM158="1",BD158,0)</f>
        <v>12386.14159398498</v>
      </c>
      <c r="Y158" s="31">
        <f>IF(AM158="1",BE158,0)</f>
        <v>22041.378406015025</v>
      </c>
      <c r="Z158" s="31">
        <f>IF(AM158="7",BD158,0)</f>
        <v>0</v>
      </c>
      <c r="AA158" s="31">
        <f>IF(AM158="7",BE158,0)</f>
        <v>0</v>
      </c>
      <c r="AB158" s="31">
        <f>IF(AM158="2",BD158,0)</f>
        <v>0</v>
      </c>
      <c r="AC158" s="31">
        <f>IF(AM158="2",BE158,0)</f>
        <v>0</v>
      </c>
      <c r="AD158" s="31">
        <f>IF(AM158="0",BF158,0)</f>
        <v>0</v>
      </c>
      <c r="AE158" s="26" t="s">
        <v>157</v>
      </c>
      <c r="AF158" s="19">
        <f>IF(AJ158=0,H158,0)</f>
        <v>0</v>
      </c>
      <c r="AG158" s="19">
        <f>IF(AJ158=15,H158,0)</f>
        <v>0</v>
      </c>
      <c r="AH158" s="19">
        <f>IF(AJ158=21,H158,0)</f>
        <v>34427.520000000004</v>
      </c>
      <c r="AJ158" s="31">
        <v>21</v>
      </c>
      <c r="AK158" s="31">
        <f>G158*0.359774436090226</f>
        <v>100.01729323308284</v>
      </c>
      <c r="AL158" s="31">
        <f>G158*(1-0.359774436090226)</f>
        <v>177.98270676691718</v>
      </c>
      <c r="AM158" s="27" t="s">
        <v>7</v>
      </c>
      <c r="AR158" s="31">
        <f>AS158+AT158</f>
        <v>34427.520000000004</v>
      </c>
      <c r="AS158" s="31">
        <f>F158*AK158</f>
        <v>12386.14159398498</v>
      </c>
      <c r="AT158" s="31">
        <f>F158*AL158</f>
        <v>22041.378406015025</v>
      </c>
      <c r="AU158" s="32" t="s">
        <v>668</v>
      </c>
      <c r="AV158" s="32" t="s">
        <v>688</v>
      </c>
      <c r="AW158" s="26" t="s">
        <v>698</v>
      </c>
      <c r="AY158" s="31">
        <f>AS158+AT158</f>
        <v>34427.520000000004</v>
      </c>
      <c r="AZ158" s="31">
        <f>G158/(100-BA158)*100</f>
        <v>278</v>
      </c>
      <c r="BA158" s="31">
        <v>0</v>
      </c>
      <c r="BB158" s="31">
        <f>J158</f>
        <v>2.6006400000000003</v>
      </c>
      <c r="BD158" s="19">
        <f>F158*AK158</f>
        <v>12386.14159398498</v>
      </c>
      <c r="BE158" s="19">
        <f>F158*AL158</f>
        <v>22041.378406015025</v>
      </c>
      <c r="BF158" s="19">
        <f>F158*G158</f>
        <v>34427.520000000004</v>
      </c>
    </row>
    <row r="159" spans="1:16" ht="12.75">
      <c r="A159" s="47"/>
      <c r="B159" s="47"/>
      <c r="C159" s="47"/>
      <c r="D159" s="48" t="s">
        <v>435</v>
      </c>
      <c r="E159" s="47"/>
      <c r="F159" s="49">
        <v>123.84</v>
      </c>
      <c r="G159" s="47"/>
      <c r="H159" s="70"/>
      <c r="I159" s="56"/>
      <c r="J159" s="56"/>
      <c r="L159" s="104"/>
      <c r="M159" s="47"/>
      <c r="N159" s="70"/>
      <c r="O159" s="56"/>
      <c r="P159" s="56"/>
    </row>
    <row r="160" spans="1:58" ht="12.75">
      <c r="A160" s="41" t="s">
        <v>62</v>
      </c>
      <c r="B160" s="41" t="s">
        <v>157</v>
      </c>
      <c r="C160" s="41" t="s">
        <v>215</v>
      </c>
      <c r="D160" s="41" t="s">
        <v>436</v>
      </c>
      <c r="E160" s="41" t="s">
        <v>630</v>
      </c>
      <c r="F160" s="44">
        <v>96.39</v>
      </c>
      <c r="G160" s="45">
        <v>319</v>
      </c>
      <c r="H160" s="69">
        <f>F160*G160</f>
        <v>30748.41</v>
      </c>
      <c r="I160" s="55">
        <v>0.02233</v>
      </c>
      <c r="J160" s="55">
        <f>F160*I160</f>
        <v>2.1523887</v>
      </c>
      <c r="L160" s="101">
        <v>0</v>
      </c>
      <c r="M160" s="45">
        <v>319</v>
      </c>
      <c r="N160" s="69">
        <f>L160*M160</f>
        <v>0</v>
      </c>
      <c r="O160" s="55">
        <v>0.02233</v>
      </c>
      <c r="P160" s="55">
        <f>L160*O160</f>
        <v>0</v>
      </c>
      <c r="V160" s="31">
        <f>IF(AM160="5",BF160,0)</f>
        <v>0</v>
      </c>
      <c r="X160" s="31">
        <f>IF(AM160="1",BD160,0)</f>
        <v>11670.875741188338</v>
      </c>
      <c r="Y160" s="31">
        <f>IF(AM160="1",BE160,0)</f>
        <v>19077.534258811662</v>
      </c>
      <c r="Z160" s="31">
        <f>IF(AM160="7",BD160,0)</f>
        <v>0</v>
      </c>
      <c r="AA160" s="31">
        <f>IF(AM160="7",BE160,0)</f>
        <v>0</v>
      </c>
      <c r="AB160" s="31">
        <f>IF(AM160="2",BD160,0)</f>
        <v>0</v>
      </c>
      <c r="AC160" s="31">
        <f>IF(AM160="2",BE160,0)</f>
        <v>0</v>
      </c>
      <c r="AD160" s="31">
        <f>IF(AM160="0",BF160,0)</f>
        <v>0</v>
      </c>
      <c r="AE160" s="26" t="s">
        <v>157</v>
      </c>
      <c r="AF160" s="19">
        <f>IF(AJ160=0,H160,0)</f>
        <v>0</v>
      </c>
      <c r="AG160" s="19">
        <f>IF(AJ160=15,H160,0)</f>
        <v>0</v>
      </c>
      <c r="AH160" s="19">
        <f>IF(AJ160=21,H160,0)</f>
        <v>30748.41</v>
      </c>
      <c r="AJ160" s="31">
        <v>21</v>
      </c>
      <c r="AK160" s="31">
        <f>G160*0.379560300554999</f>
        <v>121.07973587704468</v>
      </c>
      <c r="AL160" s="31">
        <f>G160*(1-0.379560300554999)</f>
        <v>197.9202641229553</v>
      </c>
      <c r="AM160" s="27" t="s">
        <v>7</v>
      </c>
      <c r="AR160" s="31">
        <f>AS160+AT160</f>
        <v>30748.41</v>
      </c>
      <c r="AS160" s="31">
        <f>F160*AK160</f>
        <v>11670.875741188338</v>
      </c>
      <c r="AT160" s="31">
        <f>F160*AL160</f>
        <v>19077.534258811662</v>
      </c>
      <c r="AU160" s="32" t="s">
        <v>668</v>
      </c>
      <c r="AV160" s="32" t="s">
        <v>688</v>
      </c>
      <c r="AW160" s="26" t="s">
        <v>698</v>
      </c>
      <c r="AY160" s="31">
        <f>AS160+AT160</f>
        <v>30748.41</v>
      </c>
      <c r="AZ160" s="31">
        <f>G160/(100-BA160)*100</f>
        <v>319</v>
      </c>
      <c r="BA160" s="31">
        <v>0</v>
      </c>
      <c r="BB160" s="31">
        <f>J160</f>
        <v>2.1523887</v>
      </c>
      <c r="BD160" s="19">
        <f>F160*AK160</f>
        <v>11670.875741188338</v>
      </c>
      <c r="BE160" s="19">
        <f>F160*AL160</f>
        <v>19077.534258811662</v>
      </c>
      <c r="BF160" s="19">
        <f>F160*G160</f>
        <v>30748.41</v>
      </c>
    </row>
    <row r="161" spans="1:16" ht="12.75">
      <c r="A161" s="47"/>
      <c r="B161" s="47"/>
      <c r="C161" s="47"/>
      <c r="D161" s="48" t="s">
        <v>437</v>
      </c>
      <c r="E161" s="47"/>
      <c r="F161" s="49">
        <v>96.39</v>
      </c>
      <c r="G161" s="47"/>
      <c r="H161" s="70"/>
      <c r="I161" s="56"/>
      <c r="J161" s="56"/>
      <c r="L161" s="104"/>
      <c r="M161" s="47"/>
      <c r="N161" s="70"/>
      <c r="O161" s="56"/>
      <c r="P161" s="56"/>
    </row>
    <row r="162" spans="1:58" ht="12.75">
      <c r="A162" s="41" t="s">
        <v>63</v>
      </c>
      <c r="B162" s="41" t="s">
        <v>157</v>
      </c>
      <c r="C162" s="41" t="s">
        <v>216</v>
      </c>
      <c r="D162" s="41" t="s">
        <v>438</v>
      </c>
      <c r="E162" s="41" t="s">
        <v>630</v>
      </c>
      <c r="F162" s="44">
        <v>3.96</v>
      </c>
      <c r="G162" s="45">
        <v>754</v>
      </c>
      <c r="H162" s="69">
        <f>F162*G162</f>
        <v>2985.84</v>
      </c>
      <c r="I162" s="55">
        <v>0.05284</v>
      </c>
      <c r="J162" s="55">
        <f>F162*I162</f>
        <v>0.2092464</v>
      </c>
      <c r="L162" s="101">
        <v>0</v>
      </c>
      <c r="M162" s="45">
        <v>754</v>
      </c>
      <c r="N162" s="69">
        <f>L162*M162</f>
        <v>0</v>
      </c>
      <c r="O162" s="55">
        <v>0.05284</v>
      </c>
      <c r="P162" s="55">
        <f>L162*O162</f>
        <v>0</v>
      </c>
      <c r="V162" s="31">
        <f>IF(AM162="5",BF162,0)</f>
        <v>0</v>
      </c>
      <c r="X162" s="31">
        <f>IF(AM162="1",BD162,0)</f>
        <v>482.0618994859218</v>
      </c>
      <c r="Y162" s="31">
        <f>IF(AM162="1",BE162,0)</f>
        <v>2503.778100514078</v>
      </c>
      <c r="Z162" s="31">
        <f>IF(AM162="7",BD162,0)</f>
        <v>0</v>
      </c>
      <c r="AA162" s="31">
        <f>IF(AM162="7",BE162,0)</f>
        <v>0</v>
      </c>
      <c r="AB162" s="31">
        <f>IF(AM162="2",BD162,0)</f>
        <v>0</v>
      </c>
      <c r="AC162" s="31">
        <f>IF(AM162="2",BE162,0)</f>
        <v>0</v>
      </c>
      <c r="AD162" s="31">
        <f>IF(AM162="0",BF162,0)</f>
        <v>0</v>
      </c>
      <c r="AE162" s="26" t="s">
        <v>157</v>
      </c>
      <c r="AF162" s="19">
        <f>IF(AJ162=0,H162,0)</f>
        <v>0</v>
      </c>
      <c r="AG162" s="19">
        <f>IF(AJ162=15,H162,0)</f>
        <v>0</v>
      </c>
      <c r="AH162" s="19">
        <f>IF(AJ162=21,H162,0)</f>
        <v>2985.84</v>
      </c>
      <c r="AJ162" s="31">
        <v>21</v>
      </c>
      <c r="AK162" s="31">
        <f>G162*0.161449340716824</f>
        <v>121.73280290048531</v>
      </c>
      <c r="AL162" s="31">
        <f>G162*(1-0.161449340716824)</f>
        <v>632.2671970995146</v>
      </c>
      <c r="AM162" s="27" t="s">
        <v>7</v>
      </c>
      <c r="AR162" s="31">
        <f>AS162+AT162</f>
        <v>2985.8399999999997</v>
      </c>
      <c r="AS162" s="31">
        <f>F162*AK162</f>
        <v>482.0618994859218</v>
      </c>
      <c r="AT162" s="31">
        <f>F162*AL162</f>
        <v>2503.778100514078</v>
      </c>
      <c r="AU162" s="32" t="s">
        <v>668</v>
      </c>
      <c r="AV162" s="32" t="s">
        <v>688</v>
      </c>
      <c r="AW162" s="26" t="s">
        <v>698</v>
      </c>
      <c r="AY162" s="31">
        <f>AS162+AT162</f>
        <v>2985.8399999999997</v>
      </c>
      <c r="AZ162" s="31">
        <f>G162/(100-BA162)*100</f>
        <v>754</v>
      </c>
      <c r="BA162" s="31">
        <v>0</v>
      </c>
      <c r="BB162" s="31">
        <f>J162</f>
        <v>0.2092464</v>
      </c>
      <c r="BD162" s="19">
        <f>F162*AK162</f>
        <v>482.0618994859218</v>
      </c>
      <c r="BE162" s="19">
        <f>F162*AL162</f>
        <v>2503.778100514078</v>
      </c>
      <c r="BF162" s="19">
        <f>F162*G162</f>
        <v>2985.84</v>
      </c>
    </row>
    <row r="163" spans="1:16" ht="12.75">
      <c r="A163" s="42"/>
      <c r="B163" s="42"/>
      <c r="C163" s="42"/>
      <c r="D163" s="43" t="s">
        <v>439</v>
      </c>
      <c r="E163" s="42"/>
      <c r="F163" s="46">
        <v>3.96</v>
      </c>
      <c r="G163" s="42"/>
      <c r="H163" s="42"/>
      <c r="I163" s="57"/>
      <c r="J163" s="57"/>
      <c r="L163" s="46"/>
      <c r="M163" s="42"/>
      <c r="N163" s="42"/>
      <c r="O163" s="57"/>
      <c r="P163" s="57"/>
    </row>
    <row r="164" spans="1:43" ht="12.75">
      <c r="A164" s="4"/>
      <c r="B164" s="13" t="s">
        <v>157</v>
      </c>
      <c r="C164" s="13" t="s">
        <v>68</v>
      </c>
      <c r="D164" s="13" t="s">
        <v>440</v>
      </c>
      <c r="E164" s="4" t="s">
        <v>6</v>
      </c>
      <c r="F164" s="4" t="s">
        <v>6</v>
      </c>
      <c r="G164" s="4"/>
      <c r="H164" s="34">
        <f>SUM(H165:H175)</f>
        <v>49265.755999999994</v>
      </c>
      <c r="I164" s="54"/>
      <c r="J164" s="54">
        <f>SUM(J165:J175)</f>
        <v>4.43036182</v>
      </c>
      <c r="L164" s="4" t="s">
        <v>6</v>
      </c>
      <c r="M164" s="4"/>
      <c r="N164" s="34">
        <f>SUM(N165:N178)</f>
        <v>80171.056</v>
      </c>
      <c r="O164" s="54"/>
      <c r="P164" s="54">
        <f>SUM(P165:P178)</f>
        <v>0.88098752</v>
      </c>
      <c r="AE164" s="26" t="s">
        <v>157</v>
      </c>
      <c r="AO164" s="34">
        <f>SUM(AF165:AF175)</f>
        <v>0</v>
      </c>
      <c r="AP164" s="34">
        <f>SUM(AG165:AG175)</f>
        <v>0</v>
      </c>
      <c r="AQ164" s="34">
        <f>SUM(AH165:AH175)</f>
        <v>49265.755999999994</v>
      </c>
    </row>
    <row r="165" spans="1:58" ht="12.75">
      <c r="A165" s="41" t="s">
        <v>64</v>
      </c>
      <c r="B165" s="41" t="s">
        <v>157</v>
      </c>
      <c r="C165" s="41" t="s">
        <v>211</v>
      </c>
      <c r="D165" s="106" t="s">
        <v>426</v>
      </c>
      <c r="E165" s="41" t="s">
        <v>630</v>
      </c>
      <c r="F165" s="44">
        <v>82.32</v>
      </c>
      <c r="G165" s="45">
        <v>47</v>
      </c>
      <c r="H165" s="69">
        <f>F165*G165</f>
        <v>3869.0399999999995</v>
      </c>
      <c r="I165" s="55">
        <v>0.00032</v>
      </c>
      <c r="J165" s="55">
        <f>F165*I165</f>
        <v>0.0263424</v>
      </c>
      <c r="L165" s="101">
        <v>0</v>
      </c>
      <c r="M165" s="45">
        <v>47</v>
      </c>
      <c r="N165" s="69">
        <f>L165*M165</f>
        <v>0</v>
      </c>
      <c r="O165" s="55">
        <v>0.00032</v>
      </c>
      <c r="P165" s="55">
        <f>L165*O165</f>
        <v>0</v>
      </c>
      <c r="V165" s="31">
        <f>IF(AM165="5",BF165,0)</f>
        <v>0</v>
      </c>
      <c r="X165" s="31">
        <f>IF(AM165="1",BD165,0)</f>
        <v>2116.99150606184</v>
      </c>
      <c r="Y165" s="31">
        <f>IF(AM165="1",BE165,0)</f>
        <v>1752.0484939381597</v>
      </c>
      <c r="Z165" s="31">
        <f>IF(AM165="7",BD165,0)</f>
        <v>0</v>
      </c>
      <c r="AA165" s="31">
        <f>IF(AM165="7",BE165,0)</f>
        <v>0</v>
      </c>
      <c r="AB165" s="31">
        <f>IF(AM165="2",BD165,0)</f>
        <v>0</v>
      </c>
      <c r="AC165" s="31">
        <f>IF(AM165="2",BE165,0)</f>
        <v>0</v>
      </c>
      <c r="AD165" s="31">
        <f>IF(AM165="0",BF165,0)</f>
        <v>0</v>
      </c>
      <c r="AE165" s="26" t="s">
        <v>157</v>
      </c>
      <c r="AF165" s="19">
        <f>IF(AJ165=0,H165,0)</f>
        <v>0</v>
      </c>
      <c r="AG165" s="19">
        <f>IF(AJ165=15,H165,0)</f>
        <v>0</v>
      </c>
      <c r="AH165" s="19">
        <f>IF(AJ165=21,H165,0)</f>
        <v>3869.0399999999995</v>
      </c>
      <c r="AJ165" s="31">
        <v>21</v>
      </c>
      <c r="AK165" s="31">
        <f>G165*0.547161959054918</f>
        <v>25.71661207558115</v>
      </c>
      <c r="AL165" s="31">
        <f>G165*(1-0.547161959054918)</f>
        <v>21.28338792441885</v>
      </c>
      <c r="AM165" s="27" t="s">
        <v>7</v>
      </c>
      <c r="AR165" s="31">
        <f>AS165+AT165</f>
        <v>3869.04</v>
      </c>
      <c r="AS165" s="31">
        <f>F165*AK165</f>
        <v>2116.99150606184</v>
      </c>
      <c r="AT165" s="31">
        <f>F165*AL165</f>
        <v>1752.0484939381597</v>
      </c>
      <c r="AU165" s="32" t="s">
        <v>669</v>
      </c>
      <c r="AV165" s="32" t="s">
        <v>688</v>
      </c>
      <c r="AW165" s="26" t="s">
        <v>698</v>
      </c>
      <c r="AY165" s="31">
        <f>AS165+AT165</f>
        <v>3869.04</v>
      </c>
      <c r="AZ165" s="31">
        <f>G165/(100-BA165)*100</f>
        <v>47</v>
      </c>
      <c r="BA165" s="31">
        <v>0</v>
      </c>
      <c r="BB165" s="31">
        <f>J165</f>
        <v>0.0263424</v>
      </c>
      <c r="BD165" s="19">
        <f>F165*AK165</f>
        <v>2116.99150606184</v>
      </c>
      <c r="BE165" s="19">
        <f>F165*AL165</f>
        <v>1752.0484939381597</v>
      </c>
      <c r="BF165" s="19">
        <f>F165*G165</f>
        <v>3869.0399999999995</v>
      </c>
    </row>
    <row r="166" spans="1:16" ht="12.75">
      <c r="A166" s="47"/>
      <c r="B166" s="47"/>
      <c r="C166" s="47"/>
      <c r="D166" s="107" t="s">
        <v>441</v>
      </c>
      <c r="E166" s="47"/>
      <c r="F166" s="49">
        <v>82.32</v>
      </c>
      <c r="G166" s="47"/>
      <c r="H166" s="70"/>
      <c r="I166" s="56"/>
      <c r="J166" s="56"/>
      <c r="L166" s="49"/>
      <c r="M166" s="47"/>
      <c r="N166" s="70"/>
      <c r="O166" s="56"/>
      <c r="P166" s="56"/>
    </row>
    <row r="167" spans="1:58" ht="12.75">
      <c r="A167" s="41" t="s">
        <v>65</v>
      </c>
      <c r="B167" s="41" t="s">
        <v>157</v>
      </c>
      <c r="C167" s="41" t="s">
        <v>217</v>
      </c>
      <c r="D167" s="106" t="s">
        <v>442</v>
      </c>
      <c r="E167" s="41" t="s">
        <v>630</v>
      </c>
      <c r="F167" s="44">
        <v>14.688</v>
      </c>
      <c r="G167" s="45">
        <v>32</v>
      </c>
      <c r="H167" s="69">
        <f>F167*G167</f>
        <v>470.016</v>
      </c>
      <c r="I167" s="55">
        <v>4E-05</v>
      </c>
      <c r="J167" s="55">
        <f>F167*I167</f>
        <v>0.0005875200000000001</v>
      </c>
      <c r="L167" s="44">
        <v>14.688</v>
      </c>
      <c r="M167" s="45">
        <v>32</v>
      </c>
      <c r="N167" s="69">
        <f>L167*M167</f>
        <v>470.016</v>
      </c>
      <c r="O167" s="55">
        <v>4E-05</v>
      </c>
      <c r="P167" s="55">
        <f>L167*O167</f>
        <v>0.0005875200000000001</v>
      </c>
      <c r="V167" s="31">
        <f>IF(AM167="5",BF167,0)</f>
        <v>0</v>
      </c>
      <c r="X167" s="31">
        <f>IF(AM167="1",BD167,0)</f>
        <v>154.17950923725013</v>
      </c>
      <c r="Y167" s="31">
        <f>IF(AM167="1",BE167,0)</f>
        <v>315.83649076274986</v>
      </c>
      <c r="Z167" s="31">
        <f>IF(AM167="7",BD167,0)</f>
        <v>0</v>
      </c>
      <c r="AA167" s="31">
        <f>IF(AM167="7",BE167,0)</f>
        <v>0</v>
      </c>
      <c r="AB167" s="31">
        <f>IF(AM167="2",BD167,0)</f>
        <v>0</v>
      </c>
      <c r="AC167" s="31">
        <f>IF(AM167="2",BE167,0)</f>
        <v>0</v>
      </c>
      <c r="AD167" s="31">
        <f>IF(AM167="0",BF167,0)</f>
        <v>0</v>
      </c>
      <c r="AE167" s="26" t="s">
        <v>157</v>
      </c>
      <c r="AF167" s="19">
        <f>IF(AJ167=0,H167,0)</f>
        <v>0</v>
      </c>
      <c r="AG167" s="19">
        <f>IF(AJ167=15,H167,0)</f>
        <v>0</v>
      </c>
      <c r="AH167" s="19">
        <f>IF(AJ167=21,H167,0)</f>
        <v>470.016</v>
      </c>
      <c r="AJ167" s="31">
        <v>21</v>
      </c>
      <c r="AK167" s="31">
        <f>G167*0.328030342025059</f>
        <v>10.496970944801888</v>
      </c>
      <c r="AL167" s="31">
        <f>G167*(1-0.328030342025059)</f>
        <v>21.503029055198112</v>
      </c>
      <c r="AM167" s="27" t="s">
        <v>7</v>
      </c>
      <c r="AR167" s="31">
        <f>AS167+AT167</f>
        <v>470.01599999999996</v>
      </c>
      <c r="AS167" s="31">
        <f>F167*AK167</f>
        <v>154.17950923725013</v>
      </c>
      <c r="AT167" s="31">
        <f>F167*AL167</f>
        <v>315.83649076274986</v>
      </c>
      <c r="AU167" s="32" t="s">
        <v>669</v>
      </c>
      <c r="AV167" s="32" t="s">
        <v>688</v>
      </c>
      <c r="AW167" s="26" t="s">
        <v>698</v>
      </c>
      <c r="AY167" s="31">
        <f>AS167+AT167</f>
        <v>470.01599999999996</v>
      </c>
      <c r="AZ167" s="31">
        <f>G167/(100-BA167)*100</f>
        <v>32</v>
      </c>
      <c r="BA167" s="31">
        <v>0</v>
      </c>
      <c r="BB167" s="31">
        <f>J167</f>
        <v>0.0005875200000000001</v>
      </c>
      <c r="BD167" s="19">
        <f>F167*AK167</f>
        <v>154.17950923725013</v>
      </c>
      <c r="BE167" s="19">
        <f>F167*AL167</f>
        <v>315.83649076274986</v>
      </c>
      <c r="BF167" s="19">
        <f>F167*G167</f>
        <v>470.016</v>
      </c>
    </row>
    <row r="168" spans="1:16" ht="12.75">
      <c r="A168" s="47"/>
      <c r="B168" s="47"/>
      <c r="C168" s="47"/>
      <c r="D168" s="107" t="s">
        <v>431</v>
      </c>
      <c r="E168" s="47"/>
      <c r="F168" s="49">
        <v>14.688</v>
      </c>
      <c r="G168" s="47"/>
      <c r="H168" s="70"/>
      <c r="I168" s="56"/>
      <c r="J168" s="56"/>
      <c r="L168" s="49"/>
      <c r="M168" s="47"/>
      <c r="N168" s="70"/>
      <c r="O168" s="56"/>
      <c r="P168" s="56"/>
    </row>
    <row r="169" spans="1:58" ht="12.75">
      <c r="A169" s="41" t="s">
        <v>66</v>
      </c>
      <c r="B169" s="41" t="s">
        <v>157</v>
      </c>
      <c r="C169" s="41" t="s">
        <v>218</v>
      </c>
      <c r="D169" s="106" t="s">
        <v>443</v>
      </c>
      <c r="E169" s="41" t="s">
        <v>630</v>
      </c>
      <c r="F169" s="44">
        <v>3.85</v>
      </c>
      <c r="G169" s="45">
        <v>230</v>
      </c>
      <c r="H169" s="69">
        <f>F169*G169</f>
        <v>885.5</v>
      </c>
      <c r="I169" s="55">
        <v>0.00367</v>
      </c>
      <c r="J169" s="55">
        <f>F169*I169</f>
        <v>0.014129500000000001</v>
      </c>
      <c r="L169" s="101">
        <v>0</v>
      </c>
      <c r="M169" s="45">
        <v>230</v>
      </c>
      <c r="N169" s="69">
        <f>L169*M169</f>
        <v>0</v>
      </c>
      <c r="O169" s="55">
        <v>0.00367</v>
      </c>
      <c r="P169" s="55">
        <f>L169*O169</f>
        <v>0</v>
      </c>
      <c r="V169" s="31">
        <f>IF(AM169="5",BF169,0)</f>
        <v>0</v>
      </c>
      <c r="X169" s="31">
        <f>IF(AM169="1",BD169,0)</f>
        <v>229.66948095977642</v>
      </c>
      <c r="Y169" s="31">
        <f>IF(AM169="1",BE169,0)</f>
        <v>655.8305190402236</v>
      </c>
      <c r="Z169" s="31">
        <f>IF(AM169="7",BD169,0)</f>
        <v>0</v>
      </c>
      <c r="AA169" s="31">
        <f>IF(AM169="7",BE169,0)</f>
        <v>0</v>
      </c>
      <c r="AB169" s="31">
        <f>IF(AM169="2",BD169,0)</f>
        <v>0</v>
      </c>
      <c r="AC169" s="31">
        <f>IF(AM169="2",BE169,0)</f>
        <v>0</v>
      </c>
      <c r="AD169" s="31">
        <f>IF(AM169="0",BF169,0)</f>
        <v>0</v>
      </c>
      <c r="AE169" s="26" t="s">
        <v>157</v>
      </c>
      <c r="AF169" s="19">
        <f>IF(AJ169=0,H169,0)</f>
        <v>0</v>
      </c>
      <c r="AG169" s="19">
        <f>IF(AJ169=15,H169,0)</f>
        <v>0</v>
      </c>
      <c r="AH169" s="19">
        <f>IF(AJ169=21,H169,0)</f>
        <v>885.5</v>
      </c>
      <c r="AJ169" s="31">
        <v>21</v>
      </c>
      <c r="AK169" s="31">
        <f>G169*0.259367002777839</f>
        <v>59.65441063890297</v>
      </c>
      <c r="AL169" s="31">
        <f>G169*(1-0.259367002777839)</f>
        <v>170.34558936109704</v>
      </c>
      <c r="AM169" s="27" t="s">
        <v>7</v>
      </c>
      <c r="AR169" s="31">
        <f>AS169+AT169</f>
        <v>885.5</v>
      </c>
      <c r="AS169" s="31">
        <f>F169*AK169</f>
        <v>229.66948095977642</v>
      </c>
      <c r="AT169" s="31">
        <f>F169*AL169</f>
        <v>655.8305190402236</v>
      </c>
      <c r="AU169" s="32" t="s">
        <v>669</v>
      </c>
      <c r="AV169" s="32" t="s">
        <v>688</v>
      </c>
      <c r="AW169" s="26" t="s">
        <v>698</v>
      </c>
      <c r="AY169" s="31">
        <f>AS169+AT169</f>
        <v>885.5</v>
      </c>
      <c r="AZ169" s="31">
        <f>G169/(100-BA169)*100</f>
        <v>229.99999999999997</v>
      </c>
      <c r="BA169" s="31">
        <v>0</v>
      </c>
      <c r="BB169" s="31">
        <f>J169</f>
        <v>0.014129500000000001</v>
      </c>
      <c r="BD169" s="19">
        <f>F169*AK169</f>
        <v>229.66948095977642</v>
      </c>
      <c r="BE169" s="19">
        <f>F169*AL169</f>
        <v>655.8305190402236</v>
      </c>
      <c r="BF169" s="19">
        <f>F169*G169</f>
        <v>885.5</v>
      </c>
    </row>
    <row r="170" spans="1:16" ht="12.75">
      <c r="A170" s="47"/>
      <c r="B170" s="47"/>
      <c r="C170" s="47"/>
      <c r="D170" s="107" t="s">
        <v>444</v>
      </c>
      <c r="E170" s="47"/>
      <c r="F170" s="49">
        <v>3.85</v>
      </c>
      <c r="G170" s="47"/>
      <c r="H170" s="70"/>
      <c r="I170" s="56"/>
      <c r="J170" s="56"/>
      <c r="L170" s="49"/>
      <c r="M170" s="47"/>
      <c r="N170" s="70"/>
      <c r="O170" s="56"/>
      <c r="P170" s="56"/>
    </row>
    <row r="171" spans="1:58" ht="12.75">
      <c r="A171" s="41" t="s">
        <v>67</v>
      </c>
      <c r="B171" s="41" t="s">
        <v>157</v>
      </c>
      <c r="C171" s="41" t="s">
        <v>219</v>
      </c>
      <c r="D171" s="106" t="s">
        <v>445</v>
      </c>
      <c r="E171" s="41" t="s">
        <v>630</v>
      </c>
      <c r="F171" s="44">
        <v>82.32</v>
      </c>
      <c r="G171" s="45">
        <v>359</v>
      </c>
      <c r="H171" s="69">
        <f>F171*G171</f>
        <v>29552.879999999997</v>
      </c>
      <c r="I171" s="55">
        <v>0.05258</v>
      </c>
      <c r="J171" s="55">
        <f>F171*I171</f>
        <v>4.3283856</v>
      </c>
      <c r="L171" s="101">
        <v>0</v>
      </c>
      <c r="M171" s="45">
        <v>359</v>
      </c>
      <c r="N171" s="69">
        <f>L171*M171</f>
        <v>0</v>
      </c>
      <c r="O171" s="55">
        <v>0.05258</v>
      </c>
      <c r="P171" s="55">
        <f>L171*O171</f>
        <v>0</v>
      </c>
      <c r="V171" s="31">
        <f>IF(AM171="5",BF171,0)</f>
        <v>0</v>
      </c>
      <c r="X171" s="31">
        <f>IF(AM171="1",BD171,0)</f>
        <v>2934.6181084260093</v>
      </c>
      <c r="Y171" s="31">
        <f>IF(AM171="1",BE171,0)</f>
        <v>26618.261891573988</v>
      </c>
      <c r="Z171" s="31">
        <f>IF(AM171="7",BD171,0)</f>
        <v>0</v>
      </c>
      <c r="AA171" s="31">
        <f>IF(AM171="7",BE171,0)</f>
        <v>0</v>
      </c>
      <c r="AB171" s="31">
        <f>IF(AM171="2",BD171,0)</f>
        <v>0</v>
      </c>
      <c r="AC171" s="31">
        <f>IF(AM171="2",BE171,0)</f>
        <v>0</v>
      </c>
      <c r="AD171" s="31">
        <f>IF(AM171="0",BF171,0)</f>
        <v>0</v>
      </c>
      <c r="AE171" s="26" t="s">
        <v>157</v>
      </c>
      <c r="AF171" s="19">
        <f>IF(AJ171=0,H171,0)</f>
        <v>0</v>
      </c>
      <c r="AG171" s="19">
        <f>IF(AJ171=15,H171,0)</f>
        <v>0</v>
      </c>
      <c r="AH171" s="19">
        <f>IF(AJ171=21,H171,0)</f>
        <v>29552.879999999997</v>
      </c>
      <c r="AJ171" s="31">
        <v>21</v>
      </c>
      <c r="AK171" s="31">
        <f>G171*0.099300579450328</f>
        <v>35.648908022667754</v>
      </c>
      <c r="AL171" s="31">
        <f>G171*(1-0.099300579450328)</f>
        <v>323.35109197733226</v>
      </c>
      <c r="AM171" s="27" t="s">
        <v>7</v>
      </c>
      <c r="AR171" s="31">
        <f>AS171+AT171</f>
        <v>29552.879999999997</v>
      </c>
      <c r="AS171" s="31">
        <f>F171*AK171</f>
        <v>2934.6181084260093</v>
      </c>
      <c r="AT171" s="31">
        <f>F171*AL171</f>
        <v>26618.261891573988</v>
      </c>
      <c r="AU171" s="32" t="s">
        <v>669</v>
      </c>
      <c r="AV171" s="32" t="s">
        <v>688</v>
      </c>
      <c r="AW171" s="26" t="s">
        <v>698</v>
      </c>
      <c r="AY171" s="31">
        <f>AS171+AT171</f>
        <v>29552.879999999997</v>
      </c>
      <c r="AZ171" s="31">
        <f>G171/(100-BA171)*100</f>
        <v>359</v>
      </c>
      <c r="BA171" s="31">
        <v>0</v>
      </c>
      <c r="BB171" s="31">
        <f>J171</f>
        <v>4.3283856</v>
      </c>
      <c r="BD171" s="19">
        <f>F171*AK171</f>
        <v>2934.6181084260093</v>
      </c>
      <c r="BE171" s="19">
        <f>F171*AL171</f>
        <v>26618.261891573988</v>
      </c>
      <c r="BF171" s="19">
        <f>F171*G171</f>
        <v>29552.879999999997</v>
      </c>
    </row>
    <row r="172" spans="1:16" ht="12.75">
      <c r="A172" s="47"/>
      <c r="B172" s="47"/>
      <c r="C172" s="47"/>
      <c r="D172" s="107" t="s">
        <v>441</v>
      </c>
      <c r="E172" s="47"/>
      <c r="F172" s="49">
        <v>82.32</v>
      </c>
      <c r="G172" s="47"/>
      <c r="H172" s="70"/>
      <c r="I172" s="56"/>
      <c r="J172" s="56"/>
      <c r="L172" s="49"/>
      <c r="M172" s="47"/>
      <c r="N172" s="70"/>
      <c r="O172" s="56"/>
      <c r="P172" s="56"/>
    </row>
    <row r="173" spans="1:58" ht="12.75">
      <c r="A173" s="41" t="s">
        <v>68</v>
      </c>
      <c r="B173" s="41" t="s">
        <v>157</v>
      </c>
      <c r="C173" s="41" t="s">
        <v>220</v>
      </c>
      <c r="D173" s="106" t="s">
        <v>446</v>
      </c>
      <c r="E173" s="41" t="s">
        <v>630</v>
      </c>
      <c r="F173" s="44">
        <v>82.32</v>
      </c>
      <c r="G173" s="45">
        <v>36</v>
      </c>
      <c r="H173" s="69">
        <f>F173*G173</f>
        <v>2963.5199999999995</v>
      </c>
      <c r="I173" s="55">
        <v>0.00021</v>
      </c>
      <c r="J173" s="55">
        <f>F173*I173</f>
        <v>0.0172872</v>
      </c>
      <c r="L173" s="101">
        <v>0</v>
      </c>
      <c r="M173" s="45">
        <v>36</v>
      </c>
      <c r="N173" s="69">
        <f>L173*M173</f>
        <v>0</v>
      </c>
      <c r="O173" s="55">
        <v>0.00021</v>
      </c>
      <c r="P173" s="55">
        <f>L173*O173</f>
        <v>0</v>
      </c>
      <c r="V173" s="31">
        <f>IF(AM173="5",BF173,0)</f>
        <v>0</v>
      </c>
      <c r="X173" s="31">
        <f>IF(AM173="1",BD173,0)</f>
        <v>1653.490743351014</v>
      </c>
      <c r="Y173" s="31">
        <f>IF(AM173="1",BE173,0)</f>
        <v>1310.0292566489857</v>
      </c>
      <c r="Z173" s="31">
        <f>IF(AM173="7",BD173,0)</f>
        <v>0</v>
      </c>
      <c r="AA173" s="31">
        <f>IF(AM173="7",BE173,0)</f>
        <v>0</v>
      </c>
      <c r="AB173" s="31">
        <f>IF(AM173="2",BD173,0)</f>
        <v>0</v>
      </c>
      <c r="AC173" s="31">
        <f>IF(AM173="2",BE173,0)</f>
        <v>0</v>
      </c>
      <c r="AD173" s="31">
        <f>IF(AM173="0",BF173,0)</f>
        <v>0</v>
      </c>
      <c r="AE173" s="26" t="s">
        <v>157</v>
      </c>
      <c r="AF173" s="19">
        <f>IF(AJ173=0,H173,0)</f>
        <v>0</v>
      </c>
      <c r="AG173" s="19">
        <f>IF(AJ173=15,H173,0)</f>
        <v>0</v>
      </c>
      <c r="AH173" s="19">
        <f>IF(AJ173=21,H173,0)</f>
        <v>2963.5199999999995</v>
      </c>
      <c r="AJ173" s="31">
        <v>21</v>
      </c>
      <c r="AK173" s="31">
        <f>G173*0.557948231613424</f>
        <v>20.086136338083264</v>
      </c>
      <c r="AL173" s="31">
        <f>G173*(1-0.557948231613424)</f>
        <v>15.913863661916736</v>
      </c>
      <c r="AM173" s="27" t="s">
        <v>7</v>
      </c>
      <c r="AR173" s="31">
        <f>AS173+AT173</f>
        <v>2963.5199999999995</v>
      </c>
      <c r="AS173" s="31">
        <f>F173*AK173</f>
        <v>1653.490743351014</v>
      </c>
      <c r="AT173" s="31">
        <f>F173*AL173</f>
        <v>1310.0292566489857</v>
      </c>
      <c r="AU173" s="32" t="s">
        <v>669</v>
      </c>
      <c r="AV173" s="32" t="s">
        <v>688</v>
      </c>
      <c r="AW173" s="26" t="s">
        <v>698</v>
      </c>
      <c r="AY173" s="31">
        <f>AS173+AT173</f>
        <v>2963.5199999999995</v>
      </c>
      <c r="AZ173" s="31">
        <f>G173/(100-BA173)*100</f>
        <v>36</v>
      </c>
      <c r="BA173" s="31">
        <v>0</v>
      </c>
      <c r="BB173" s="31">
        <f>J173</f>
        <v>0.0172872</v>
      </c>
      <c r="BD173" s="19">
        <f>F173*AK173</f>
        <v>1653.490743351014</v>
      </c>
      <c r="BE173" s="19">
        <f>F173*AL173</f>
        <v>1310.0292566489857</v>
      </c>
      <c r="BF173" s="19">
        <f>F173*G173</f>
        <v>2963.5199999999995</v>
      </c>
    </row>
    <row r="174" spans="1:16" ht="12.75">
      <c r="A174" s="47"/>
      <c r="B174" s="47"/>
      <c r="C174" s="47"/>
      <c r="D174" s="107" t="s">
        <v>441</v>
      </c>
      <c r="E174" s="47"/>
      <c r="F174" s="49">
        <v>82.32</v>
      </c>
      <c r="G174" s="47"/>
      <c r="H174" s="70"/>
      <c r="I174" s="56"/>
      <c r="J174" s="56"/>
      <c r="L174" s="49"/>
      <c r="M174" s="47"/>
      <c r="N174" s="70"/>
      <c r="O174" s="56"/>
      <c r="P174" s="56"/>
    </row>
    <row r="175" spans="1:58" ht="12.75">
      <c r="A175" s="41" t="s">
        <v>69</v>
      </c>
      <c r="B175" s="41" t="s">
        <v>157</v>
      </c>
      <c r="C175" s="41" t="s">
        <v>221</v>
      </c>
      <c r="D175" s="106" t="s">
        <v>447</v>
      </c>
      <c r="E175" s="41" t="s">
        <v>630</v>
      </c>
      <c r="F175" s="44">
        <v>82.32</v>
      </c>
      <c r="G175" s="45">
        <v>140</v>
      </c>
      <c r="H175" s="69">
        <f>F175*G175</f>
        <v>11524.8</v>
      </c>
      <c r="I175" s="55">
        <v>0.00053</v>
      </c>
      <c r="J175" s="55">
        <f>F175*I175</f>
        <v>0.0436296</v>
      </c>
      <c r="L175" s="101">
        <v>0</v>
      </c>
      <c r="M175" s="45">
        <v>140</v>
      </c>
      <c r="N175" s="69">
        <f>L175*M175</f>
        <v>0</v>
      </c>
      <c r="O175" s="55">
        <v>0.00053</v>
      </c>
      <c r="P175" s="55">
        <f>L175*O175</f>
        <v>0</v>
      </c>
      <c r="V175" s="31">
        <f>IF(AM175="5",BF175,0)</f>
        <v>0</v>
      </c>
      <c r="X175" s="31">
        <f>IF(AM175="1",BD175,0)</f>
        <v>5509.582013214336</v>
      </c>
      <c r="Y175" s="31">
        <f>IF(AM175="1",BE175,0)</f>
        <v>6015.217986785663</v>
      </c>
      <c r="Z175" s="31">
        <f>IF(AM175="7",BD175,0)</f>
        <v>0</v>
      </c>
      <c r="AA175" s="31">
        <f>IF(AM175="7",BE175,0)</f>
        <v>0</v>
      </c>
      <c r="AB175" s="31">
        <f>IF(AM175="2",BD175,0)</f>
        <v>0</v>
      </c>
      <c r="AC175" s="31">
        <f>IF(AM175="2",BE175,0)</f>
        <v>0</v>
      </c>
      <c r="AD175" s="31">
        <f>IF(AM175="0",BF175,0)</f>
        <v>0</v>
      </c>
      <c r="AE175" s="26" t="s">
        <v>157</v>
      </c>
      <c r="AF175" s="19">
        <f>IF(AJ175=0,H175,0)</f>
        <v>0</v>
      </c>
      <c r="AG175" s="19">
        <f>IF(AJ175=15,H175,0)</f>
        <v>0</v>
      </c>
      <c r="AH175" s="19">
        <f>IF(AJ175=21,H175,0)</f>
        <v>11524.8</v>
      </c>
      <c r="AJ175" s="31">
        <v>21</v>
      </c>
      <c r="AK175" s="31">
        <f>G175*0.478063134563232</f>
        <v>66.92883883885249</v>
      </c>
      <c r="AL175" s="31">
        <f>G175*(1-0.478063134563232)</f>
        <v>73.07116116114751</v>
      </c>
      <c r="AM175" s="27" t="s">
        <v>7</v>
      </c>
      <c r="AR175" s="31">
        <f>AS175+AT175</f>
        <v>11524.8</v>
      </c>
      <c r="AS175" s="31">
        <f>F175*AK175</f>
        <v>5509.582013214336</v>
      </c>
      <c r="AT175" s="31">
        <f>F175*AL175</f>
        <v>6015.217986785663</v>
      </c>
      <c r="AU175" s="32" t="s">
        <v>669</v>
      </c>
      <c r="AV175" s="32" t="s">
        <v>688</v>
      </c>
      <c r="AW175" s="26" t="s">
        <v>698</v>
      </c>
      <c r="AY175" s="31">
        <f>AS175+AT175</f>
        <v>11524.8</v>
      </c>
      <c r="AZ175" s="31">
        <f>G175/(100-BA175)*100</f>
        <v>140</v>
      </c>
      <c r="BA175" s="31">
        <v>0</v>
      </c>
      <c r="BB175" s="31">
        <f>J175</f>
        <v>0.0436296</v>
      </c>
      <c r="BD175" s="19">
        <f>F175*AK175</f>
        <v>5509.582013214336</v>
      </c>
      <c r="BE175" s="19">
        <f>F175*AL175</f>
        <v>6015.217986785663</v>
      </c>
      <c r="BF175" s="19">
        <f>F175*G175</f>
        <v>11524.8</v>
      </c>
    </row>
    <row r="176" spans="1:16" ht="12.75">
      <c r="A176" s="42"/>
      <c r="B176" s="42"/>
      <c r="C176" s="42"/>
      <c r="D176" s="114" t="s">
        <v>441</v>
      </c>
      <c r="E176" s="42"/>
      <c r="F176" s="46">
        <v>82.32</v>
      </c>
      <c r="G176" s="42"/>
      <c r="H176" s="42"/>
      <c r="I176" s="57"/>
      <c r="J176" s="57"/>
      <c r="L176" s="46"/>
      <c r="M176" s="42"/>
      <c r="N176" s="42"/>
      <c r="O176" s="57"/>
      <c r="P176" s="57"/>
    </row>
    <row r="177" spans="1:16" ht="12.75">
      <c r="A177" s="99" t="s">
        <v>740</v>
      </c>
      <c r="B177" s="47"/>
      <c r="C177" s="47"/>
      <c r="D177" s="100" t="s">
        <v>784</v>
      </c>
      <c r="E177" s="103" t="s">
        <v>630</v>
      </c>
      <c r="F177" s="44"/>
      <c r="G177" s="45"/>
      <c r="H177" s="69"/>
      <c r="I177" s="55"/>
      <c r="J177" s="55"/>
      <c r="L177" s="102">
        <v>84.44</v>
      </c>
      <c r="M177" s="69">
        <v>896</v>
      </c>
      <c r="N177" s="69">
        <f>L177*M177</f>
        <v>75658.23999999999</v>
      </c>
      <c r="O177" s="55">
        <v>0.01</v>
      </c>
      <c r="P177" s="55">
        <f>L177*O177</f>
        <v>0.8444</v>
      </c>
    </row>
    <row r="178" spans="1:16" ht="12.75">
      <c r="A178" s="99" t="s">
        <v>741</v>
      </c>
      <c r="B178" s="47"/>
      <c r="C178" s="47"/>
      <c r="D178" s="100" t="s">
        <v>785</v>
      </c>
      <c r="E178" s="103" t="s">
        <v>630</v>
      </c>
      <c r="F178" s="44"/>
      <c r="G178" s="45"/>
      <c r="H178" s="69"/>
      <c r="I178" s="55"/>
      <c r="J178" s="55"/>
      <c r="L178" s="102">
        <v>3.6</v>
      </c>
      <c r="M178" s="69">
        <v>1123</v>
      </c>
      <c r="N178" s="69">
        <f>L178*M178</f>
        <v>4042.8</v>
      </c>
      <c r="O178" s="55">
        <v>0.01</v>
      </c>
      <c r="P178" s="55">
        <f>L178*O178</f>
        <v>0.036000000000000004</v>
      </c>
    </row>
    <row r="179" spans="1:43" ht="12.75">
      <c r="A179" s="4"/>
      <c r="B179" s="13" t="s">
        <v>157</v>
      </c>
      <c r="C179" s="13" t="s">
        <v>69</v>
      </c>
      <c r="D179" s="13" t="s">
        <v>448</v>
      </c>
      <c r="E179" s="4" t="s">
        <v>6</v>
      </c>
      <c r="F179" s="4" t="s">
        <v>6</v>
      </c>
      <c r="G179" s="4"/>
      <c r="H179" s="34">
        <f>SUM(H180:H207)</f>
        <v>221834.19600000003</v>
      </c>
      <c r="I179" s="54"/>
      <c r="J179" s="54">
        <f>SUM(J180:J207)</f>
        <v>62.187877490000005</v>
      </c>
      <c r="L179" s="4" t="s">
        <v>6</v>
      </c>
      <c r="M179" s="4"/>
      <c r="N179" s="34">
        <f>SUM(N180:N214)</f>
        <v>207090.131</v>
      </c>
      <c r="O179" s="54"/>
      <c r="P179" s="54">
        <f>SUM(P180:P214)</f>
        <v>72.74961725</v>
      </c>
      <c r="AE179" s="26" t="s">
        <v>157</v>
      </c>
      <c r="AO179" s="34">
        <f>SUM(AF180:AF207)</f>
        <v>0</v>
      </c>
      <c r="AP179" s="34">
        <f>SUM(AG180:AG207)</f>
        <v>0</v>
      </c>
      <c r="AQ179" s="34">
        <f>SUM(AH180:AH207)</f>
        <v>221834.19600000003</v>
      </c>
    </row>
    <row r="180" spans="1:58" ht="12.75">
      <c r="A180" s="41" t="s">
        <v>70</v>
      </c>
      <c r="B180" s="41" t="s">
        <v>157</v>
      </c>
      <c r="C180" s="41" t="s">
        <v>222</v>
      </c>
      <c r="D180" s="106" t="s">
        <v>449</v>
      </c>
      <c r="E180" s="41" t="s">
        <v>629</v>
      </c>
      <c r="F180" s="44">
        <v>10.971</v>
      </c>
      <c r="G180" s="45">
        <v>3680</v>
      </c>
      <c r="H180" s="69">
        <f>F180*G180</f>
        <v>40373.28</v>
      </c>
      <c r="I180" s="55">
        <v>2.525</v>
      </c>
      <c r="J180" s="55">
        <f>F180*I180</f>
        <v>27.701774999999998</v>
      </c>
      <c r="L180" s="44">
        <v>10.971</v>
      </c>
      <c r="M180" s="45">
        <v>3680</v>
      </c>
      <c r="N180" s="69">
        <f>L180*M180</f>
        <v>40373.28</v>
      </c>
      <c r="O180" s="55">
        <v>2.525</v>
      </c>
      <c r="P180" s="55">
        <f>L180*O180</f>
        <v>27.701774999999998</v>
      </c>
      <c r="V180" s="31">
        <f>IF(AM180="5",BF180,0)</f>
        <v>0</v>
      </c>
      <c r="X180" s="31">
        <f>IF(AM180="1",BD180,0)</f>
        <v>28554.85332284589</v>
      </c>
      <c r="Y180" s="31">
        <f>IF(AM180="1",BE180,0)</f>
        <v>11818.426677154112</v>
      </c>
      <c r="Z180" s="31">
        <f>IF(AM180="7",BD180,0)</f>
        <v>0</v>
      </c>
      <c r="AA180" s="31">
        <f>IF(AM180="7",BE180,0)</f>
        <v>0</v>
      </c>
      <c r="AB180" s="31">
        <f>IF(AM180="2",BD180,0)</f>
        <v>0</v>
      </c>
      <c r="AC180" s="31">
        <f>IF(AM180="2",BE180,0)</f>
        <v>0</v>
      </c>
      <c r="AD180" s="31">
        <f>IF(AM180="0",BF180,0)</f>
        <v>0</v>
      </c>
      <c r="AE180" s="26" t="s">
        <v>157</v>
      </c>
      <c r="AF180" s="19">
        <f>IF(AJ180=0,H180,0)</f>
        <v>0</v>
      </c>
      <c r="AG180" s="19">
        <f>IF(AJ180=15,H180,0)</f>
        <v>0</v>
      </c>
      <c r="AH180" s="19">
        <f>IF(AJ180=21,H180,0)</f>
        <v>40373.28</v>
      </c>
      <c r="AJ180" s="31">
        <v>21</v>
      </c>
      <c r="AK180" s="31">
        <f>G180*0.707271079358573</f>
        <v>2602.757572039549</v>
      </c>
      <c r="AL180" s="31">
        <f>G180*(1-0.707271079358573)</f>
        <v>1077.2424279604513</v>
      </c>
      <c r="AM180" s="27" t="s">
        <v>7</v>
      </c>
      <c r="AR180" s="31">
        <f>AS180+AT180</f>
        <v>40373.28</v>
      </c>
      <c r="AS180" s="31">
        <f>F180*AK180</f>
        <v>28554.85332284589</v>
      </c>
      <c r="AT180" s="31">
        <f>F180*AL180</f>
        <v>11818.426677154112</v>
      </c>
      <c r="AU180" s="32" t="s">
        <v>670</v>
      </c>
      <c r="AV180" s="32" t="s">
        <v>688</v>
      </c>
      <c r="AW180" s="26" t="s">
        <v>698</v>
      </c>
      <c r="AY180" s="31">
        <f>AS180+AT180</f>
        <v>40373.28</v>
      </c>
      <c r="AZ180" s="31">
        <f>G180/(100-BA180)*100</f>
        <v>3679.9999999999995</v>
      </c>
      <c r="BA180" s="31">
        <v>0</v>
      </c>
      <c r="BB180" s="31">
        <f>J180</f>
        <v>27.701774999999998</v>
      </c>
      <c r="BD180" s="19">
        <f>F180*AK180</f>
        <v>28554.85332284589</v>
      </c>
      <c r="BE180" s="19">
        <f>F180*AL180</f>
        <v>11818.426677154112</v>
      </c>
      <c r="BF180" s="19">
        <f>F180*G180</f>
        <v>40373.28</v>
      </c>
    </row>
    <row r="181" spans="1:16" ht="12.75">
      <c r="A181" s="47"/>
      <c r="B181" s="47"/>
      <c r="C181" s="47"/>
      <c r="D181" s="107" t="s">
        <v>450</v>
      </c>
      <c r="E181" s="47"/>
      <c r="F181" s="49">
        <v>10.971</v>
      </c>
      <c r="G181" s="47"/>
      <c r="H181" s="70"/>
      <c r="I181" s="56"/>
      <c r="J181" s="56"/>
      <c r="L181" s="49"/>
      <c r="M181" s="47"/>
      <c r="N181" s="70"/>
      <c r="O181" s="56"/>
      <c r="P181" s="56"/>
    </row>
    <row r="182" spans="1:58" ht="12.75">
      <c r="A182" s="41" t="s">
        <v>71</v>
      </c>
      <c r="B182" s="41" t="s">
        <v>157</v>
      </c>
      <c r="C182" s="41" t="s">
        <v>223</v>
      </c>
      <c r="D182" s="41" t="s">
        <v>451</v>
      </c>
      <c r="E182" s="41" t="s">
        <v>629</v>
      </c>
      <c r="F182" s="44">
        <v>9.639</v>
      </c>
      <c r="G182" s="45">
        <v>3800</v>
      </c>
      <c r="H182" s="69">
        <f>F182*G182</f>
        <v>36628.2</v>
      </c>
      <c r="I182" s="55">
        <v>2.525</v>
      </c>
      <c r="J182" s="55">
        <f>F182*I182</f>
        <v>24.338475</v>
      </c>
      <c r="L182" s="101">
        <v>0</v>
      </c>
      <c r="M182" s="45">
        <v>3800</v>
      </c>
      <c r="N182" s="69">
        <f>L182*M182</f>
        <v>0</v>
      </c>
      <c r="O182" s="55">
        <v>2.525</v>
      </c>
      <c r="P182" s="55">
        <f>L182*O182</f>
        <v>0</v>
      </c>
      <c r="V182" s="31">
        <f>IF(AM182="5",BF182,0)</f>
        <v>0</v>
      </c>
      <c r="X182" s="31">
        <f>IF(AM182="1",BD182,0)</f>
        <v>26284.13875967886</v>
      </c>
      <c r="Y182" s="31">
        <f>IF(AM182="1",BE182,0)</f>
        <v>10344.06124032114</v>
      </c>
      <c r="Z182" s="31">
        <f>IF(AM182="7",BD182,0)</f>
        <v>0</v>
      </c>
      <c r="AA182" s="31">
        <f>IF(AM182="7",BE182,0)</f>
        <v>0</v>
      </c>
      <c r="AB182" s="31">
        <f>IF(AM182="2",BD182,0)</f>
        <v>0</v>
      </c>
      <c r="AC182" s="31">
        <f>IF(AM182="2",BE182,0)</f>
        <v>0</v>
      </c>
      <c r="AD182" s="31">
        <f>IF(AM182="0",BF182,0)</f>
        <v>0</v>
      </c>
      <c r="AE182" s="26" t="s">
        <v>157</v>
      </c>
      <c r="AF182" s="19">
        <f>IF(AJ182=0,H182,0)</f>
        <v>0</v>
      </c>
      <c r="AG182" s="19">
        <f>IF(AJ182=15,H182,0)</f>
        <v>0</v>
      </c>
      <c r="AH182" s="19">
        <f>IF(AJ182=21,H182,0)</f>
        <v>36628.2</v>
      </c>
      <c r="AJ182" s="31">
        <v>21</v>
      </c>
      <c r="AK182" s="31">
        <f>G182*0.717592968250661</f>
        <v>2726.853279352512</v>
      </c>
      <c r="AL182" s="31">
        <f>G182*(1-0.717592968250661)</f>
        <v>1073.1467206474883</v>
      </c>
      <c r="AM182" s="27" t="s">
        <v>7</v>
      </c>
      <c r="AR182" s="31">
        <f>AS182+AT182</f>
        <v>36628.2</v>
      </c>
      <c r="AS182" s="31">
        <f>F182*AK182</f>
        <v>26284.13875967886</v>
      </c>
      <c r="AT182" s="31">
        <f>F182*AL182</f>
        <v>10344.06124032114</v>
      </c>
      <c r="AU182" s="32" t="s">
        <v>670</v>
      </c>
      <c r="AV182" s="32" t="s">
        <v>688</v>
      </c>
      <c r="AW182" s="26" t="s">
        <v>698</v>
      </c>
      <c r="AY182" s="31">
        <f>AS182+AT182</f>
        <v>36628.2</v>
      </c>
      <c r="AZ182" s="31">
        <f>G182/(100-BA182)*100</f>
        <v>3800</v>
      </c>
      <c r="BA182" s="31">
        <v>0</v>
      </c>
      <c r="BB182" s="31">
        <f>J182</f>
        <v>24.338475</v>
      </c>
      <c r="BD182" s="19">
        <f>F182*AK182</f>
        <v>26284.13875967886</v>
      </c>
      <c r="BE182" s="19">
        <f>F182*AL182</f>
        <v>10344.06124032114</v>
      </c>
      <c r="BF182" s="19">
        <f>F182*G182</f>
        <v>36628.2</v>
      </c>
    </row>
    <row r="183" spans="1:16" ht="12.75">
      <c r="A183" s="47"/>
      <c r="B183" s="47"/>
      <c r="C183" s="47"/>
      <c r="D183" s="48" t="s">
        <v>452</v>
      </c>
      <c r="E183" s="47"/>
      <c r="F183" s="49">
        <v>9.639</v>
      </c>
      <c r="G183" s="47"/>
      <c r="H183" s="70"/>
      <c r="I183" s="56"/>
      <c r="J183" s="56"/>
      <c r="L183" s="49"/>
      <c r="M183" s="47"/>
      <c r="N183" s="70"/>
      <c r="O183" s="56"/>
      <c r="P183" s="56"/>
    </row>
    <row r="184" spans="1:58" ht="12.75">
      <c r="A184" s="41" t="s">
        <v>72</v>
      </c>
      <c r="B184" s="41" t="s">
        <v>157</v>
      </c>
      <c r="C184" s="41" t="s">
        <v>224</v>
      </c>
      <c r="D184" s="41" t="s">
        <v>453</v>
      </c>
      <c r="E184" s="41" t="s">
        <v>631</v>
      </c>
      <c r="F184" s="44">
        <v>18.9</v>
      </c>
      <c r="G184" s="45">
        <v>117</v>
      </c>
      <c r="H184" s="69">
        <f>F184*G184</f>
        <v>2211.2999999999997</v>
      </c>
      <c r="I184" s="55">
        <v>0</v>
      </c>
      <c r="J184" s="55">
        <f>F184*I184</f>
        <v>0</v>
      </c>
      <c r="L184" s="101">
        <v>0</v>
      </c>
      <c r="M184" s="45">
        <v>117</v>
      </c>
      <c r="N184" s="69">
        <f>L184*M184</f>
        <v>0</v>
      </c>
      <c r="O184" s="55">
        <v>0</v>
      </c>
      <c r="P184" s="55">
        <f>L184*O184</f>
        <v>0</v>
      </c>
      <c r="V184" s="31">
        <f>IF(AM184="5",BF184,0)</f>
        <v>0</v>
      </c>
      <c r="X184" s="31">
        <f>IF(AM184="1",BD184,0)</f>
        <v>1448.8407928690049</v>
      </c>
      <c r="Y184" s="31">
        <f>IF(AM184="1",BE184,0)</f>
        <v>762.4592071309949</v>
      </c>
      <c r="Z184" s="31">
        <f>IF(AM184="7",BD184,0)</f>
        <v>0</v>
      </c>
      <c r="AA184" s="31">
        <f>IF(AM184="7",BE184,0)</f>
        <v>0</v>
      </c>
      <c r="AB184" s="31">
        <f>IF(AM184="2",BD184,0)</f>
        <v>0</v>
      </c>
      <c r="AC184" s="31">
        <f>IF(AM184="2",BE184,0)</f>
        <v>0</v>
      </c>
      <c r="AD184" s="31">
        <f>IF(AM184="0",BF184,0)</f>
        <v>0</v>
      </c>
      <c r="AE184" s="26" t="s">
        <v>157</v>
      </c>
      <c r="AF184" s="19">
        <f>IF(AJ184=0,H184,0)</f>
        <v>0</v>
      </c>
      <c r="AG184" s="19">
        <f>IF(AJ184=15,H184,0)</f>
        <v>0</v>
      </c>
      <c r="AH184" s="19">
        <f>IF(AJ184=21,H184,0)</f>
        <v>2211.2999999999997</v>
      </c>
      <c r="AJ184" s="31">
        <v>21</v>
      </c>
      <c r="AK184" s="31">
        <f>G184*0.655198658196086</f>
        <v>76.65824300894207</v>
      </c>
      <c r="AL184" s="31">
        <f>G184*(1-0.655198658196086)</f>
        <v>40.341756991057935</v>
      </c>
      <c r="AM184" s="27" t="s">
        <v>7</v>
      </c>
      <c r="AR184" s="31">
        <f>AS184+AT184</f>
        <v>2211.2999999999997</v>
      </c>
      <c r="AS184" s="31">
        <f>F184*AK184</f>
        <v>1448.8407928690049</v>
      </c>
      <c r="AT184" s="31">
        <f>F184*AL184</f>
        <v>762.4592071309949</v>
      </c>
      <c r="AU184" s="32" t="s">
        <v>670</v>
      </c>
      <c r="AV184" s="32" t="s">
        <v>688</v>
      </c>
      <c r="AW184" s="26" t="s">
        <v>698</v>
      </c>
      <c r="AY184" s="31">
        <f>AS184+AT184</f>
        <v>2211.2999999999997</v>
      </c>
      <c r="AZ184" s="31">
        <f>G184/(100-BA184)*100</f>
        <v>117</v>
      </c>
      <c r="BA184" s="31">
        <v>0</v>
      </c>
      <c r="BB184" s="31">
        <f>J184</f>
        <v>0</v>
      </c>
      <c r="BD184" s="19">
        <f>F184*AK184</f>
        <v>1448.8407928690049</v>
      </c>
      <c r="BE184" s="19">
        <f>F184*AL184</f>
        <v>762.4592071309949</v>
      </c>
      <c r="BF184" s="19">
        <f>F184*G184</f>
        <v>2211.2999999999997</v>
      </c>
    </row>
    <row r="185" spans="1:16" ht="12.75">
      <c r="A185" s="47"/>
      <c r="B185" s="47"/>
      <c r="C185" s="47"/>
      <c r="D185" s="48" t="s">
        <v>454</v>
      </c>
      <c r="E185" s="47"/>
      <c r="F185" s="49">
        <v>18.9</v>
      </c>
      <c r="G185" s="47"/>
      <c r="H185" s="70"/>
      <c r="I185" s="56"/>
      <c r="J185" s="56"/>
      <c r="L185" s="49"/>
      <c r="M185" s="47"/>
      <c r="N185" s="70"/>
      <c r="O185" s="56"/>
      <c r="P185" s="56"/>
    </row>
    <row r="186" spans="1:58" ht="12.75">
      <c r="A186" s="41" t="s">
        <v>73</v>
      </c>
      <c r="B186" s="41" t="s">
        <v>157</v>
      </c>
      <c r="C186" s="41" t="s">
        <v>225</v>
      </c>
      <c r="D186" s="41" t="s">
        <v>455</v>
      </c>
      <c r="E186" s="41" t="s">
        <v>629</v>
      </c>
      <c r="F186" s="44">
        <v>10.971</v>
      </c>
      <c r="G186" s="45">
        <v>469</v>
      </c>
      <c r="H186" s="69">
        <f>F186*G186</f>
        <v>5145.399</v>
      </c>
      <c r="I186" s="55">
        <v>0</v>
      </c>
      <c r="J186" s="55">
        <f>F186*I186</f>
        <v>0</v>
      </c>
      <c r="L186" s="105">
        <v>10.971</v>
      </c>
      <c r="M186" s="45">
        <v>469</v>
      </c>
      <c r="N186" s="69">
        <f>L186*M186</f>
        <v>5145.399</v>
      </c>
      <c r="O186" s="55">
        <v>0</v>
      </c>
      <c r="P186" s="55">
        <f>L186*O186</f>
        <v>0</v>
      </c>
      <c r="V186" s="31">
        <f>IF(AM186="5",BF186,0)</f>
        <v>0</v>
      </c>
      <c r="X186" s="31">
        <f>IF(AM186="1",BD186,0)</f>
        <v>0</v>
      </c>
      <c r="Y186" s="31">
        <f>IF(AM186="1",BE186,0)</f>
        <v>5145.399</v>
      </c>
      <c r="Z186" s="31">
        <f>IF(AM186="7",BD186,0)</f>
        <v>0</v>
      </c>
      <c r="AA186" s="31">
        <f>IF(AM186="7",BE186,0)</f>
        <v>0</v>
      </c>
      <c r="AB186" s="31">
        <f>IF(AM186="2",BD186,0)</f>
        <v>0</v>
      </c>
      <c r="AC186" s="31">
        <f>IF(AM186="2",BE186,0)</f>
        <v>0</v>
      </c>
      <c r="AD186" s="31">
        <f>IF(AM186="0",BF186,0)</f>
        <v>0</v>
      </c>
      <c r="AE186" s="26" t="s">
        <v>157</v>
      </c>
      <c r="AF186" s="19">
        <f>IF(AJ186=0,H186,0)</f>
        <v>0</v>
      </c>
      <c r="AG186" s="19">
        <f>IF(AJ186=15,H186,0)</f>
        <v>0</v>
      </c>
      <c r="AH186" s="19">
        <f>IF(AJ186=21,H186,0)</f>
        <v>5145.399</v>
      </c>
      <c r="AJ186" s="31">
        <v>21</v>
      </c>
      <c r="AK186" s="31">
        <f>G186*0</f>
        <v>0</v>
      </c>
      <c r="AL186" s="31">
        <f>G186*(1-0)</f>
        <v>469</v>
      </c>
      <c r="AM186" s="27" t="s">
        <v>7</v>
      </c>
      <c r="AR186" s="31">
        <f>AS186+AT186</f>
        <v>5145.399</v>
      </c>
      <c r="AS186" s="31">
        <f>F186*AK186</f>
        <v>0</v>
      </c>
      <c r="AT186" s="31">
        <f>F186*AL186</f>
        <v>5145.399</v>
      </c>
      <c r="AU186" s="32" t="s">
        <v>670</v>
      </c>
      <c r="AV186" s="32" t="s">
        <v>688</v>
      </c>
      <c r="AW186" s="26" t="s">
        <v>698</v>
      </c>
      <c r="AY186" s="31">
        <f>AS186+AT186</f>
        <v>5145.399</v>
      </c>
      <c r="AZ186" s="31">
        <f>G186/(100-BA186)*100</f>
        <v>469.00000000000006</v>
      </c>
      <c r="BA186" s="31">
        <v>0</v>
      </c>
      <c r="BB186" s="31">
        <f>J186</f>
        <v>0</v>
      </c>
      <c r="BD186" s="19">
        <f>F186*AK186</f>
        <v>0</v>
      </c>
      <c r="BE186" s="19">
        <f>F186*AL186</f>
        <v>5145.399</v>
      </c>
      <c r="BF186" s="19">
        <f>F186*G186</f>
        <v>5145.399</v>
      </c>
    </row>
    <row r="187" spans="1:16" ht="12.75">
      <c r="A187" s="47"/>
      <c r="B187" s="47"/>
      <c r="C187" s="47"/>
      <c r="D187" s="48" t="s">
        <v>450</v>
      </c>
      <c r="E187" s="47"/>
      <c r="F187" s="49">
        <v>10.971</v>
      </c>
      <c r="G187" s="47"/>
      <c r="H187" s="70"/>
      <c r="I187" s="56"/>
      <c r="J187" s="56"/>
      <c r="L187" s="49"/>
      <c r="M187" s="47"/>
      <c r="N187" s="70"/>
      <c r="O187" s="56"/>
      <c r="P187" s="56"/>
    </row>
    <row r="188" spans="1:58" ht="12.75">
      <c r="A188" s="41" t="s">
        <v>74</v>
      </c>
      <c r="B188" s="41" t="s">
        <v>157</v>
      </c>
      <c r="C188" s="41" t="s">
        <v>226</v>
      </c>
      <c r="D188" s="41" t="s">
        <v>456</v>
      </c>
      <c r="E188" s="41" t="s">
        <v>629</v>
      </c>
      <c r="F188" s="44">
        <v>9.639</v>
      </c>
      <c r="G188" s="45">
        <v>533</v>
      </c>
      <c r="H188" s="69">
        <f>F188*G188</f>
        <v>5137.5869999999995</v>
      </c>
      <c r="I188" s="55">
        <v>0.02</v>
      </c>
      <c r="J188" s="55">
        <f>F188*I188</f>
        <v>0.19277999999999998</v>
      </c>
      <c r="L188" s="101">
        <v>0</v>
      </c>
      <c r="M188" s="45">
        <v>533</v>
      </c>
      <c r="N188" s="69">
        <f>L188*M188</f>
        <v>0</v>
      </c>
      <c r="O188" s="55">
        <v>0.02</v>
      </c>
      <c r="P188" s="55">
        <f>L188*O188</f>
        <v>0</v>
      </c>
      <c r="V188" s="31">
        <f>IF(AM188="5",BF188,0)</f>
        <v>0</v>
      </c>
      <c r="X188" s="31">
        <f>IF(AM188="1",BD188,0)</f>
        <v>463.7469330723278</v>
      </c>
      <c r="Y188" s="31">
        <f>IF(AM188="1",BE188,0)</f>
        <v>4673.840066927672</v>
      </c>
      <c r="Z188" s="31">
        <f>IF(AM188="7",BD188,0)</f>
        <v>0</v>
      </c>
      <c r="AA188" s="31">
        <f>IF(AM188="7",BE188,0)</f>
        <v>0</v>
      </c>
      <c r="AB188" s="31">
        <f>IF(AM188="2",BD188,0)</f>
        <v>0</v>
      </c>
      <c r="AC188" s="31">
        <f>IF(AM188="2",BE188,0)</f>
        <v>0</v>
      </c>
      <c r="AD188" s="31">
        <f>IF(AM188="0",BF188,0)</f>
        <v>0</v>
      </c>
      <c r="AE188" s="26" t="s">
        <v>157</v>
      </c>
      <c r="AF188" s="19">
        <f>IF(AJ188=0,H188,0)</f>
        <v>0</v>
      </c>
      <c r="AG188" s="19">
        <f>IF(AJ188=15,H188,0)</f>
        <v>0</v>
      </c>
      <c r="AH188" s="19">
        <f>IF(AJ188=21,H188,0)</f>
        <v>5137.5869999999995</v>
      </c>
      <c r="AJ188" s="31">
        <v>21</v>
      </c>
      <c r="AK188" s="31">
        <f>G188*0.0902655143498938</f>
        <v>48.11151914849339</v>
      </c>
      <c r="AL188" s="31">
        <f>G188*(1-0.0902655143498938)</f>
        <v>484.8884808515066</v>
      </c>
      <c r="AM188" s="27" t="s">
        <v>7</v>
      </c>
      <c r="AR188" s="31">
        <f>AS188+AT188</f>
        <v>5137.5869999999995</v>
      </c>
      <c r="AS188" s="31">
        <f>F188*AK188</f>
        <v>463.7469330723278</v>
      </c>
      <c r="AT188" s="31">
        <f>F188*AL188</f>
        <v>4673.840066927672</v>
      </c>
      <c r="AU188" s="32" t="s">
        <v>670</v>
      </c>
      <c r="AV188" s="32" t="s">
        <v>688</v>
      </c>
      <c r="AW188" s="26" t="s">
        <v>698</v>
      </c>
      <c r="AY188" s="31">
        <f>AS188+AT188</f>
        <v>5137.5869999999995</v>
      </c>
      <c r="AZ188" s="31">
        <f>G188/(100-BA188)*100</f>
        <v>533</v>
      </c>
      <c r="BA188" s="31">
        <v>0</v>
      </c>
      <c r="BB188" s="31">
        <f>J188</f>
        <v>0.19277999999999998</v>
      </c>
      <c r="BD188" s="19">
        <f>F188*AK188</f>
        <v>463.7469330723278</v>
      </c>
      <c r="BE188" s="19">
        <f>F188*AL188</f>
        <v>4673.840066927672</v>
      </c>
      <c r="BF188" s="19">
        <f>F188*G188</f>
        <v>5137.5869999999995</v>
      </c>
    </row>
    <row r="189" spans="1:16" ht="12.75">
      <c r="A189" s="47"/>
      <c r="B189" s="47"/>
      <c r="C189" s="47"/>
      <c r="D189" s="48" t="s">
        <v>452</v>
      </c>
      <c r="E189" s="47"/>
      <c r="F189" s="49">
        <v>9.639</v>
      </c>
      <c r="G189" s="47"/>
      <c r="H189" s="70"/>
      <c r="I189" s="56"/>
      <c r="J189" s="56"/>
      <c r="L189" s="49"/>
      <c r="M189" s="47"/>
      <c r="N189" s="70"/>
      <c r="O189" s="56"/>
      <c r="P189" s="56"/>
    </row>
    <row r="190" spans="1:58" ht="12.75">
      <c r="A190" s="41" t="s">
        <v>75</v>
      </c>
      <c r="B190" s="41" t="s">
        <v>157</v>
      </c>
      <c r="C190" s="41" t="s">
        <v>227</v>
      </c>
      <c r="D190" s="41" t="s">
        <v>457</v>
      </c>
      <c r="E190" s="41" t="s">
        <v>629</v>
      </c>
      <c r="F190" s="44">
        <v>20.61</v>
      </c>
      <c r="G190" s="45">
        <v>142</v>
      </c>
      <c r="H190" s="69">
        <f>F190*G190</f>
        <v>2926.62</v>
      </c>
      <c r="I190" s="55">
        <v>0</v>
      </c>
      <c r="J190" s="55">
        <f>F190*I190</f>
        <v>0</v>
      </c>
      <c r="L190" s="101">
        <v>10.971</v>
      </c>
      <c r="M190" s="45">
        <v>142</v>
      </c>
      <c r="N190" s="69">
        <f>L190*M190</f>
        <v>1557.882</v>
      </c>
      <c r="O190" s="55">
        <v>0</v>
      </c>
      <c r="P190" s="55">
        <f>L190*O190</f>
        <v>0</v>
      </c>
      <c r="V190" s="31">
        <f>IF(AM190="5",BF190,0)</f>
        <v>0</v>
      </c>
      <c r="X190" s="31">
        <f>IF(AM190="1",BD190,0)</f>
        <v>0</v>
      </c>
      <c r="Y190" s="31">
        <f>IF(AM190="1",BE190,0)</f>
        <v>2926.62</v>
      </c>
      <c r="Z190" s="31">
        <f>IF(AM190="7",BD190,0)</f>
        <v>0</v>
      </c>
      <c r="AA190" s="31">
        <f>IF(AM190="7",BE190,0)</f>
        <v>0</v>
      </c>
      <c r="AB190" s="31">
        <f>IF(AM190="2",BD190,0)</f>
        <v>0</v>
      </c>
      <c r="AC190" s="31">
        <f>IF(AM190="2",BE190,0)</f>
        <v>0</v>
      </c>
      <c r="AD190" s="31">
        <f>IF(AM190="0",BF190,0)</f>
        <v>0</v>
      </c>
      <c r="AE190" s="26" t="s">
        <v>157</v>
      </c>
      <c r="AF190" s="19">
        <f>IF(AJ190=0,H190,0)</f>
        <v>0</v>
      </c>
      <c r="AG190" s="19">
        <f>IF(AJ190=15,H190,0)</f>
        <v>0</v>
      </c>
      <c r="AH190" s="19">
        <f>IF(AJ190=21,H190,0)</f>
        <v>2926.62</v>
      </c>
      <c r="AJ190" s="31">
        <v>21</v>
      </c>
      <c r="AK190" s="31">
        <f>G190*0</f>
        <v>0</v>
      </c>
      <c r="AL190" s="31">
        <f>G190*(1-0)</f>
        <v>142</v>
      </c>
      <c r="AM190" s="27" t="s">
        <v>7</v>
      </c>
      <c r="AR190" s="31">
        <f>AS190+AT190</f>
        <v>2926.62</v>
      </c>
      <c r="AS190" s="31">
        <f>F190*AK190</f>
        <v>0</v>
      </c>
      <c r="AT190" s="31">
        <f>F190*AL190</f>
        <v>2926.62</v>
      </c>
      <c r="AU190" s="32" t="s">
        <v>670</v>
      </c>
      <c r="AV190" s="32" t="s">
        <v>688</v>
      </c>
      <c r="AW190" s="26" t="s">
        <v>698</v>
      </c>
      <c r="AY190" s="31">
        <f>AS190+AT190</f>
        <v>2926.62</v>
      </c>
      <c r="AZ190" s="31">
        <f>G190/(100-BA190)*100</f>
        <v>142</v>
      </c>
      <c r="BA190" s="31">
        <v>0</v>
      </c>
      <c r="BB190" s="31">
        <f>J190</f>
        <v>0</v>
      </c>
      <c r="BD190" s="19">
        <f>F190*AK190</f>
        <v>0</v>
      </c>
      <c r="BE190" s="19">
        <f>F190*AL190</f>
        <v>2926.62</v>
      </c>
      <c r="BF190" s="19">
        <f>F190*G190</f>
        <v>2926.62</v>
      </c>
    </row>
    <row r="191" spans="1:16" ht="12.75">
      <c r="A191" s="47"/>
      <c r="B191" s="47"/>
      <c r="C191" s="47"/>
      <c r="D191" s="48" t="s">
        <v>450</v>
      </c>
      <c r="E191" s="47"/>
      <c r="F191" s="49">
        <v>10.971</v>
      </c>
      <c r="G191" s="47"/>
      <c r="H191" s="70"/>
      <c r="I191" s="56"/>
      <c r="J191" s="56"/>
      <c r="L191" s="49"/>
      <c r="M191" s="47"/>
      <c r="N191" s="70"/>
      <c r="O191" s="56"/>
      <c r="P191" s="56"/>
    </row>
    <row r="192" spans="1:16" ht="12.75">
      <c r="A192" s="47"/>
      <c r="B192" s="47"/>
      <c r="C192" s="47"/>
      <c r="D192" s="48" t="s">
        <v>452</v>
      </c>
      <c r="E192" s="47"/>
      <c r="F192" s="49">
        <v>9.639</v>
      </c>
      <c r="G192" s="47"/>
      <c r="H192" s="70"/>
      <c r="I192" s="56"/>
      <c r="J192" s="56"/>
      <c r="L192" s="49"/>
      <c r="M192" s="47"/>
      <c r="N192" s="70"/>
      <c r="O192" s="56"/>
      <c r="P192" s="56"/>
    </row>
    <row r="193" spans="1:16" ht="12.75">
      <c r="A193" s="99" t="s">
        <v>734</v>
      </c>
      <c r="B193" s="47"/>
      <c r="C193" s="47"/>
      <c r="D193" s="100" t="s">
        <v>735</v>
      </c>
      <c r="E193" s="103" t="s">
        <v>630</v>
      </c>
      <c r="F193" s="44"/>
      <c r="G193" s="45"/>
      <c r="H193" s="69"/>
      <c r="I193" s="55"/>
      <c r="J193" s="55"/>
      <c r="L193" s="102">
        <v>96.39</v>
      </c>
      <c r="M193" s="69">
        <v>890</v>
      </c>
      <c r="N193" s="69">
        <f>L193*M193</f>
        <v>85787.1</v>
      </c>
      <c r="O193" s="55">
        <v>0.25</v>
      </c>
      <c r="P193" s="55">
        <f>L193*O193</f>
        <v>24.0975</v>
      </c>
    </row>
    <row r="194" spans="1:58" ht="12.75">
      <c r="A194" s="41" t="s">
        <v>76</v>
      </c>
      <c r="B194" s="41" t="s">
        <v>157</v>
      </c>
      <c r="C194" s="41" t="s">
        <v>228</v>
      </c>
      <c r="D194" s="106" t="s">
        <v>458</v>
      </c>
      <c r="E194" s="41" t="s">
        <v>632</v>
      </c>
      <c r="F194" s="44">
        <v>1.043</v>
      </c>
      <c r="G194" s="45">
        <v>31000</v>
      </c>
      <c r="H194" s="69">
        <f>F194*G194</f>
        <v>32332.999999999996</v>
      </c>
      <c r="I194" s="55">
        <v>1.06625</v>
      </c>
      <c r="J194" s="55">
        <f>F194*I194</f>
        <v>1.11209875</v>
      </c>
      <c r="L194" s="44">
        <v>1.043</v>
      </c>
      <c r="M194" s="45">
        <v>31000</v>
      </c>
      <c r="N194" s="69">
        <f>L194*M194</f>
        <v>32332.999999999996</v>
      </c>
      <c r="O194" s="55">
        <v>1.06625</v>
      </c>
      <c r="P194" s="55">
        <f>L194*O194</f>
        <v>1.11209875</v>
      </c>
      <c r="V194" s="31">
        <f>IF(AM194="5",BF194,0)</f>
        <v>0</v>
      </c>
      <c r="X194" s="31">
        <f>IF(AM194="1",BD194,0)</f>
        <v>26140.483025217607</v>
      </c>
      <c r="Y194" s="31">
        <f>IF(AM194="1",BE194,0)</f>
        <v>6192.51697478239</v>
      </c>
      <c r="Z194" s="31">
        <f>IF(AM194="7",BD194,0)</f>
        <v>0</v>
      </c>
      <c r="AA194" s="31">
        <f>IF(AM194="7",BE194,0)</f>
        <v>0</v>
      </c>
      <c r="AB194" s="31">
        <f>IF(AM194="2",BD194,0)</f>
        <v>0</v>
      </c>
      <c r="AC194" s="31">
        <f>IF(AM194="2",BE194,0)</f>
        <v>0</v>
      </c>
      <c r="AD194" s="31">
        <f>IF(AM194="0",BF194,0)</f>
        <v>0</v>
      </c>
      <c r="AE194" s="26" t="s">
        <v>157</v>
      </c>
      <c r="AF194" s="19">
        <f>IF(AJ194=0,H194,0)</f>
        <v>0</v>
      </c>
      <c r="AG194" s="19">
        <f>IF(AJ194=15,H194,0)</f>
        <v>0</v>
      </c>
      <c r="AH194" s="19">
        <f>IF(AJ194=21,H194,0)</f>
        <v>32332.999999999996</v>
      </c>
      <c r="AJ194" s="31">
        <v>21</v>
      </c>
      <c r="AK194" s="31">
        <f>G194*0.808476881984895</f>
        <v>25062.783341531744</v>
      </c>
      <c r="AL194" s="31">
        <f>G194*(1-0.808476881984895)</f>
        <v>5937.216658468255</v>
      </c>
      <c r="AM194" s="27" t="s">
        <v>7</v>
      </c>
      <c r="AR194" s="31">
        <f>AS194+AT194</f>
        <v>32332.999999999996</v>
      </c>
      <c r="AS194" s="31">
        <f>F194*AK194</f>
        <v>26140.483025217607</v>
      </c>
      <c r="AT194" s="31">
        <f>F194*AL194</f>
        <v>6192.51697478239</v>
      </c>
      <c r="AU194" s="32" t="s">
        <v>670</v>
      </c>
      <c r="AV194" s="32" t="s">
        <v>688</v>
      </c>
      <c r="AW194" s="26" t="s">
        <v>698</v>
      </c>
      <c r="AY194" s="31">
        <f>AS194+AT194</f>
        <v>32332.999999999996</v>
      </c>
      <c r="AZ194" s="31">
        <f>G194/(100-BA194)*100</f>
        <v>31000</v>
      </c>
      <c r="BA194" s="31">
        <v>0</v>
      </c>
      <c r="BB194" s="31">
        <f>J194</f>
        <v>1.11209875</v>
      </c>
      <c r="BD194" s="19">
        <f>F194*AK194</f>
        <v>26140.483025217607</v>
      </c>
      <c r="BE194" s="19">
        <f>F194*AL194</f>
        <v>6192.51697478239</v>
      </c>
      <c r="BF194" s="19">
        <f>F194*G194</f>
        <v>32332.999999999996</v>
      </c>
    </row>
    <row r="195" spans="1:16" ht="12.75">
      <c r="A195" s="47"/>
      <c r="B195" s="47"/>
      <c r="C195" s="47"/>
      <c r="D195" s="107" t="s">
        <v>459</v>
      </c>
      <c r="E195" s="47"/>
      <c r="F195" s="49">
        <v>0.555</v>
      </c>
      <c r="G195" s="47"/>
      <c r="H195" s="70"/>
      <c r="I195" s="56"/>
      <c r="J195" s="56"/>
      <c r="L195" s="49">
        <v>0.555</v>
      </c>
      <c r="M195" s="47"/>
      <c r="N195" s="70"/>
      <c r="O195" s="56"/>
      <c r="P195" s="56"/>
    </row>
    <row r="196" spans="1:16" ht="12.75">
      <c r="A196" s="47"/>
      <c r="B196" s="47"/>
      <c r="C196" s="47"/>
      <c r="D196" s="107" t="s">
        <v>460</v>
      </c>
      <c r="E196" s="47"/>
      <c r="F196" s="49">
        <v>0.488</v>
      </c>
      <c r="G196" s="47"/>
      <c r="H196" s="70"/>
      <c r="I196" s="56"/>
      <c r="J196" s="56"/>
      <c r="L196" s="49">
        <v>0.488</v>
      </c>
      <c r="M196" s="47"/>
      <c r="N196" s="70"/>
      <c r="O196" s="56"/>
      <c r="P196" s="56"/>
    </row>
    <row r="197" spans="1:58" ht="12.75">
      <c r="A197" s="41" t="s">
        <v>77</v>
      </c>
      <c r="B197" s="41" t="s">
        <v>157</v>
      </c>
      <c r="C197" s="41" t="s">
        <v>229</v>
      </c>
      <c r="D197" s="106" t="s">
        <v>461</v>
      </c>
      <c r="E197" s="41" t="s">
        <v>630</v>
      </c>
      <c r="F197" s="44">
        <v>13.68</v>
      </c>
      <c r="G197" s="45">
        <v>298</v>
      </c>
      <c r="H197" s="69">
        <f>F197*G197</f>
        <v>4076.64</v>
      </c>
      <c r="I197" s="55">
        <v>0.0141</v>
      </c>
      <c r="J197" s="55">
        <f>F197*I197</f>
        <v>0.192888</v>
      </c>
      <c r="L197" s="44">
        <v>13.68</v>
      </c>
      <c r="M197" s="45">
        <v>298</v>
      </c>
      <c r="N197" s="69">
        <f>L197*M197</f>
        <v>4076.64</v>
      </c>
      <c r="O197" s="55">
        <v>0.0141</v>
      </c>
      <c r="P197" s="55">
        <f>L197*O197</f>
        <v>0.192888</v>
      </c>
      <c r="V197" s="31">
        <f>IF(AM197="5",BF197,0)</f>
        <v>0</v>
      </c>
      <c r="X197" s="31">
        <f>IF(AM197="1",BD197,0)</f>
        <v>1742.6345924050643</v>
      </c>
      <c r="Y197" s="31">
        <f>IF(AM197="1",BE197,0)</f>
        <v>2334.0054075949356</v>
      </c>
      <c r="Z197" s="31">
        <f>IF(AM197="7",BD197,0)</f>
        <v>0</v>
      </c>
      <c r="AA197" s="31">
        <f>IF(AM197="7",BE197,0)</f>
        <v>0</v>
      </c>
      <c r="AB197" s="31">
        <f>IF(AM197="2",BD197,0)</f>
        <v>0</v>
      </c>
      <c r="AC197" s="31">
        <f>IF(AM197="2",BE197,0)</f>
        <v>0</v>
      </c>
      <c r="AD197" s="31">
        <f>IF(AM197="0",BF197,0)</f>
        <v>0</v>
      </c>
      <c r="AE197" s="26" t="s">
        <v>157</v>
      </c>
      <c r="AF197" s="19">
        <f>IF(AJ197=0,H197,0)</f>
        <v>0</v>
      </c>
      <c r="AG197" s="19">
        <f>IF(AJ197=15,H197,0)</f>
        <v>0</v>
      </c>
      <c r="AH197" s="19">
        <f>IF(AJ197=21,H197,0)</f>
        <v>4076.64</v>
      </c>
      <c r="AJ197" s="31">
        <v>21</v>
      </c>
      <c r="AK197" s="31">
        <f>G197*0.42746835443038</f>
        <v>127.38556962025324</v>
      </c>
      <c r="AL197" s="31">
        <f>G197*(1-0.42746835443038)</f>
        <v>170.61443037974675</v>
      </c>
      <c r="AM197" s="27" t="s">
        <v>7</v>
      </c>
      <c r="AR197" s="31">
        <f>AS197+AT197</f>
        <v>4076.64</v>
      </c>
      <c r="AS197" s="31">
        <f>F197*AK197</f>
        <v>1742.6345924050643</v>
      </c>
      <c r="AT197" s="31">
        <f>F197*AL197</f>
        <v>2334.0054075949356</v>
      </c>
      <c r="AU197" s="32" t="s">
        <v>670</v>
      </c>
      <c r="AV197" s="32" t="s">
        <v>688</v>
      </c>
      <c r="AW197" s="26" t="s">
        <v>698</v>
      </c>
      <c r="AY197" s="31">
        <f>AS197+AT197</f>
        <v>4076.64</v>
      </c>
      <c r="AZ197" s="31">
        <f>G197/(100-BA197)*100</f>
        <v>298</v>
      </c>
      <c r="BA197" s="31">
        <v>0</v>
      </c>
      <c r="BB197" s="31">
        <f>J197</f>
        <v>0.192888</v>
      </c>
      <c r="BD197" s="19">
        <f>F197*AK197</f>
        <v>1742.6345924050643</v>
      </c>
      <c r="BE197" s="19">
        <f>F197*AL197</f>
        <v>2334.0054075949356</v>
      </c>
      <c r="BF197" s="19">
        <f>F197*G197</f>
        <v>4076.64</v>
      </c>
    </row>
    <row r="198" spans="1:16" ht="12.75">
      <c r="A198" s="47"/>
      <c r="B198" s="47"/>
      <c r="C198" s="47"/>
      <c r="D198" s="107" t="s">
        <v>462</v>
      </c>
      <c r="E198" s="47"/>
      <c r="F198" s="49">
        <v>13.68</v>
      </c>
      <c r="G198" s="47"/>
      <c r="H198" s="70"/>
      <c r="I198" s="56"/>
      <c r="J198" s="56"/>
      <c r="L198" s="49">
        <v>13.68</v>
      </c>
      <c r="M198" s="47"/>
      <c r="N198" s="70"/>
      <c r="O198" s="56"/>
      <c r="P198" s="56"/>
    </row>
    <row r="199" spans="1:58" ht="12.75">
      <c r="A199" s="41" t="s">
        <v>78</v>
      </c>
      <c r="B199" s="41" t="s">
        <v>157</v>
      </c>
      <c r="C199" s="41" t="s">
        <v>230</v>
      </c>
      <c r="D199" s="106" t="s">
        <v>463</v>
      </c>
      <c r="E199" s="41" t="s">
        <v>630</v>
      </c>
      <c r="F199" s="44">
        <v>13.68</v>
      </c>
      <c r="G199" s="45">
        <v>75</v>
      </c>
      <c r="H199" s="69">
        <f>F199*G199</f>
        <v>1026</v>
      </c>
      <c r="I199" s="55">
        <v>0</v>
      </c>
      <c r="J199" s="55">
        <f>F199*I199</f>
        <v>0</v>
      </c>
      <c r="L199" s="44">
        <v>13.68</v>
      </c>
      <c r="M199" s="45">
        <v>75</v>
      </c>
      <c r="N199" s="69">
        <f>L199*M199</f>
        <v>1026</v>
      </c>
      <c r="O199" s="55">
        <v>0</v>
      </c>
      <c r="P199" s="55">
        <f>L199*O199</f>
        <v>0</v>
      </c>
      <c r="V199" s="31">
        <f>IF(AM199="5",BF199,0)</f>
        <v>0</v>
      </c>
      <c r="X199" s="31">
        <f>IF(AM199="1",BD199,0)</f>
        <v>0</v>
      </c>
      <c r="Y199" s="31">
        <f>IF(AM199="1",BE199,0)</f>
        <v>1026</v>
      </c>
      <c r="Z199" s="31">
        <f>IF(AM199="7",BD199,0)</f>
        <v>0</v>
      </c>
      <c r="AA199" s="31">
        <f>IF(AM199="7",BE199,0)</f>
        <v>0</v>
      </c>
      <c r="AB199" s="31">
        <f>IF(AM199="2",BD199,0)</f>
        <v>0</v>
      </c>
      <c r="AC199" s="31">
        <f>IF(AM199="2",BE199,0)</f>
        <v>0</v>
      </c>
      <c r="AD199" s="31">
        <f>IF(AM199="0",BF199,0)</f>
        <v>0</v>
      </c>
      <c r="AE199" s="26" t="s">
        <v>157</v>
      </c>
      <c r="AF199" s="19">
        <f>IF(AJ199=0,H199,0)</f>
        <v>0</v>
      </c>
      <c r="AG199" s="19">
        <f>IF(AJ199=15,H199,0)</f>
        <v>0</v>
      </c>
      <c r="AH199" s="19">
        <f>IF(AJ199=21,H199,0)</f>
        <v>1026</v>
      </c>
      <c r="AJ199" s="31">
        <v>21</v>
      </c>
      <c r="AK199" s="31">
        <f>G199*0</f>
        <v>0</v>
      </c>
      <c r="AL199" s="31">
        <f>G199*(1-0)</f>
        <v>75</v>
      </c>
      <c r="AM199" s="27" t="s">
        <v>7</v>
      </c>
      <c r="AR199" s="31">
        <f>AS199+AT199</f>
        <v>1026</v>
      </c>
      <c r="AS199" s="31">
        <f>F199*AK199</f>
        <v>0</v>
      </c>
      <c r="AT199" s="31">
        <f>F199*AL199</f>
        <v>1026</v>
      </c>
      <c r="AU199" s="32" t="s">
        <v>670</v>
      </c>
      <c r="AV199" s="32" t="s">
        <v>688</v>
      </c>
      <c r="AW199" s="26" t="s">
        <v>698</v>
      </c>
      <c r="AY199" s="31">
        <f>AS199+AT199</f>
        <v>1026</v>
      </c>
      <c r="AZ199" s="31">
        <f>G199/(100-BA199)*100</f>
        <v>75</v>
      </c>
      <c r="BA199" s="31">
        <v>0</v>
      </c>
      <c r="BB199" s="31">
        <f>J199</f>
        <v>0</v>
      </c>
      <c r="BD199" s="19">
        <f>F199*AK199</f>
        <v>0</v>
      </c>
      <c r="BE199" s="19">
        <f>F199*AL199</f>
        <v>1026</v>
      </c>
      <c r="BF199" s="19">
        <f>F199*G199</f>
        <v>1026</v>
      </c>
    </row>
    <row r="200" spans="1:16" ht="12.75">
      <c r="A200" s="47"/>
      <c r="B200" s="47"/>
      <c r="C200" s="47"/>
      <c r="D200" s="107" t="s">
        <v>462</v>
      </c>
      <c r="E200" s="47"/>
      <c r="F200" s="49">
        <v>13.68</v>
      </c>
      <c r="G200" s="47"/>
      <c r="H200" s="70"/>
      <c r="I200" s="56"/>
      <c r="J200" s="56"/>
      <c r="L200" s="49">
        <v>13.68</v>
      </c>
      <c r="M200" s="47"/>
      <c r="N200" s="70"/>
      <c r="O200" s="56"/>
      <c r="P200" s="56"/>
    </row>
    <row r="201" spans="1:58" ht="12.75">
      <c r="A201" s="41" t="s">
        <v>79</v>
      </c>
      <c r="B201" s="41" t="s">
        <v>157</v>
      </c>
      <c r="C201" s="41" t="s">
        <v>231</v>
      </c>
      <c r="D201" s="106" t="s">
        <v>464</v>
      </c>
      <c r="E201" s="41" t="s">
        <v>630</v>
      </c>
      <c r="F201" s="44">
        <v>0.27</v>
      </c>
      <c r="G201" s="45">
        <v>287</v>
      </c>
      <c r="H201" s="69">
        <f>F201*G201</f>
        <v>77.49000000000001</v>
      </c>
      <c r="I201" s="55">
        <v>0.08265</v>
      </c>
      <c r="J201" s="55">
        <f>F201*I201</f>
        <v>0.022315500000000002</v>
      </c>
      <c r="L201" s="44">
        <v>0.27</v>
      </c>
      <c r="M201" s="45">
        <v>287</v>
      </c>
      <c r="N201" s="69">
        <f>L201*M201</f>
        <v>77.49000000000001</v>
      </c>
      <c r="O201" s="55">
        <v>0.08265</v>
      </c>
      <c r="P201" s="55">
        <f>L201*O201</f>
        <v>0.022315500000000002</v>
      </c>
      <c r="V201" s="31">
        <f>IF(AM201="5",BF201,0)</f>
        <v>0</v>
      </c>
      <c r="X201" s="31">
        <f>IF(AM201="1",BD201,0)</f>
        <v>10.227842270270257</v>
      </c>
      <c r="Y201" s="31">
        <f>IF(AM201="1",BE201,0)</f>
        <v>67.26215772972975</v>
      </c>
      <c r="Z201" s="31">
        <f>IF(AM201="7",BD201,0)</f>
        <v>0</v>
      </c>
      <c r="AA201" s="31">
        <f>IF(AM201="7",BE201,0)</f>
        <v>0</v>
      </c>
      <c r="AB201" s="31">
        <f>IF(AM201="2",BD201,0)</f>
        <v>0</v>
      </c>
      <c r="AC201" s="31">
        <f>IF(AM201="2",BE201,0)</f>
        <v>0</v>
      </c>
      <c r="AD201" s="31">
        <f>IF(AM201="0",BF201,0)</f>
        <v>0</v>
      </c>
      <c r="AE201" s="26" t="s">
        <v>157</v>
      </c>
      <c r="AF201" s="19">
        <f>IF(AJ201=0,H201,0)</f>
        <v>0</v>
      </c>
      <c r="AG201" s="19">
        <f>IF(AJ201=15,H201,0)</f>
        <v>0</v>
      </c>
      <c r="AH201" s="19">
        <f>IF(AJ201=21,H201,0)</f>
        <v>77.49000000000001</v>
      </c>
      <c r="AJ201" s="31">
        <v>21</v>
      </c>
      <c r="AK201" s="31">
        <f>G201*0.131989189189189</f>
        <v>37.880897297297246</v>
      </c>
      <c r="AL201" s="31">
        <f>G201*(1-0.131989189189189)</f>
        <v>249.11910270270275</v>
      </c>
      <c r="AM201" s="27" t="s">
        <v>7</v>
      </c>
      <c r="AR201" s="31">
        <f>AS201+AT201</f>
        <v>77.49000000000001</v>
      </c>
      <c r="AS201" s="31">
        <f>F201*AK201</f>
        <v>10.227842270270257</v>
      </c>
      <c r="AT201" s="31">
        <f>F201*AL201</f>
        <v>67.26215772972975</v>
      </c>
      <c r="AU201" s="32" t="s">
        <v>670</v>
      </c>
      <c r="AV201" s="32" t="s">
        <v>688</v>
      </c>
      <c r="AW201" s="26" t="s">
        <v>698</v>
      </c>
      <c r="AY201" s="31">
        <f>AS201+AT201</f>
        <v>77.49000000000001</v>
      </c>
      <c r="AZ201" s="31">
        <f>G201/(100-BA201)*100</f>
        <v>287</v>
      </c>
      <c r="BA201" s="31">
        <v>0</v>
      </c>
      <c r="BB201" s="31">
        <f>J201</f>
        <v>0.022315500000000002</v>
      </c>
      <c r="BD201" s="19">
        <f>F201*AK201</f>
        <v>10.227842270270257</v>
      </c>
      <c r="BE201" s="19">
        <f>F201*AL201</f>
        <v>67.26215772972975</v>
      </c>
      <c r="BF201" s="19">
        <f>F201*G201</f>
        <v>77.49000000000001</v>
      </c>
    </row>
    <row r="202" spans="1:16" ht="12.75">
      <c r="A202" s="47"/>
      <c r="B202" s="47"/>
      <c r="C202" s="47"/>
      <c r="D202" s="107" t="s">
        <v>465</v>
      </c>
      <c r="E202" s="47"/>
      <c r="F202" s="49">
        <v>0.27</v>
      </c>
      <c r="G202" s="47"/>
      <c r="H202" s="70"/>
      <c r="I202" s="56"/>
      <c r="J202" s="56"/>
      <c r="L202" s="49">
        <v>0.27</v>
      </c>
      <c r="M202" s="47"/>
      <c r="N202" s="70"/>
      <c r="O202" s="56"/>
      <c r="P202" s="56"/>
    </row>
    <row r="203" spans="1:58" ht="12.75">
      <c r="A203" s="41" t="s">
        <v>80</v>
      </c>
      <c r="B203" s="41" t="s">
        <v>157</v>
      </c>
      <c r="C203" s="41" t="s">
        <v>232</v>
      </c>
      <c r="D203" s="106" t="s">
        <v>466</v>
      </c>
      <c r="E203" s="41" t="s">
        <v>629</v>
      </c>
      <c r="F203" s="44">
        <v>20.242</v>
      </c>
      <c r="G203" s="45">
        <v>3920</v>
      </c>
      <c r="H203" s="69">
        <f>F203*G203</f>
        <v>79348.64</v>
      </c>
      <c r="I203" s="55">
        <v>0.42622</v>
      </c>
      <c r="J203" s="55">
        <f>F203*I203</f>
        <v>8.62754524</v>
      </c>
      <c r="L203" s="101">
        <v>0</v>
      </c>
      <c r="M203" s="45">
        <v>3920</v>
      </c>
      <c r="N203" s="69">
        <f>L203*M203</f>
        <v>0</v>
      </c>
      <c r="O203" s="55">
        <v>0.42622</v>
      </c>
      <c r="P203" s="55">
        <f>L203*O203</f>
        <v>0</v>
      </c>
      <c r="V203" s="31">
        <f>IF(AM203="5",BF203,0)</f>
        <v>0</v>
      </c>
      <c r="X203" s="31">
        <f>IF(AM203="1",BD203,0)</f>
        <v>49118.3333407751</v>
      </c>
      <c r="Y203" s="31">
        <f>IF(AM203="1",BE203,0)</f>
        <v>30230.306659224905</v>
      </c>
      <c r="Z203" s="31">
        <f>IF(AM203="7",BD203,0)</f>
        <v>0</v>
      </c>
      <c r="AA203" s="31">
        <f>IF(AM203="7",BE203,0)</f>
        <v>0</v>
      </c>
      <c r="AB203" s="31">
        <f>IF(AM203="2",BD203,0)</f>
        <v>0</v>
      </c>
      <c r="AC203" s="31">
        <f>IF(AM203="2",BE203,0)</f>
        <v>0</v>
      </c>
      <c r="AD203" s="31">
        <f>IF(AM203="0",BF203,0)</f>
        <v>0</v>
      </c>
      <c r="AE203" s="26" t="s">
        <v>157</v>
      </c>
      <c r="AF203" s="19">
        <f>IF(AJ203=0,H203,0)</f>
        <v>0</v>
      </c>
      <c r="AG203" s="19">
        <f>IF(AJ203=15,H203,0)</f>
        <v>0</v>
      </c>
      <c r="AH203" s="19">
        <f>IF(AJ203=21,H203,0)</f>
        <v>79348.64</v>
      </c>
      <c r="AJ203" s="31">
        <v>21</v>
      </c>
      <c r="AK203" s="31">
        <f>G203*0.619019221259181</f>
        <v>2426.555347335989</v>
      </c>
      <c r="AL203" s="31">
        <f>G203*(1-0.619019221259181)</f>
        <v>1493.4446526640106</v>
      </c>
      <c r="AM203" s="27" t="s">
        <v>7</v>
      </c>
      <c r="AR203" s="31">
        <f>AS203+AT203</f>
        <v>79348.64</v>
      </c>
      <c r="AS203" s="31">
        <f>F203*AK203</f>
        <v>49118.3333407751</v>
      </c>
      <c r="AT203" s="31">
        <f>F203*AL203</f>
        <v>30230.306659224905</v>
      </c>
      <c r="AU203" s="32" t="s">
        <v>670</v>
      </c>
      <c r="AV203" s="32" t="s">
        <v>688</v>
      </c>
      <c r="AW203" s="26" t="s">
        <v>698</v>
      </c>
      <c r="AY203" s="31">
        <f>AS203+AT203</f>
        <v>79348.64</v>
      </c>
      <c r="AZ203" s="31">
        <f>G203/(100-BA203)*100</f>
        <v>3920.0000000000005</v>
      </c>
      <c r="BA203" s="31">
        <v>0</v>
      </c>
      <c r="BB203" s="31">
        <f>J203</f>
        <v>8.62754524</v>
      </c>
      <c r="BD203" s="19">
        <f>F203*AK203</f>
        <v>49118.3333407751</v>
      </c>
      <c r="BE203" s="19">
        <f>F203*AL203</f>
        <v>30230.306659224905</v>
      </c>
      <c r="BF203" s="19">
        <f>F203*G203</f>
        <v>79348.64</v>
      </c>
    </row>
    <row r="204" spans="1:16" ht="12.75">
      <c r="A204" s="47"/>
      <c r="B204" s="47"/>
      <c r="C204" s="47"/>
      <c r="D204" s="107" t="s">
        <v>467</v>
      </c>
      <c r="E204" s="47"/>
      <c r="F204" s="49">
        <v>20.242</v>
      </c>
      <c r="G204" s="47"/>
      <c r="H204" s="70"/>
      <c r="I204" s="56"/>
      <c r="J204" s="56"/>
      <c r="L204" s="49"/>
      <c r="M204" s="47"/>
      <c r="N204" s="70"/>
      <c r="O204" s="56"/>
      <c r="P204" s="56"/>
    </row>
    <row r="205" spans="1:58" ht="12.75">
      <c r="A205" s="41" t="s">
        <v>81</v>
      </c>
      <c r="B205" s="41" t="s">
        <v>157</v>
      </c>
      <c r="C205" s="41" t="s">
        <v>233</v>
      </c>
      <c r="D205" s="106" t="s">
        <v>468</v>
      </c>
      <c r="E205" s="41" t="s">
        <v>629</v>
      </c>
      <c r="F205" s="44">
        <v>20.242</v>
      </c>
      <c r="G205" s="45">
        <v>270</v>
      </c>
      <c r="H205" s="69">
        <f>F205*G205</f>
        <v>5465.34</v>
      </c>
      <c r="I205" s="55">
        <v>0</v>
      </c>
      <c r="J205" s="55">
        <f>F205*I205</f>
        <v>0</v>
      </c>
      <c r="L205" s="101">
        <v>0</v>
      </c>
      <c r="M205" s="45">
        <v>270</v>
      </c>
      <c r="N205" s="69">
        <f>L205*M205</f>
        <v>0</v>
      </c>
      <c r="O205" s="55">
        <v>0</v>
      </c>
      <c r="P205" s="55">
        <f>L205*O205</f>
        <v>0</v>
      </c>
      <c r="V205" s="31">
        <f>IF(AM205="5",BF205,0)</f>
        <v>0</v>
      </c>
      <c r="X205" s="31">
        <f>IF(AM205="1",BD205,0)</f>
        <v>0</v>
      </c>
      <c r="Y205" s="31">
        <f>IF(AM205="1",BE205,0)</f>
        <v>5465.34</v>
      </c>
      <c r="Z205" s="31">
        <f>IF(AM205="7",BD205,0)</f>
        <v>0</v>
      </c>
      <c r="AA205" s="31">
        <f>IF(AM205="7",BE205,0)</f>
        <v>0</v>
      </c>
      <c r="AB205" s="31">
        <f>IF(AM205="2",BD205,0)</f>
        <v>0</v>
      </c>
      <c r="AC205" s="31">
        <f>IF(AM205="2",BE205,0)</f>
        <v>0</v>
      </c>
      <c r="AD205" s="31">
        <f>IF(AM205="0",BF205,0)</f>
        <v>0</v>
      </c>
      <c r="AE205" s="26" t="s">
        <v>157</v>
      </c>
      <c r="AF205" s="19">
        <f>IF(AJ205=0,H205,0)</f>
        <v>0</v>
      </c>
      <c r="AG205" s="19">
        <f>IF(AJ205=15,H205,0)</f>
        <v>0</v>
      </c>
      <c r="AH205" s="19">
        <f>IF(AJ205=21,H205,0)</f>
        <v>5465.34</v>
      </c>
      <c r="AJ205" s="31">
        <v>21</v>
      </c>
      <c r="AK205" s="31">
        <f>G205*0</f>
        <v>0</v>
      </c>
      <c r="AL205" s="31">
        <f>G205*(1-0)</f>
        <v>270</v>
      </c>
      <c r="AM205" s="27" t="s">
        <v>7</v>
      </c>
      <c r="AR205" s="31">
        <f>AS205+AT205</f>
        <v>5465.34</v>
      </c>
      <c r="AS205" s="31">
        <f>F205*AK205</f>
        <v>0</v>
      </c>
      <c r="AT205" s="31">
        <f>F205*AL205</f>
        <v>5465.34</v>
      </c>
      <c r="AU205" s="32" t="s">
        <v>670</v>
      </c>
      <c r="AV205" s="32" t="s">
        <v>688</v>
      </c>
      <c r="AW205" s="26" t="s">
        <v>698</v>
      </c>
      <c r="AY205" s="31">
        <f>AS205+AT205</f>
        <v>5465.34</v>
      </c>
      <c r="AZ205" s="31">
        <f>G205/(100-BA205)*100</f>
        <v>270</v>
      </c>
      <c r="BA205" s="31">
        <v>0</v>
      </c>
      <c r="BB205" s="31">
        <f>J205</f>
        <v>0</v>
      </c>
      <c r="BD205" s="19">
        <f>F205*AK205</f>
        <v>0</v>
      </c>
      <c r="BE205" s="19">
        <f>F205*AL205</f>
        <v>5465.34</v>
      </c>
      <c r="BF205" s="19">
        <f>F205*G205</f>
        <v>5465.34</v>
      </c>
    </row>
    <row r="206" spans="1:16" ht="12.75">
      <c r="A206" s="47"/>
      <c r="B206" s="47"/>
      <c r="C206" s="47"/>
      <c r="D206" s="107" t="s">
        <v>467</v>
      </c>
      <c r="E206" s="47"/>
      <c r="F206" s="49">
        <v>20.242</v>
      </c>
      <c r="G206" s="47"/>
      <c r="H206" s="70"/>
      <c r="I206" s="56"/>
      <c r="J206" s="56"/>
      <c r="L206" s="49"/>
      <c r="M206" s="47"/>
      <c r="N206" s="70"/>
      <c r="O206" s="56"/>
      <c r="P206" s="56"/>
    </row>
    <row r="207" spans="1:58" ht="12.75">
      <c r="A207" s="41" t="s">
        <v>82</v>
      </c>
      <c r="B207" s="41" t="s">
        <v>157</v>
      </c>
      <c r="C207" s="41" t="s">
        <v>234</v>
      </c>
      <c r="D207" s="106" t="s">
        <v>469</v>
      </c>
      <c r="E207" s="41" t="s">
        <v>629</v>
      </c>
      <c r="F207" s="44">
        <v>20.242</v>
      </c>
      <c r="G207" s="45">
        <v>350</v>
      </c>
      <c r="H207" s="69">
        <f>F207*G207</f>
        <v>7084.700000000001</v>
      </c>
      <c r="I207" s="55">
        <v>0</v>
      </c>
      <c r="J207" s="55">
        <f>F207*I207</f>
        <v>0</v>
      </c>
      <c r="L207" s="101">
        <v>0</v>
      </c>
      <c r="M207" s="45">
        <v>350</v>
      </c>
      <c r="N207" s="69">
        <f>L207*M207</f>
        <v>0</v>
      </c>
      <c r="O207" s="55">
        <v>0</v>
      </c>
      <c r="P207" s="55">
        <f>L207*O207</f>
        <v>0</v>
      </c>
      <c r="V207" s="31">
        <f>IF(AM207="5",BF207,0)</f>
        <v>0</v>
      </c>
      <c r="X207" s="31">
        <f>IF(AM207="1",BD207,0)</f>
        <v>0</v>
      </c>
      <c r="Y207" s="31">
        <f>IF(AM207="1",BE207,0)</f>
        <v>7084.700000000001</v>
      </c>
      <c r="Z207" s="31">
        <f>IF(AM207="7",BD207,0)</f>
        <v>0</v>
      </c>
      <c r="AA207" s="31">
        <f>IF(AM207="7",BE207,0)</f>
        <v>0</v>
      </c>
      <c r="AB207" s="31">
        <f>IF(AM207="2",BD207,0)</f>
        <v>0</v>
      </c>
      <c r="AC207" s="31">
        <f>IF(AM207="2",BE207,0)</f>
        <v>0</v>
      </c>
      <c r="AD207" s="31">
        <f>IF(AM207="0",BF207,0)</f>
        <v>0</v>
      </c>
      <c r="AE207" s="26" t="s">
        <v>157</v>
      </c>
      <c r="AF207" s="19">
        <f>IF(AJ207=0,H207,0)</f>
        <v>0</v>
      </c>
      <c r="AG207" s="19">
        <f>IF(AJ207=15,H207,0)</f>
        <v>0</v>
      </c>
      <c r="AH207" s="19">
        <f>IF(AJ207=21,H207,0)</f>
        <v>7084.700000000001</v>
      </c>
      <c r="AJ207" s="31">
        <v>21</v>
      </c>
      <c r="AK207" s="31">
        <f>G207*0</f>
        <v>0</v>
      </c>
      <c r="AL207" s="31">
        <f>G207*(1-0)</f>
        <v>350</v>
      </c>
      <c r="AM207" s="27" t="s">
        <v>7</v>
      </c>
      <c r="AR207" s="31">
        <f>AS207+AT207</f>
        <v>7084.700000000001</v>
      </c>
      <c r="AS207" s="31">
        <f>F207*AK207</f>
        <v>0</v>
      </c>
      <c r="AT207" s="31">
        <f>F207*AL207</f>
        <v>7084.700000000001</v>
      </c>
      <c r="AU207" s="32" t="s">
        <v>670</v>
      </c>
      <c r="AV207" s="32" t="s">
        <v>688</v>
      </c>
      <c r="AW207" s="26" t="s">
        <v>698</v>
      </c>
      <c r="AY207" s="31">
        <f>AS207+AT207</f>
        <v>7084.700000000001</v>
      </c>
      <c r="AZ207" s="31">
        <f>G207/(100-BA207)*100</f>
        <v>350</v>
      </c>
      <c r="BA207" s="31">
        <v>0</v>
      </c>
      <c r="BB207" s="31">
        <f>J207</f>
        <v>0</v>
      </c>
      <c r="BD207" s="19">
        <f>F207*AK207</f>
        <v>0</v>
      </c>
      <c r="BE207" s="19">
        <f>F207*AL207</f>
        <v>7084.700000000001</v>
      </c>
      <c r="BF207" s="19">
        <f>F207*G207</f>
        <v>7084.700000000001</v>
      </c>
    </row>
    <row r="208" spans="1:16" ht="12.75">
      <c r="A208" s="42"/>
      <c r="B208" s="42"/>
      <c r="C208" s="42"/>
      <c r="D208" s="114" t="s">
        <v>467</v>
      </c>
      <c r="E208" s="42"/>
      <c r="F208" s="46">
        <v>20.242</v>
      </c>
      <c r="G208" s="42"/>
      <c r="H208" s="42"/>
      <c r="I208" s="57"/>
      <c r="J208" s="57"/>
      <c r="L208" s="46"/>
      <c r="M208" s="42"/>
      <c r="N208" s="42"/>
      <c r="O208" s="57"/>
      <c r="P208" s="57"/>
    </row>
    <row r="209" spans="1:16" ht="12.75">
      <c r="A209" s="99" t="s">
        <v>737</v>
      </c>
      <c r="B209" s="47"/>
      <c r="C209" s="108">
        <v>637211121</v>
      </c>
      <c r="D209" s="100" t="s">
        <v>736</v>
      </c>
      <c r="E209" s="103" t="s">
        <v>630</v>
      </c>
      <c r="F209" s="44"/>
      <c r="G209" s="45"/>
      <c r="H209" s="69"/>
      <c r="I209" s="55"/>
      <c r="J209" s="55"/>
      <c r="L209" s="113">
        <v>8.25</v>
      </c>
      <c r="M209" s="69">
        <v>557</v>
      </c>
      <c r="N209" s="69">
        <f aca="true" t="shared" si="0" ref="N209:N214">L209*M209</f>
        <v>4595.25</v>
      </c>
      <c r="O209" s="55">
        <v>0.205</v>
      </c>
      <c r="P209" s="55">
        <f aca="true" t="shared" si="1" ref="P209:P214">L209*O209</f>
        <v>1.69125</v>
      </c>
    </row>
    <row r="210" spans="1:16" ht="12.75">
      <c r="A210" s="99" t="s">
        <v>738</v>
      </c>
      <c r="B210" s="47"/>
      <c r="C210" s="109">
        <v>917862010</v>
      </c>
      <c r="D210" s="110" t="s">
        <v>739</v>
      </c>
      <c r="E210" s="111" t="s">
        <v>631</v>
      </c>
      <c r="F210" s="44"/>
      <c r="G210" s="45"/>
      <c r="H210" s="69"/>
      <c r="I210" s="55"/>
      <c r="J210" s="55"/>
      <c r="L210" s="113">
        <v>17.5</v>
      </c>
      <c r="M210" s="69">
        <v>353</v>
      </c>
      <c r="N210" s="69">
        <f t="shared" si="0"/>
        <v>6177.5</v>
      </c>
      <c r="O210" s="112">
        <v>0.1494</v>
      </c>
      <c r="P210" s="55">
        <f t="shared" si="1"/>
        <v>2.6145</v>
      </c>
    </row>
    <row r="211" spans="1:16" ht="12.75">
      <c r="A211" s="116" t="s">
        <v>778</v>
      </c>
      <c r="B211" s="47"/>
      <c r="C211" s="109"/>
      <c r="D211" s="110" t="s">
        <v>789</v>
      </c>
      <c r="E211" s="118" t="s">
        <v>630</v>
      </c>
      <c r="F211" s="44"/>
      <c r="G211" s="45"/>
      <c r="H211" s="69"/>
      <c r="I211" s="55"/>
      <c r="J211" s="55"/>
      <c r="L211" s="113">
        <v>96.4</v>
      </c>
      <c r="M211" s="69">
        <v>132</v>
      </c>
      <c r="N211" s="69">
        <f t="shared" si="0"/>
        <v>12724.800000000001</v>
      </c>
      <c r="O211" s="112">
        <v>0.092</v>
      </c>
      <c r="P211" s="55">
        <f t="shared" si="1"/>
        <v>8.8688</v>
      </c>
    </row>
    <row r="212" spans="1:16" ht="12.75">
      <c r="A212" s="116" t="s">
        <v>781</v>
      </c>
      <c r="B212" s="47"/>
      <c r="C212" s="109"/>
      <c r="D212" s="110" t="s">
        <v>787</v>
      </c>
      <c r="E212" s="118" t="s">
        <v>631</v>
      </c>
      <c r="F212" s="44"/>
      <c r="G212" s="45"/>
      <c r="H212" s="69"/>
      <c r="I212" s="55"/>
      <c r="J212" s="55"/>
      <c r="L212" s="113">
        <v>16.7</v>
      </c>
      <c r="M212" s="69">
        <v>600.5</v>
      </c>
      <c r="N212" s="69">
        <f t="shared" si="0"/>
        <v>10028.35</v>
      </c>
      <c r="O212" s="112">
        <v>0.2977</v>
      </c>
      <c r="P212" s="55">
        <f t="shared" si="1"/>
        <v>4.97159</v>
      </c>
    </row>
    <row r="213" spans="1:16" ht="12.75">
      <c r="A213" s="116" t="s">
        <v>786</v>
      </c>
      <c r="B213" s="47"/>
      <c r="C213" s="109"/>
      <c r="D213" s="110" t="s">
        <v>782</v>
      </c>
      <c r="E213" s="118" t="s">
        <v>630</v>
      </c>
      <c r="F213" s="44"/>
      <c r="G213" s="45"/>
      <c r="H213" s="69"/>
      <c r="I213" s="55"/>
      <c r="J213" s="55"/>
      <c r="L213" s="113">
        <v>5.4</v>
      </c>
      <c r="M213" s="69">
        <v>228.85</v>
      </c>
      <c r="N213" s="69">
        <f t="shared" si="0"/>
        <v>1235.79</v>
      </c>
      <c r="O213" s="112">
        <v>0.144</v>
      </c>
      <c r="P213" s="55">
        <f t="shared" si="1"/>
        <v>0.7776</v>
      </c>
    </row>
    <row r="214" spans="1:16" ht="12.75">
      <c r="A214" s="116" t="s">
        <v>788</v>
      </c>
      <c r="B214" s="47"/>
      <c r="C214" s="109"/>
      <c r="D214" s="110" t="s">
        <v>783</v>
      </c>
      <c r="E214" s="118" t="s">
        <v>631</v>
      </c>
      <c r="F214" s="44"/>
      <c r="G214" s="45"/>
      <c r="H214" s="69"/>
      <c r="I214" s="55"/>
      <c r="J214" s="55"/>
      <c r="L214" s="113">
        <v>4.5</v>
      </c>
      <c r="M214" s="69">
        <v>433.7</v>
      </c>
      <c r="N214" s="69">
        <f t="shared" si="0"/>
        <v>1951.6499999999999</v>
      </c>
      <c r="O214" s="112">
        <v>0.1554</v>
      </c>
      <c r="P214" s="55">
        <f t="shared" si="1"/>
        <v>0.6993</v>
      </c>
    </row>
    <row r="215" spans="1:43" ht="12.75">
      <c r="A215" s="4"/>
      <c r="B215" s="13" t="s">
        <v>157</v>
      </c>
      <c r="C215" s="13" t="s">
        <v>100</v>
      </c>
      <c r="D215" s="13" t="s">
        <v>470</v>
      </c>
      <c r="E215" s="4" t="s">
        <v>6</v>
      </c>
      <c r="F215" s="4" t="s">
        <v>6</v>
      </c>
      <c r="G215" s="4"/>
      <c r="H215" s="34">
        <f>SUM(H216:H230)</f>
        <v>45300</v>
      </c>
      <c r="I215" s="54"/>
      <c r="J215" s="54">
        <f>SUM(J216:J230)</f>
        <v>4.1276280000000005</v>
      </c>
      <c r="L215" s="4" t="s">
        <v>6</v>
      </c>
      <c r="M215" s="4"/>
      <c r="N215" s="34">
        <f>SUM(N216:N230)</f>
        <v>45300</v>
      </c>
      <c r="O215" s="54"/>
      <c r="P215" s="54">
        <f>SUM(P216:P230)</f>
        <v>4.1276280000000005</v>
      </c>
      <c r="AE215" s="26" t="s">
        <v>157</v>
      </c>
      <c r="AO215" s="34">
        <f>SUM(AF216:AF230)</f>
        <v>0</v>
      </c>
      <c r="AP215" s="34">
        <f>SUM(AG216:AG230)</f>
        <v>0</v>
      </c>
      <c r="AQ215" s="34">
        <f>SUM(AH216:AH230)</f>
        <v>45300</v>
      </c>
    </row>
    <row r="216" spans="1:58" ht="12.75">
      <c r="A216" s="41" t="s">
        <v>83</v>
      </c>
      <c r="B216" s="41" t="s">
        <v>157</v>
      </c>
      <c r="C216" s="41" t="s">
        <v>235</v>
      </c>
      <c r="D216" s="41" t="s">
        <v>471</v>
      </c>
      <c r="E216" s="41" t="s">
        <v>630</v>
      </c>
      <c r="F216" s="44">
        <v>198.4</v>
      </c>
      <c r="G216" s="45">
        <v>65</v>
      </c>
      <c r="H216" s="69">
        <f>F216*G216</f>
        <v>12896</v>
      </c>
      <c r="I216" s="55">
        <v>0.01838</v>
      </c>
      <c r="J216" s="55">
        <f>F216*I216</f>
        <v>3.646592</v>
      </c>
      <c r="L216" s="44">
        <v>198.4</v>
      </c>
      <c r="M216" s="45">
        <v>65</v>
      </c>
      <c r="N216" s="69">
        <f>L216*M216</f>
        <v>12896</v>
      </c>
      <c r="O216" s="55">
        <v>0.01838</v>
      </c>
      <c r="P216" s="55">
        <f>L216*O216</f>
        <v>3.646592</v>
      </c>
      <c r="V216" s="31">
        <f>IF(AM216="5",BF216,0)</f>
        <v>0</v>
      </c>
      <c r="X216" s="31">
        <f>IF(AM216="1",BD216,0)</f>
        <v>5.765722801788382</v>
      </c>
      <c r="Y216" s="31">
        <f>IF(AM216="1",BE216,0)</f>
        <v>12890.234277198213</v>
      </c>
      <c r="Z216" s="31">
        <f>IF(AM216="7",BD216,0)</f>
        <v>0</v>
      </c>
      <c r="AA216" s="31">
        <f>IF(AM216="7",BE216,0)</f>
        <v>0</v>
      </c>
      <c r="AB216" s="31">
        <f>IF(AM216="2",BD216,0)</f>
        <v>0</v>
      </c>
      <c r="AC216" s="31">
        <f>IF(AM216="2",BE216,0)</f>
        <v>0</v>
      </c>
      <c r="AD216" s="31">
        <f>IF(AM216="0",BF216,0)</f>
        <v>0</v>
      </c>
      <c r="AE216" s="26" t="s">
        <v>157</v>
      </c>
      <c r="AF216" s="19">
        <f>IF(AJ216=0,H216,0)</f>
        <v>0</v>
      </c>
      <c r="AG216" s="19">
        <f>IF(AJ216=15,H216,0)</f>
        <v>0</v>
      </c>
      <c r="AH216" s="19">
        <f>IF(AJ216=21,H216,0)</f>
        <v>12896</v>
      </c>
      <c r="AJ216" s="31">
        <v>21</v>
      </c>
      <c r="AK216" s="31">
        <f>G216*0.000447093889716841</f>
        <v>0.029061102831594667</v>
      </c>
      <c r="AL216" s="31">
        <f>G216*(1-0.000447093889716841)</f>
        <v>64.97093889716841</v>
      </c>
      <c r="AM216" s="27" t="s">
        <v>7</v>
      </c>
      <c r="AR216" s="31">
        <f>AS216+AT216</f>
        <v>12896.000000000002</v>
      </c>
      <c r="AS216" s="31">
        <f>F216*AK216</f>
        <v>5.765722801788382</v>
      </c>
      <c r="AT216" s="31">
        <f>F216*AL216</f>
        <v>12890.234277198213</v>
      </c>
      <c r="AU216" s="32" t="s">
        <v>671</v>
      </c>
      <c r="AV216" s="32" t="s">
        <v>689</v>
      </c>
      <c r="AW216" s="26" t="s">
        <v>698</v>
      </c>
      <c r="AY216" s="31">
        <f>AS216+AT216</f>
        <v>12896.000000000002</v>
      </c>
      <c r="AZ216" s="31">
        <f>G216/(100-BA216)*100</f>
        <v>65</v>
      </c>
      <c r="BA216" s="31">
        <v>0</v>
      </c>
      <c r="BB216" s="31">
        <f>J216</f>
        <v>3.646592</v>
      </c>
      <c r="BD216" s="19">
        <f>F216*AK216</f>
        <v>5.765722801788382</v>
      </c>
      <c r="BE216" s="19">
        <f>F216*AL216</f>
        <v>12890.234277198213</v>
      </c>
      <c r="BF216" s="19">
        <f>F216*G216</f>
        <v>12896</v>
      </c>
    </row>
    <row r="217" spans="1:16" ht="12.75">
      <c r="A217" s="47"/>
      <c r="B217" s="47"/>
      <c r="C217" s="47"/>
      <c r="D217" s="48" t="s">
        <v>472</v>
      </c>
      <c r="E217" s="47"/>
      <c r="F217" s="49">
        <v>198.4</v>
      </c>
      <c r="G217" s="47"/>
      <c r="H217" s="70"/>
      <c r="I217" s="56"/>
      <c r="J217" s="56"/>
      <c r="L217" s="49">
        <v>198.4</v>
      </c>
      <c r="M217" s="47"/>
      <c r="N217" s="70"/>
      <c r="O217" s="56"/>
      <c r="P217" s="56"/>
    </row>
    <row r="218" spans="1:58" ht="12.75">
      <c r="A218" s="41" t="s">
        <v>84</v>
      </c>
      <c r="B218" s="41" t="s">
        <v>157</v>
      </c>
      <c r="C218" s="41" t="s">
        <v>236</v>
      </c>
      <c r="D218" s="41" t="s">
        <v>473</v>
      </c>
      <c r="E218" s="41" t="s">
        <v>630</v>
      </c>
      <c r="F218" s="44">
        <v>396.8</v>
      </c>
      <c r="G218" s="45">
        <v>30</v>
      </c>
      <c r="H218" s="69">
        <f>F218*G218</f>
        <v>11904</v>
      </c>
      <c r="I218" s="55">
        <v>0.00097</v>
      </c>
      <c r="J218" s="55">
        <f>F218*I218</f>
        <v>0.384896</v>
      </c>
      <c r="L218" s="44">
        <v>396.8</v>
      </c>
      <c r="M218" s="45">
        <v>30</v>
      </c>
      <c r="N218" s="69">
        <f>L218*M218</f>
        <v>11904</v>
      </c>
      <c r="O218" s="55">
        <v>0.00097</v>
      </c>
      <c r="P218" s="55">
        <f>L218*O218</f>
        <v>0.384896</v>
      </c>
      <c r="V218" s="31">
        <f>IF(AM218="5",BF218,0)</f>
        <v>0</v>
      </c>
      <c r="X218" s="31">
        <f>IF(AM218="1",BD218,0)</f>
        <v>10988.307692307691</v>
      </c>
      <c r="Y218" s="31">
        <f>IF(AM218="1",BE218,0)</f>
        <v>915.6923076923083</v>
      </c>
      <c r="Z218" s="31">
        <f>IF(AM218="7",BD218,0)</f>
        <v>0</v>
      </c>
      <c r="AA218" s="31">
        <f>IF(AM218="7",BE218,0)</f>
        <v>0</v>
      </c>
      <c r="AB218" s="31">
        <f>IF(AM218="2",BD218,0)</f>
        <v>0</v>
      </c>
      <c r="AC218" s="31">
        <f>IF(AM218="2",BE218,0)</f>
        <v>0</v>
      </c>
      <c r="AD218" s="31">
        <f>IF(AM218="0",BF218,0)</f>
        <v>0</v>
      </c>
      <c r="AE218" s="26" t="s">
        <v>157</v>
      </c>
      <c r="AF218" s="19">
        <f>IF(AJ218=0,H218,0)</f>
        <v>0</v>
      </c>
      <c r="AG218" s="19">
        <f>IF(AJ218=15,H218,0)</f>
        <v>0</v>
      </c>
      <c r="AH218" s="19">
        <f>IF(AJ218=21,H218,0)</f>
        <v>11904</v>
      </c>
      <c r="AJ218" s="31">
        <v>21</v>
      </c>
      <c r="AK218" s="31">
        <f>G218*0.923076923076923</f>
        <v>27.69230769230769</v>
      </c>
      <c r="AL218" s="31">
        <f>G218*(1-0.923076923076923)</f>
        <v>2.3076923076923093</v>
      </c>
      <c r="AM218" s="27" t="s">
        <v>7</v>
      </c>
      <c r="AR218" s="31">
        <f>AS218+AT218</f>
        <v>11904</v>
      </c>
      <c r="AS218" s="31">
        <f>F218*AK218</f>
        <v>10988.307692307691</v>
      </c>
      <c r="AT218" s="31">
        <f>F218*AL218</f>
        <v>915.6923076923083</v>
      </c>
      <c r="AU218" s="32" t="s">
        <v>671</v>
      </c>
      <c r="AV218" s="32" t="s">
        <v>689</v>
      </c>
      <c r="AW218" s="26" t="s">
        <v>698</v>
      </c>
      <c r="AY218" s="31">
        <f>AS218+AT218</f>
        <v>11904</v>
      </c>
      <c r="AZ218" s="31">
        <f>G218/(100-BA218)*100</f>
        <v>30</v>
      </c>
      <c r="BA218" s="31">
        <v>0</v>
      </c>
      <c r="BB218" s="31">
        <f>J218</f>
        <v>0.384896</v>
      </c>
      <c r="BD218" s="19">
        <f>F218*AK218</f>
        <v>10988.307692307691</v>
      </c>
      <c r="BE218" s="19">
        <f>F218*AL218</f>
        <v>915.6923076923083</v>
      </c>
      <c r="BF218" s="19">
        <f>F218*G218</f>
        <v>11904</v>
      </c>
    </row>
    <row r="219" spans="1:16" ht="12.75">
      <c r="A219" s="47"/>
      <c r="B219" s="47"/>
      <c r="C219" s="47"/>
      <c r="D219" s="48" t="s">
        <v>474</v>
      </c>
      <c r="E219" s="47"/>
      <c r="F219" s="49">
        <v>396.8</v>
      </c>
      <c r="G219" s="47"/>
      <c r="H219" s="70"/>
      <c r="I219" s="56"/>
      <c r="J219" s="56"/>
      <c r="L219" s="49">
        <v>396.8</v>
      </c>
      <c r="M219" s="47"/>
      <c r="N219" s="70"/>
      <c r="O219" s="56"/>
      <c r="P219" s="56"/>
    </row>
    <row r="220" spans="1:58" ht="12.75">
      <c r="A220" s="41" t="s">
        <v>85</v>
      </c>
      <c r="B220" s="41" t="s">
        <v>157</v>
      </c>
      <c r="C220" s="41" t="s">
        <v>237</v>
      </c>
      <c r="D220" s="41" t="s">
        <v>475</v>
      </c>
      <c r="E220" s="41" t="s">
        <v>630</v>
      </c>
      <c r="F220" s="44">
        <v>198.4</v>
      </c>
      <c r="G220" s="45">
        <v>39</v>
      </c>
      <c r="H220" s="69">
        <f>F220*G220</f>
        <v>7737.6</v>
      </c>
      <c r="I220" s="55">
        <v>0</v>
      </c>
      <c r="J220" s="55">
        <f>F220*I220</f>
        <v>0</v>
      </c>
      <c r="L220" s="44">
        <v>198.4</v>
      </c>
      <c r="M220" s="45">
        <v>39</v>
      </c>
      <c r="N220" s="69">
        <f>L220*M220</f>
        <v>7737.6</v>
      </c>
      <c r="O220" s="55">
        <v>0</v>
      </c>
      <c r="P220" s="55">
        <f>L220*O220</f>
        <v>0</v>
      </c>
      <c r="V220" s="31">
        <f>IF(AM220="5",BF220,0)</f>
        <v>0</v>
      </c>
      <c r="X220" s="31">
        <f>IF(AM220="1",BD220,0)</f>
        <v>0</v>
      </c>
      <c r="Y220" s="31">
        <f>IF(AM220="1",BE220,0)</f>
        <v>7737.6</v>
      </c>
      <c r="Z220" s="31">
        <f>IF(AM220="7",BD220,0)</f>
        <v>0</v>
      </c>
      <c r="AA220" s="31">
        <f>IF(AM220="7",BE220,0)</f>
        <v>0</v>
      </c>
      <c r="AB220" s="31">
        <f>IF(AM220="2",BD220,0)</f>
        <v>0</v>
      </c>
      <c r="AC220" s="31">
        <f>IF(AM220="2",BE220,0)</f>
        <v>0</v>
      </c>
      <c r="AD220" s="31">
        <f>IF(AM220="0",BF220,0)</f>
        <v>0</v>
      </c>
      <c r="AE220" s="26" t="s">
        <v>157</v>
      </c>
      <c r="AF220" s="19">
        <f>IF(AJ220=0,H220,0)</f>
        <v>0</v>
      </c>
      <c r="AG220" s="19">
        <f>IF(AJ220=15,H220,0)</f>
        <v>0</v>
      </c>
      <c r="AH220" s="19">
        <f>IF(AJ220=21,H220,0)</f>
        <v>7737.6</v>
      </c>
      <c r="AJ220" s="31">
        <v>21</v>
      </c>
      <c r="AK220" s="31">
        <f>G220*0</f>
        <v>0</v>
      </c>
      <c r="AL220" s="31">
        <f>G220*(1-0)</f>
        <v>39</v>
      </c>
      <c r="AM220" s="27" t="s">
        <v>7</v>
      </c>
      <c r="AR220" s="31">
        <f>AS220+AT220</f>
        <v>7737.6</v>
      </c>
      <c r="AS220" s="31">
        <f>F220*AK220</f>
        <v>0</v>
      </c>
      <c r="AT220" s="31">
        <f>F220*AL220</f>
        <v>7737.6</v>
      </c>
      <c r="AU220" s="32" t="s">
        <v>671</v>
      </c>
      <c r="AV220" s="32" t="s">
        <v>689</v>
      </c>
      <c r="AW220" s="26" t="s">
        <v>698</v>
      </c>
      <c r="AY220" s="31">
        <f>AS220+AT220</f>
        <v>7737.6</v>
      </c>
      <c r="AZ220" s="31">
        <f>G220/(100-BA220)*100</f>
        <v>39</v>
      </c>
      <c r="BA220" s="31">
        <v>0</v>
      </c>
      <c r="BB220" s="31">
        <f>J220</f>
        <v>0</v>
      </c>
      <c r="BD220" s="19">
        <f>F220*AK220</f>
        <v>0</v>
      </c>
      <c r="BE220" s="19">
        <f>F220*AL220</f>
        <v>7737.6</v>
      </c>
      <c r="BF220" s="19">
        <f>F220*G220</f>
        <v>7737.6</v>
      </c>
    </row>
    <row r="221" spans="1:16" ht="12.75">
      <c r="A221" s="47"/>
      <c r="B221" s="47"/>
      <c r="C221" s="47"/>
      <c r="D221" s="48" t="s">
        <v>472</v>
      </c>
      <c r="E221" s="47"/>
      <c r="F221" s="49">
        <v>198.4</v>
      </c>
      <c r="G221" s="47"/>
      <c r="H221" s="70"/>
      <c r="I221" s="56"/>
      <c r="J221" s="56"/>
      <c r="L221" s="49">
        <v>198.4</v>
      </c>
      <c r="M221" s="47"/>
      <c r="N221" s="70"/>
      <c r="O221" s="56"/>
      <c r="P221" s="56"/>
    </row>
    <row r="222" spans="1:58" ht="12.75">
      <c r="A222" s="41" t="s">
        <v>86</v>
      </c>
      <c r="B222" s="41" t="s">
        <v>157</v>
      </c>
      <c r="C222" s="41" t="s">
        <v>238</v>
      </c>
      <c r="D222" s="41" t="s">
        <v>476</v>
      </c>
      <c r="E222" s="41" t="s">
        <v>630</v>
      </c>
      <c r="F222" s="44">
        <v>198.4</v>
      </c>
      <c r="G222" s="45">
        <v>17</v>
      </c>
      <c r="H222" s="69">
        <f>F222*G222</f>
        <v>3372.8</v>
      </c>
      <c r="I222" s="55">
        <v>0</v>
      </c>
      <c r="J222" s="55">
        <f>F222*I222</f>
        <v>0</v>
      </c>
      <c r="L222" s="44">
        <v>198.4</v>
      </c>
      <c r="M222" s="45">
        <v>17</v>
      </c>
      <c r="N222" s="69">
        <f>L222*M222</f>
        <v>3372.8</v>
      </c>
      <c r="O222" s="55">
        <v>0</v>
      </c>
      <c r="P222" s="55">
        <f>L222*O222</f>
        <v>0</v>
      </c>
      <c r="V222" s="31">
        <f>IF(AM222="5",BF222,0)</f>
        <v>0</v>
      </c>
      <c r="X222" s="31">
        <f>IF(AM222="1",BD222,0)</f>
        <v>0</v>
      </c>
      <c r="Y222" s="31">
        <f>IF(AM222="1",BE222,0)</f>
        <v>3372.8</v>
      </c>
      <c r="Z222" s="31">
        <f>IF(AM222="7",BD222,0)</f>
        <v>0</v>
      </c>
      <c r="AA222" s="31">
        <f>IF(AM222="7",BE222,0)</f>
        <v>0</v>
      </c>
      <c r="AB222" s="31">
        <f>IF(AM222="2",BD222,0)</f>
        <v>0</v>
      </c>
      <c r="AC222" s="31">
        <f>IF(AM222="2",BE222,0)</f>
        <v>0</v>
      </c>
      <c r="AD222" s="31">
        <f>IF(AM222="0",BF222,0)</f>
        <v>0</v>
      </c>
      <c r="AE222" s="26" t="s">
        <v>157</v>
      </c>
      <c r="AF222" s="19">
        <f>IF(AJ222=0,H222,0)</f>
        <v>0</v>
      </c>
      <c r="AG222" s="19">
        <f>IF(AJ222=15,H222,0)</f>
        <v>0</v>
      </c>
      <c r="AH222" s="19">
        <f>IF(AJ222=21,H222,0)</f>
        <v>3372.8</v>
      </c>
      <c r="AJ222" s="31">
        <v>21</v>
      </c>
      <c r="AK222" s="31">
        <f>G222*0</f>
        <v>0</v>
      </c>
      <c r="AL222" s="31">
        <f>G222*(1-0)</f>
        <v>17</v>
      </c>
      <c r="AM222" s="27" t="s">
        <v>7</v>
      </c>
      <c r="AR222" s="31">
        <f>AS222+AT222</f>
        <v>3372.8</v>
      </c>
      <c r="AS222" s="31">
        <f>F222*AK222</f>
        <v>0</v>
      </c>
      <c r="AT222" s="31">
        <f>F222*AL222</f>
        <v>3372.8</v>
      </c>
      <c r="AU222" s="32" t="s">
        <v>671</v>
      </c>
      <c r="AV222" s="32" t="s">
        <v>689</v>
      </c>
      <c r="AW222" s="26" t="s">
        <v>698</v>
      </c>
      <c r="AY222" s="31">
        <f>AS222+AT222</f>
        <v>3372.8</v>
      </c>
      <c r="AZ222" s="31">
        <f>G222/(100-BA222)*100</f>
        <v>17</v>
      </c>
      <c r="BA222" s="31">
        <v>0</v>
      </c>
      <c r="BB222" s="31">
        <f>J222</f>
        <v>0</v>
      </c>
      <c r="BD222" s="19">
        <f>F222*AK222</f>
        <v>0</v>
      </c>
      <c r="BE222" s="19">
        <f>F222*AL222</f>
        <v>3372.8</v>
      </c>
      <c r="BF222" s="19">
        <f>F222*G222</f>
        <v>3372.8</v>
      </c>
    </row>
    <row r="223" spans="1:16" ht="12.75">
      <c r="A223" s="47"/>
      <c r="B223" s="47"/>
      <c r="C223" s="47"/>
      <c r="D223" s="48" t="s">
        <v>472</v>
      </c>
      <c r="E223" s="47"/>
      <c r="F223" s="49">
        <v>198.4</v>
      </c>
      <c r="G223" s="47"/>
      <c r="H223" s="70"/>
      <c r="I223" s="56"/>
      <c r="J223" s="56"/>
      <c r="L223" s="49">
        <v>198.4</v>
      </c>
      <c r="M223" s="47"/>
      <c r="N223" s="70"/>
      <c r="O223" s="56"/>
      <c r="P223" s="56"/>
    </row>
    <row r="224" spans="1:58" ht="12.75">
      <c r="A224" s="41" t="s">
        <v>87</v>
      </c>
      <c r="B224" s="41" t="s">
        <v>157</v>
      </c>
      <c r="C224" s="41" t="s">
        <v>239</v>
      </c>
      <c r="D224" s="41" t="s">
        <v>477</v>
      </c>
      <c r="E224" s="41" t="s">
        <v>630</v>
      </c>
      <c r="F224" s="44">
        <v>396.8</v>
      </c>
      <c r="G224" s="45">
        <v>10</v>
      </c>
      <c r="H224" s="69">
        <f>F224*G224</f>
        <v>3968</v>
      </c>
      <c r="I224" s="55">
        <v>5E-05</v>
      </c>
      <c r="J224" s="55">
        <f>F224*I224</f>
        <v>0.01984</v>
      </c>
      <c r="L224" s="44">
        <v>396.8</v>
      </c>
      <c r="M224" s="45">
        <v>10</v>
      </c>
      <c r="N224" s="69">
        <f>L224*M224</f>
        <v>3968</v>
      </c>
      <c r="O224" s="55">
        <v>5E-05</v>
      </c>
      <c r="P224" s="55">
        <f>L224*O224</f>
        <v>0.01984</v>
      </c>
      <c r="V224" s="31">
        <f>IF(AM224="5",BF224,0)</f>
        <v>0</v>
      </c>
      <c r="X224" s="31">
        <f>IF(AM224="1",BD224,0)</f>
        <v>3968</v>
      </c>
      <c r="Y224" s="31">
        <f>IF(AM224="1",BE224,0)</f>
        <v>0</v>
      </c>
      <c r="Z224" s="31">
        <f>IF(AM224="7",BD224,0)</f>
        <v>0</v>
      </c>
      <c r="AA224" s="31">
        <f>IF(AM224="7",BE224,0)</f>
        <v>0</v>
      </c>
      <c r="AB224" s="31">
        <f>IF(AM224="2",BD224,0)</f>
        <v>0</v>
      </c>
      <c r="AC224" s="31">
        <f>IF(AM224="2",BE224,0)</f>
        <v>0</v>
      </c>
      <c r="AD224" s="31">
        <f>IF(AM224="0",BF224,0)</f>
        <v>0</v>
      </c>
      <c r="AE224" s="26" t="s">
        <v>157</v>
      </c>
      <c r="AF224" s="19">
        <f>IF(AJ224=0,H224,0)</f>
        <v>0</v>
      </c>
      <c r="AG224" s="19">
        <f>IF(AJ224=15,H224,0)</f>
        <v>0</v>
      </c>
      <c r="AH224" s="19">
        <f>IF(AJ224=21,H224,0)</f>
        <v>3968</v>
      </c>
      <c r="AJ224" s="31">
        <v>21</v>
      </c>
      <c r="AK224" s="31">
        <f>G224*1</f>
        <v>10</v>
      </c>
      <c r="AL224" s="31">
        <f>G224*(1-1)</f>
        <v>0</v>
      </c>
      <c r="AM224" s="27" t="s">
        <v>7</v>
      </c>
      <c r="AR224" s="31">
        <f>AS224+AT224</f>
        <v>3968</v>
      </c>
      <c r="AS224" s="31">
        <f>F224*AK224</f>
        <v>3968</v>
      </c>
      <c r="AT224" s="31">
        <f>F224*AL224</f>
        <v>0</v>
      </c>
      <c r="AU224" s="32" t="s">
        <v>671</v>
      </c>
      <c r="AV224" s="32" t="s">
        <v>689</v>
      </c>
      <c r="AW224" s="26" t="s">
        <v>698</v>
      </c>
      <c r="AY224" s="31">
        <f>AS224+AT224</f>
        <v>3968</v>
      </c>
      <c r="AZ224" s="31">
        <f>G224/(100-BA224)*100</f>
        <v>10</v>
      </c>
      <c r="BA224" s="31">
        <v>0</v>
      </c>
      <c r="BB224" s="31">
        <f>J224</f>
        <v>0.01984</v>
      </c>
      <c r="BD224" s="19">
        <f>F224*AK224</f>
        <v>3968</v>
      </c>
      <c r="BE224" s="19">
        <f>F224*AL224</f>
        <v>0</v>
      </c>
      <c r="BF224" s="19">
        <f>F224*G224</f>
        <v>3968</v>
      </c>
    </row>
    <row r="225" spans="1:16" ht="12.75">
      <c r="A225" s="47"/>
      <c r="B225" s="47"/>
      <c r="C225" s="47"/>
      <c r="D225" s="48" t="s">
        <v>474</v>
      </c>
      <c r="E225" s="47"/>
      <c r="F225" s="49">
        <v>396.8</v>
      </c>
      <c r="G225" s="47"/>
      <c r="H225" s="70"/>
      <c r="I225" s="56"/>
      <c r="J225" s="56"/>
      <c r="L225" s="49">
        <v>396.8</v>
      </c>
      <c r="M225" s="47"/>
      <c r="N225" s="70"/>
      <c r="O225" s="56"/>
      <c r="P225" s="56"/>
    </row>
    <row r="226" spans="1:58" ht="12.75">
      <c r="A226" s="41" t="s">
        <v>88</v>
      </c>
      <c r="B226" s="41" t="s">
        <v>157</v>
      </c>
      <c r="C226" s="41" t="s">
        <v>240</v>
      </c>
      <c r="D226" s="41" t="s">
        <v>478</v>
      </c>
      <c r="E226" s="41" t="s">
        <v>630</v>
      </c>
      <c r="F226" s="44">
        <v>198.4</v>
      </c>
      <c r="G226" s="45">
        <v>11.5</v>
      </c>
      <c r="H226" s="69">
        <f>F226*G226</f>
        <v>2281.6</v>
      </c>
      <c r="I226" s="55">
        <v>0</v>
      </c>
      <c r="J226" s="55">
        <f>F226*I226</f>
        <v>0</v>
      </c>
      <c r="L226" s="44">
        <v>198.4</v>
      </c>
      <c r="M226" s="45">
        <v>11.5</v>
      </c>
      <c r="N226" s="69">
        <f>L226*M226</f>
        <v>2281.6</v>
      </c>
      <c r="O226" s="55">
        <v>0</v>
      </c>
      <c r="P226" s="55">
        <f>L226*O226</f>
        <v>0</v>
      </c>
      <c r="V226" s="31">
        <f>IF(AM226="5",BF226,0)</f>
        <v>0</v>
      </c>
      <c r="X226" s="31">
        <f>IF(AM226="1",BD226,0)</f>
        <v>0</v>
      </c>
      <c r="Y226" s="31">
        <f>IF(AM226="1",BE226,0)</f>
        <v>2281.6</v>
      </c>
      <c r="Z226" s="31">
        <f>IF(AM226="7",BD226,0)</f>
        <v>0</v>
      </c>
      <c r="AA226" s="31">
        <f>IF(AM226="7",BE226,0)</f>
        <v>0</v>
      </c>
      <c r="AB226" s="31">
        <f>IF(AM226="2",BD226,0)</f>
        <v>0</v>
      </c>
      <c r="AC226" s="31">
        <f>IF(AM226="2",BE226,0)</f>
        <v>0</v>
      </c>
      <c r="AD226" s="31">
        <f>IF(AM226="0",BF226,0)</f>
        <v>0</v>
      </c>
      <c r="AE226" s="26" t="s">
        <v>157</v>
      </c>
      <c r="AF226" s="19">
        <f>IF(AJ226=0,H226,0)</f>
        <v>0</v>
      </c>
      <c r="AG226" s="19">
        <f>IF(AJ226=15,H226,0)</f>
        <v>0</v>
      </c>
      <c r="AH226" s="19">
        <f>IF(AJ226=21,H226,0)</f>
        <v>2281.6</v>
      </c>
      <c r="AJ226" s="31">
        <v>21</v>
      </c>
      <c r="AK226" s="31">
        <f>G226*0</f>
        <v>0</v>
      </c>
      <c r="AL226" s="31">
        <f>G226*(1-0)</f>
        <v>11.5</v>
      </c>
      <c r="AM226" s="27" t="s">
        <v>7</v>
      </c>
      <c r="AR226" s="31">
        <f>AS226+AT226</f>
        <v>2281.6</v>
      </c>
      <c r="AS226" s="31">
        <f>F226*AK226</f>
        <v>0</v>
      </c>
      <c r="AT226" s="31">
        <f>F226*AL226</f>
        <v>2281.6</v>
      </c>
      <c r="AU226" s="32" t="s">
        <v>671</v>
      </c>
      <c r="AV226" s="32" t="s">
        <v>689</v>
      </c>
      <c r="AW226" s="26" t="s">
        <v>698</v>
      </c>
      <c r="AY226" s="31">
        <f>AS226+AT226</f>
        <v>2281.6</v>
      </c>
      <c r="AZ226" s="31">
        <f>G226/(100-BA226)*100</f>
        <v>11.5</v>
      </c>
      <c r="BA226" s="31">
        <v>0</v>
      </c>
      <c r="BB226" s="31">
        <f>J226</f>
        <v>0</v>
      </c>
      <c r="BD226" s="19">
        <f>F226*AK226</f>
        <v>0</v>
      </c>
      <c r="BE226" s="19">
        <f>F226*AL226</f>
        <v>2281.6</v>
      </c>
      <c r="BF226" s="19">
        <f>F226*G226</f>
        <v>2281.6</v>
      </c>
    </row>
    <row r="227" spans="1:16" ht="12.75">
      <c r="A227" s="47"/>
      <c r="B227" s="47"/>
      <c r="C227" s="47"/>
      <c r="D227" s="48" t="s">
        <v>472</v>
      </c>
      <c r="E227" s="47"/>
      <c r="F227" s="49">
        <v>198.4</v>
      </c>
      <c r="G227" s="47"/>
      <c r="H227" s="70"/>
      <c r="I227" s="56"/>
      <c r="J227" s="56"/>
      <c r="L227" s="49">
        <v>198.4</v>
      </c>
      <c r="M227" s="47"/>
      <c r="N227" s="70"/>
      <c r="O227" s="56"/>
      <c r="P227" s="56"/>
    </row>
    <row r="228" spans="1:58" ht="12.75">
      <c r="A228" s="41" t="s">
        <v>89</v>
      </c>
      <c r="B228" s="41" t="s">
        <v>157</v>
      </c>
      <c r="C228" s="41" t="s">
        <v>241</v>
      </c>
      <c r="D228" s="41" t="s">
        <v>479</v>
      </c>
      <c r="E228" s="41" t="s">
        <v>630</v>
      </c>
      <c r="F228" s="44">
        <v>50</v>
      </c>
      <c r="G228" s="45">
        <v>50</v>
      </c>
      <c r="H228" s="69">
        <f>F228*G228</f>
        <v>2500</v>
      </c>
      <c r="I228" s="55">
        <v>0.00121</v>
      </c>
      <c r="J228" s="55">
        <f>F228*I228</f>
        <v>0.0605</v>
      </c>
      <c r="L228" s="44">
        <v>50</v>
      </c>
      <c r="M228" s="45">
        <v>50</v>
      </c>
      <c r="N228" s="69">
        <f>L228*M228</f>
        <v>2500</v>
      </c>
      <c r="O228" s="55">
        <v>0.00121</v>
      </c>
      <c r="P228" s="55">
        <f>L228*O228</f>
        <v>0.0605</v>
      </c>
      <c r="V228" s="31">
        <f>IF(AM228="5",BF228,0)</f>
        <v>0</v>
      </c>
      <c r="X228" s="31">
        <f>IF(AM228="1",BD228,0)</f>
        <v>844.0041125338824</v>
      </c>
      <c r="Y228" s="31">
        <f>IF(AM228="1",BE228,0)</f>
        <v>1655.9958874661174</v>
      </c>
      <c r="Z228" s="31">
        <f>IF(AM228="7",BD228,0)</f>
        <v>0</v>
      </c>
      <c r="AA228" s="31">
        <f>IF(AM228="7",BE228,0)</f>
        <v>0</v>
      </c>
      <c r="AB228" s="31">
        <f>IF(AM228="2",BD228,0)</f>
        <v>0</v>
      </c>
      <c r="AC228" s="31">
        <f>IF(AM228="2",BE228,0)</f>
        <v>0</v>
      </c>
      <c r="AD228" s="31">
        <f>IF(AM228="0",BF228,0)</f>
        <v>0</v>
      </c>
      <c r="AE228" s="26" t="s">
        <v>157</v>
      </c>
      <c r="AF228" s="19">
        <f>IF(AJ228=0,H228,0)</f>
        <v>0</v>
      </c>
      <c r="AG228" s="19">
        <f>IF(AJ228=15,H228,0)</f>
        <v>0</v>
      </c>
      <c r="AH228" s="19">
        <f>IF(AJ228=21,H228,0)</f>
        <v>2500</v>
      </c>
      <c r="AJ228" s="31">
        <v>21</v>
      </c>
      <c r="AK228" s="31">
        <f>G228*0.337601645013553</f>
        <v>16.88008225067765</v>
      </c>
      <c r="AL228" s="31">
        <f>G228*(1-0.337601645013553)</f>
        <v>33.11991774932235</v>
      </c>
      <c r="AM228" s="27" t="s">
        <v>7</v>
      </c>
      <c r="AR228" s="31">
        <f>AS228+AT228</f>
        <v>2500</v>
      </c>
      <c r="AS228" s="31">
        <f>F228*AK228</f>
        <v>844.0041125338824</v>
      </c>
      <c r="AT228" s="31">
        <f>F228*AL228</f>
        <v>1655.9958874661174</v>
      </c>
      <c r="AU228" s="32" t="s">
        <v>671</v>
      </c>
      <c r="AV228" s="32" t="s">
        <v>689</v>
      </c>
      <c r="AW228" s="26" t="s">
        <v>698</v>
      </c>
      <c r="AY228" s="31">
        <f>AS228+AT228</f>
        <v>2500</v>
      </c>
      <c r="AZ228" s="31">
        <f>G228/(100-BA228)*100</f>
        <v>50</v>
      </c>
      <c r="BA228" s="31">
        <v>0</v>
      </c>
      <c r="BB228" s="31">
        <f>J228</f>
        <v>0.0605</v>
      </c>
      <c r="BD228" s="19">
        <f>F228*AK228</f>
        <v>844.0041125338824</v>
      </c>
      <c r="BE228" s="19">
        <f>F228*AL228</f>
        <v>1655.9958874661174</v>
      </c>
      <c r="BF228" s="19">
        <f>F228*G228</f>
        <v>2500</v>
      </c>
    </row>
    <row r="229" spans="1:16" ht="12.75">
      <c r="A229" s="47"/>
      <c r="B229" s="47"/>
      <c r="C229" s="47"/>
      <c r="D229" s="48" t="s">
        <v>480</v>
      </c>
      <c r="E229" s="47"/>
      <c r="F229" s="49">
        <v>50</v>
      </c>
      <c r="G229" s="47"/>
      <c r="H229" s="70"/>
      <c r="I229" s="56"/>
      <c r="J229" s="56"/>
      <c r="L229" s="49">
        <v>50</v>
      </c>
      <c r="M229" s="47"/>
      <c r="N229" s="70"/>
      <c r="O229" s="56"/>
      <c r="P229" s="56"/>
    </row>
    <row r="230" spans="1:58" ht="12.75">
      <c r="A230" s="41" t="s">
        <v>90</v>
      </c>
      <c r="B230" s="41" t="s">
        <v>157</v>
      </c>
      <c r="C230" s="41" t="s">
        <v>242</v>
      </c>
      <c r="D230" s="41" t="s">
        <v>481</v>
      </c>
      <c r="E230" s="41" t="s">
        <v>630</v>
      </c>
      <c r="F230" s="44">
        <v>10</v>
      </c>
      <c r="G230" s="45">
        <v>64</v>
      </c>
      <c r="H230" s="69">
        <f>F230*G230</f>
        <v>640</v>
      </c>
      <c r="I230" s="55">
        <v>0.00158</v>
      </c>
      <c r="J230" s="55">
        <f>F230*I230</f>
        <v>0.0158</v>
      </c>
      <c r="L230" s="44">
        <v>10</v>
      </c>
      <c r="M230" s="45">
        <v>64</v>
      </c>
      <c r="N230" s="69">
        <f>L230*M230</f>
        <v>640</v>
      </c>
      <c r="O230" s="55">
        <v>0.00158</v>
      </c>
      <c r="P230" s="55">
        <f>L230*O230</f>
        <v>0.0158</v>
      </c>
      <c r="V230" s="31">
        <f>IF(AM230="5",BF230,0)</f>
        <v>0</v>
      </c>
      <c r="X230" s="31">
        <f>IF(AM230="1",BD230,0)</f>
        <v>227.70526315789505</v>
      </c>
      <c r="Y230" s="31">
        <f>IF(AM230="1",BE230,0)</f>
        <v>412.29473684210495</v>
      </c>
      <c r="Z230" s="31">
        <f>IF(AM230="7",BD230,0)</f>
        <v>0</v>
      </c>
      <c r="AA230" s="31">
        <f>IF(AM230="7",BE230,0)</f>
        <v>0</v>
      </c>
      <c r="AB230" s="31">
        <f>IF(AM230="2",BD230,0)</f>
        <v>0</v>
      </c>
      <c r="AC230" s="31">
        <f>IF(AM230="2",BE230,0)</f>
        <v>0</v>
      </c>
      <c r="AD230" s="31">
        <f>IF(AM230="0",BF230,0)</f>
        <v>0</v>
      </c>
      <c r="AE230" s="26" t="s">
        <v>157</v>
      </c>
      <c r="AF230" s="19">
        <f>IF(AJ230=0,H230,0)</f>
        <v>0</v>
      </c>
      <c r="AG230" s="19">
        <f>IF(AJ230=15,H230,0)</f>
        <v>0</v>
      </c>
      <c r="AH230" s="19">
        <f>IF(AJ230=21,H230,0)</f>
        <v>640</v>
      </c>
      <c r="AJ230" s="31">
        <v>21</v>
      </c>
      <c r="AK230" s="31">
        <f>G230*0.355789473684211</f>
        <v>22.770526315789503</v>
      </c>
      <c r="AL230" s="31">
        <f>G230*(1-0.355789473684211)</f>
        <v>41.2294736842105</v>
      </c>
      <c r="AM230" s="27" t="s">
        <v>7</v>
      </c>
      <c r="AR230" s="31">
        <f>AS230+AT230</f>
        <v>640</v>
      </c>
      <c r="AS230" s="31">
        <f>F230*AK230</f>
        <v>227.70526315789505</v>
      </c>
      <c r="AT230" s="31">
        <f>F230*AL230</f>
        <v>412.29473684210495</v>
      </c>
      <c r="AU230" s="32" t="s">
        <v>671</v>
      </c>
      <c r="AV230" s="32" t="s">
        <v>689</v>
      </c>
      <c r="AW230" s="26" t="s">
        <v>698</v>
      </c>
      <c r="AY230" s="31">
        <f>AS230+AT230</f>
        <v>640</v>
      </c>
      <c r="AZ230" s="31">
        <f>G230/(100-BA230)*100</f>
        <v>64</v>
      </c>
      <c r="BA230" s="31">
        <v>0</v>
      </c>
      <c r="BB230" s="31">
        <f>J230</f>
        <v>0.0158</v>
      </c>
      <c r="BD230" s="19">
        <f>F230*AK230</f>
        <v>227.70526315789505</v>
      </c>
      <c r="BE230" s="19">
        <f>F230*AL230</f>
        <v>412.29473684210495</v>
      </c>
      <c r="BF230" s="19">
        <f>F230*G230</f>
        <v>640</v>
      </c>
    </row>
    <row r="231" spans="1:16" ht="12.75">
      <c r="A231" s="42"/>
      <c r="B231" s="42"/>
      <c r="C231" s="42"/>
      <c r="D231" s="43" t="s">
        <v>482</v>
      </c>
      <c r="E231" s="42"/>
      <c r="F231" s="46">
        <v>10</v>
      </c>
      <c r="G231" s="42"/>
      <c r="H231" s="42"/>
      <c r="I231" s="57"/>
      <c r="J231" s="57"/>
      <c r="L231" s="46">
        <v>10</v>
      </c>
      <c r="M231" s="42"/>
      <c r="N231" s="42"/>
      <c r="O231" s="57"/>
      <c r="P231" s="57"/>
    </row>
    <row r="232" spans="1:43" ht="12.75">
      <c r="A232" s="4"/>
      <c r="B232" s="13" t="s">
        <v>157</v>
      </c>
      <c r="C232" s="13" t="s">
        <v>101</v>
      </c>
      <c r="D232" s="13" t="s">
        <v>483</v>
      </c>
      <c r="E232" s="4" t="s">
        <v>6</v>
      </c>
      <c r="F232" s="4" t="s">
        <v>6</v>
      </c>
      <c r="G232" s="4"/>
      <c r="H232" s="34">
        <f>SUM(H233:H233)</f>
        <v>2795.31</v>
      </c>
      <c r="I232" s="54"/>
      <c r="J232" s="54">
        <f>SUM(J233:J233)</f>
        <v>0.0038556000000000003</v>
      </c>
      <c r="L232" s="4" t="s">
        <v>6</v>
      </c>
      <c r="M232" s="4"/>
      <c r="N232" s="34">
        <f>SUM(N233:N235)</f>
        <v>14769.31</v>
      </c>
      <c r="O232" s="54"/>
      <c r="P232" s="54">
        <f>SUM(P233:P235)</f>
        <v>0.0098556</v>
      </c>
      <c r="AE232" s="26" t="s">
        <v>157</v>
      </c>
      <c r="AO232" s="34">
        <f>SUM(AF233:AF233)</f>
        <v>0</v>
      </c>
      <c r="AP232" s="34">
        <f>SUM(AG233:AG233)</f>
        <v>0</v>
      </c>
      <c r="AQ232" s="34">
        <f>SUM(AH233:AH233)</f>
        <v>2795.31</v>
      </c>
    </row>
    <row r="233" spans="1:58" ht="12.75">
      <c r="A233" s="41" t="s">
        <v>91</v>
      </c>
      <c r="B233" s="41" t="s">
        <v>157</v>
      </c>
      <c r="C233" s="41" t="s">
        <v>243</v>
      </c>
      <c r="D233" s="41" t="s">
        <v>484</v>
      </c>
      <c r="E233" s="41" t="s">
        <v>630</v>
      </c>
      <c r="F233" s="44">
        <v>96.39</v>
      </c>
      <c r="G233" s="45">
        <v>29</v>
      </c>
      <c r="H233" s="69">
        <f>F233*G233</f>
        <v>2795.31</v>
      </c>
      <c r="I233" s="55">
        <v>4E-05</v>
      </c>
      <c r="J233" s="55">
        <f>F233*I233</f>
        <v>0.0038556000000000003</v>
      </c>
      <c r="L233" s="44">
        <v>96.39</v>
      </c>
      <c r="M233" s="45">
        <v>29</v>
      </c>
      <c r="N233" s="69">
        <f>L233*M233</f>
        <v>2795.31</v>
      </c>
      <c r="O233" s="55">
        <v>4E-05</v>
      </c>
      <c r="P233" s="55">
        <f>L233*O233</f>
        <v>0.0038556000000000003</v>
      </c>
      <c r="V233" s="31">
        <f>IF(AM233="5",BF233,0)</f>
        <v>0</v>
      </c>
      <c r="X233" s="31">
        <f>IF(AM233="1",BD233,0)</f>
        <v>34.60858445681996</v>
      </c>
      <c r="Y233" s="31">
        <f>IF(AM233="1",BE233,0)</f>
        <v>2760.70141554318</v>
      </c>
      <c r="Z233" s="31">
        <f>IF(AM233="7",BD233,0)</f>
        <v>0</v>
      </c>
      <c r="AA233" s="31">
        <f>IF(AM233="7",BE233,0)</f>
        <v>0</v>
      </c>
      <c r="AB233" s="31">
        <f>IF(AM233="2",BD233,0)</f>
        <v>0</v>
      </c>
      <c r="AC233" s="31">
        <f>IF(AM233="2",BE233,0)</f>
        <v>0</v>
      </c>
      <c r="AD233" s="31">
        <f>IF(AM233="0",BF233,0)</f>
        <v>0</v>
      </c>
      <c r="AE233" s="26" t="s">
        <v>157</v>
      </c>
      <c r="AF233" s="19">
        <f>IF(AJ233=0,H233,0)</f>
        <v>0</v>
      </c>
      <c r="AG233" s="19">
        <f>IF(AJ233=15,H233,0)</f>
        <v>0</v>
      </c>
      <c r="AH233" s="19">
        <f>IF(AJ233=21,H233,0)</f>
        <v>2795.31</v>
      </c>
      <c r="AJ233" s="31">
        <v>21</v>
      </c>
      <c r="AK233" s="31">
        <f>G233*0.0123809468205029</f>
        <v>0.35904745779458414</v>
      </c>
      <c r="AL233" s="31">
        <f>G233*(1-0.0123809468205029)</f>
        <v>28.640952542205415</v>
      </c>
      <c r="AM233" s="27" t="s">
        <v>7</v>
      </c>
      <c r="AR233" s="31">
        <f>AS233+AT233</f>
        <v>2795.31</v>
      </c>
      <c r="AS233" s="31">
        <f>F233*AK233</f>
        <v>34.60858445681996</v>
      </c>
      <c r="AT233" s="31">
        <f>F233*AL233</f>
        <v>2760.70141554318</v>
      </c>
      <c r="AU233" s="32" t="s">
        <v>672</v>
      </c>
      <c r="AV233" s="32" t="s">
        <v>689</v>
      </c>
      <c r="AW233" s="26" t="s">
        <v>698</v>
      </c>
      <c r="AY233" s="31">
        <f>AS233+AT233</f>
        <v>2795.31</v>
      </c>
      <c r="AZ233" s="31">
        <f>G233/(100-BA233)*100</f>
        <v>28.999999999999996</v>
      </c>
      <c r="BA233" s="31">
        <v>0</v>
      </c>
      <c r="BB233" s="31">
        <f>J233</f>
        <v>0.0038556000000000003</v>
      </c>
      <c r="BD233" s="19">
        <f>F233*AK233</f>
        <v>34.60858445681996</v>
      </c>
      <c r="BE233" s="19">
        <f>F233*AL233</f>
        <v>2760.70141554318</v>
      </c>
      <c r="BF233" s="19">
        <f>F233*G233</f>
        <v>2795.31</v>
      </c>
    </row>
    <row r="234" spans="1:16" ht="12.75">
      <c r="A234" s="42"/>
      <c r="B234" s="42"/>
      <c r="C234" s="42"/>
      <c r="D234" s="43" t="s">
        <v>437</v>
      </c>
      <c r="E234" s="42"/>
      <c r="F234" s="46">
        <v>96.39</v>
      </c>
      <c r="G234" s="42"/>
      <c r="H234" s="42"/>
      <c r="I234" s="57"/>
      <c r="J234" s="57"/>
      <c r="L234" s="46">
        <v>96.39</v>
      </c>
      <c r="M234" s="42"/>
      <c r="N234" s="42"/>
      <c r="O234" s="57"/>
      <c r="P234" s="57"/>
    </row>
    <row r="235" spans="1:16" ht="12.75">
      <c r="A235" s="116" t="s">
        <v>771</v>
      </c>
      <c r="B235" s="42"/>
      <c r="C235" s="109"/>
      <c r="D235" s="110" t="s">
        <v>773</v>
      </c>
      <c r="E235" s="118" t="s">
        <v>772</v>
      </c>
      <c r="F235" s="44"/>
      <c r="G235" s="45"/>
      <c r="H235" s="69"/>
      <c r="I235" s="55"/>
      <c r="J235" s="55"/>
      <c r="L235" s="113">
        <v>1</v>
      </c>
      <c r="M235" s="69">
        <v>11974</v>
      </c>
      <c r="N235" s="69">
        <f>L235*M235</f>
        <v>11974</v>
      </c>
      <c r="O235" s="112">
        <v>0.006</v>
      </c>
      <c r="P235" s="55">
        <f>L235*O235</f>
        <v>0.006</v>
      </c>
    </row>
    <row r="236" spans="1:43" ht="12.75">
      <c r="A236" s="4"/>
      <c r="B236" s="13" t="s">
        <v>157</v>
      </c>
      <c r="C236" s="13" t="s">
        <v>244</v>
      </c>
      <c r="D236" s="13" t="s">
        <v>485</v>
      </c>
      <c r="E236" s="4" t="s">
        <v>6</v>
      </c>
      <c r="F236" s="4" t="s">
        <v>6</v>
      </c>
      <c r="G236" s="4"/>
      <c r="H236" s="34">
        <f>SUM(H237:H249)</f>
        <v>7339.5</v>
      </c>
      <c r="I236" s="54"/>
      <c r="J236" s="54">
        <f>SUM(J237:J249)</f>
        <v>0</v>
      </c>
      <c r="L236" s="4" t="s">
        <v>6</v>
      </c>
      <c r="M236" s="4"/>
      <c r="N236" s="34">
        <f>SUM(N237:N249)</f>
        <v>7339.5</v>
      </c>
      <c r="O236" s="54"/>
      <c r="P236" s="54">
        <f>SUM(P237:P249)</f>
        <v>0</v>
      </c>
      <c r="AE236" s="26" t="s">
        <v>157</v>
      </c>
      <c r="AO236" s="34">
        <f>SUM(AF237:AF249)</f>
        <v>0</v>
      </c>
      <c r="AP236" s="34">
        <f>SUM(AG237:AG249)</f>
        <v>0</v>
      </c>
      <c r="AQ236" s="34">
        <f>SUM(AH237:AH249)</f>
        <v>7339.5</v>
      </c>
    </row>
    <row r="237" spans="1:58" ht="12.75">
      <c r="A237" s="41" t="s">
        <v>92</v>
      </c>
      <c r="B237" s="41" t="s">
        <v>157</v>
      </c>
      <c r="C237" s="41" t="s">
        <v>245</v>
      </c>
      <c r="D237" s="41" t="s">
        <v>486</v>
      </c>
      <c r="E237" s="41" t="s">
        <v>632</v>
      </c>
      <c r="F237" s="44">
        <v>7</v>
      </c>
      <c r="G237" s="45">
        <v>234</v>
      </c>
      <c r="H237" s="69">
        <f>F237*G237</f>
        <v>1638</v>
      </c>
      <c r="I237" s="55">
        <v>0</v>
      </c>
      <c r="J237" s="55">
        <f>F237*I237</f>
        <v>0</v>
      </c>
      <c r="L237" s="44">
        <v>7</v>
      </c>
      <c r="M237" s="45">
        <v>234</v>
      </c>
      <c r="N237" s="69">
        <f>L237*M237</f>
        <v>1638</v>
      </c>
      <c r="O237" s="55">
        <v>0</v>
      </c>
      <c r="P237" s="55">
        <f>L237*O237</f>
        <v>0</v>
      </c>
      <c r="V237" s="31">
        <f>IF(AM237="5",BF237,0)</f>
        <v>1638</v>
      </c>
      <c r="X237" s="31">
        <f>IF(AM237="1",BD237,0)</f>
        <v>0</v>
      </c>
      <c r="Y237" s="31">
        <f>IF(AM237="1",BE237,0)</f>
        <v>0</v>
      </c>
      <c r="Z237" s="31">
        <f>IF(AM237="7",BD237,0)</f>
        <v>0</v>
      </c>
      <c r="AA237" s="31">
        <f>IF(AM237="7",BE237,0)</f>
        <v>0</v>
      </c>
      <c r="AB237" s="31">
        <f>IF(AM237="2",BD237,0)</f>
        <v>0</v>
      </c>
      <c r="AC237" s="31">
        <f>IF(AM237="2",BE237,0)</f>
        <v>0</v>
      </c>
      <c r="AD237" s="31">
        <f>IF(AM237="0",BF237,0)</f>
        <v>0</v>
      </c>
      <c r="AE237" s="26" t="s">
        <v>157</v>
      </c>
      <c r="AF237" s="19">
        <f>IF(AJ237=0,H237,0)</f>
        <v>0</v>
      </c>
      <c r="AG237" s="19">
        <f>IF(AJ237=15,H237,0)</f>
        <v>0</v>
      </c>
      <c r="AH237" s="19">
        <f>IF(AJ237=21,H237,0)</f>
        <v>1638</v>
      </c>
      <c r="AJ237" s="31">
        <v>21</v>
      </c>
      <c r="AK237" s="31">
        <f>G237*0</f>
        <v>0</v>
      </c>
      <c r="AL237" s="31">
        <f>G237*(1-0)</f>
        <v>234</v>
      </c>
      <c r="AM237" s="27" t="s">
        <v>11</v>
      </c>
      <c r="AR237" s="31">
        <f>AS237+AT237</f>
        <v>1638</v>
      </c>
      <c r="AS237" s="31">
        <f>F237*AK237</f>
        <v>0</v>
      </c>
      <c r="AT237" s="31">
        <f>F237*AL237</f>
        <v>1638</v>
      </c>
      <c r="AU237" s="32" t="s">
        <v>673</v>
      </c>
      <c r="AV237" s="32" t="s">
        <v>689</v>
      </c>
      <c r="AW237" s="26" t="s">
        <v>698</v>
      </c>
      <c r="AY237" s="31">
        <f>AS237+AT237</f>
        <v>1638</v>
      </c>
      <c r="AZ237" s="31">
        <f>G237/(100-BA237)*100</f>
        <v>234</v>
      </c>
      <c r="BA237" s="31">
        <v>0</v>
      </c>
      <c r="BB237" s="31">
        <f>J237</f>
        <v>0</v>
      </c>
      <c r="BD237" s="19">
        <f>F237*AK237</f>
        <v>0</v>
      </c>
      <c r="BE237" s="19">
        <f>F237*AL237</f>
        <v>1638</v>
      </c>
      <c r="BF237" s="19">
        <f>F237*G237</f>
        <v>1638</v>
      </c>
    </row>
    <row r="238" spans="1:16" ht="12.75">
      <c r="A238" s="47"/>
      <c r="B238" s="47"/>
      <c r="C238" s="47"/>
      <c r="D238" s="48" t="s">
        <v>487</v>
      </c>
      <c r="E238" s="47"/>
      <c r="F238" s="49">
        <v>7</v>
      </c>
      <c r="G238" s="47"/>
      <c r="H238" s="70"/>
      <c r="I238" s="56"/>
      <c r="J238" s="56"/>
      <c r="L238" s="49">
        <v>7</v>
      </c>
      <c r="M238" s="47"/>
      <c r="N238" s="70"/>
      <c r="O238" s="56"/>
      <c r="P238" s="56"/>
    </row>
    <row r="239" spans="1:58" ht="12.75">
      <c r="A239" s="41" t="s">
        <v>93</v>
      </c>
      <c r="B239" s="41" t="s">
        <v>157</v>
      </c>
      <c r="C239" s="41" t="s">
        <v>246</v>
      </c>
      <c r="D239" s="41" t="s">
        <v>488</v>
      </c>
      <c r="E239" s="41" t="s">
        <v>632</v>
      </c>
      <c r="F239" s="44">
        <v>140</v>
      </c>
      <c r="G239" s="45">
        <v>10</v>
      </c>
      <c r="H239" s="69">
        <f>F239*G239</f>
        <v>1400</v>
      </c>
      <c r="I239" s="55">
        <v>0</v>
      </c>
      <c r="J239" s="55">
        <f>F239*I239</f>
        <v>0</v>
      </c>
      <c r="L239" s="44">
        <v>140</v>
      </c>
      <c r="M239" s="45">
        <v>10</v>
      </c>
      <c r="N239" s="69">
        <f>L239*M239</f>
        <v>1400</v>
      </c>
      <c r="O239" s="55">
        <v>0</v>
      </c>
      <c r="P239" s="55">
        <f>L239*O239</f>
        <v>0</v>
      </c>
      <c r="V239" s="31">
        <f>IF(AM239="5",BF239,0)</f>
        <v>1400</v>
      </c>
      <c r="X239" s="31">
        <f>IF(AM239="1",BD239,0)</f>
        <v>0</v>
      </c>
      <c r="Y239" s="31">
        <f>IF(AM239="1",BE239,0)</f>
        <v>0</v>
      </c>
      <c r="Z239" s="31">
        <f>IF(AM239="7",BD239,0)</f>
        <v>0</v>
      </c>
      <c r="AA239" s="31">
        <f>IF(AM239="7",BE239,0)</f>
        <v>0</v>
      </c>
      <c r="AB239" s="31">
        <f>IF(AM239="2",BD239,0)</f>
        <v>0</v>
      </c>
      <c r="AC239" s="31">
        <f>IF(AM239="2",BE239,0)</f>
        <v>0</v>
      </c>
      <c r="AD239" s="31">
        <f>IF(AM239="0",BF239,0)</f>
        <v>0</v>
      </c>
      <c r="AE239" s="26" t="s">
        <v>157</v>
      </c>
      <c r="AF239" s="19">
        <f>IF(AJ239=0,H239,0)</f>
        <v>0</v>
      </c>
      <c r="AG239" s="19">
        <f>IF(AJ239=15,H239,0)</f>
        <v>0</v>
      </c>
      <c r="AH239" s="19">
        <f>IF(AJ239=21,H239,0)</f>
        <v>1400</v>
      </c>
      <c r="AJ239" s="31">
        <v>21</v>
      </c>
      <c r="AK239" s="31">
        <f>G239*0</f>
        <v>0</v>
      </c>
      <c r="AL239" s="31">
        <f>G239*(1-0)</f>
        <v>10</v>
      </c>
      <c r="AM239" s="27" t="s">
        <v>11</v>
      </c>
      <c r="AR239" s="31">
        <f>AS239+AT239</f>
        <v>1400</v>
      </c>
      <c r="AS239" s="31">
        <f>F239*AK239</f>
        <v>0</v>
      </c>
      <c r="AT239" s="31">
        <f>F239*AL239</f>
        <v>1400</v>
      </c>
      <c r="AU239" s="32" t="s">
        <v>673</v>
      </c>
      <c r="AV239" s="32" t="s">
        <v>689</v>
      </c>
      <c r="AW239" s="26" t="s">
        <v>698</v>
      </c>
      <c r="AY239" s="31">
        <f>AS239+AT239</f>
        <v>1400</v>
      </c>
      <c r="AZ239" s="31">
        <f>G239/(100-BA239)*100</f>
        <v>10</v>
      </c>
      <c r="BA239" s="31">
        <v>0</v>
      </c>
      <c r="BB239" s="31">
        <f>J239</f>
        <v>0</v>
      </c>
      <c r="BD239" s="19">
        <f>F239*AK239</f>
        <v>0</v>
      </c>
      <c r="BE239" s="19">
        <f>F239*AL239</f>
        <v>1400</v>
      </c>
      <c r="BF239" s="19">
        <f>F239*G239</f>
        <v>1400</v>
      </c>
    </row>
    <row r="240" spans="1:16" ht="12.75">
      <c r="A240" s="47"/>
      <c r="B240" s="47"/>
      <c r="C240" s="47"/>
      <c r="D240" s="48" t="s">
        <v>489</v>
      </c>
      <c r="E240" s="47"/>
      <c r="F240" s="49">
        <v>140</v>
      </c>
      <c r="G240" s="47"/>
      <c r="H240" s="70"/>
      <c r="I240" s="56"/>
      <c r="J240" s="56"/>
      <c r="L240" s="49">
        <v>140</v>
      </c>
      <c r="M240" s="47"/>
      <c r="N240" s="70"/>
      <c r="O240" s="56"/>
      <c r="P240" s="56"/>
    </row>
    <row r="241" spans="1:58" ht="12.75">
      <c r="A241" s="41" t="s">
        <v>94</v>
      </c>
      <c r="B241" s="41" t="s">
        <v>157</v>
      </c>
      <c r="C241" s="41" t="s">
        <v>247</v>
      </c>
      <c r="D241" s="41" t="s">
        <v>490</v>
      </c>
      <c r="E241" s="41" t="s">
        <v>632</v>
      </c>
      <c r="F241" s="44">
        <v>7</v>
      </c>
      <c r="G241" s="45">
        <v>133</v>
      </c>
      <c r="H241" s="69">
        <f>F241*G241</f>
        <v>931</v>
      </c>
      <c r="I241" s="55">
        <v>0</v>
      </c>
      <c r="J241" s="55">
        <f>F241*I241</f>
        <v>0</v>
      </c>
      <c r="L241" s="44">
        <v>7</v>
      </c>
      <c r="M241" s="45">
        <v>133</v>
      </c>
      <c r="N241" s="69">
        <f>L241*M241</f>
        <v>931</v>
      </c>
      <c r="O241" s="55">
        <v>0</v>
      </c>
      <c r="P241" s="55">
        <f>L241*O241</f>
        <v>0</v>
      </c>
      <c r="V241" s="31">
        <f>IF(AM241="5",BF241,0)</f>
        <v>931</v>
      </c>
      <c r="X241" s="31">
        <f>IF(AM241="1",BD241,0)</f>
        <v>0</v>
      </c>
      <c r="Y241" s="31">
        <f>IF(AM241="1",BE241,0)</f>
        <v>0</v>
      </c>
      <c r="Z241" s="31">
        <f>IF(AM241="7",BD241,0)</f>
        <v>0</v>
      </c>
      <c r="AA241" s="31">
        <f>IF(AM241="7",BE241,0)</f>
        <v>0</v>
      </c>
      <c r="AB241" s="31">
        <f>IF(AM241="2",BD241,0)</f>
        <v>0</v>
      </c>
      <c r="AC241" s="31">
        <f>IF(AM241="2",BE241,0)</f>
        <v>0</v>
      </c>
      <c r="AD241" s="31">
        <f>IF(AM241="0",BF241,0)</f>
        <v>0</v>
      </c>
      <c r="AE241" s="26" t="s">
        <v>157</v>
      </c>
      <c r="AF241" s="19">
        <f>IF(AJ241=0,H241,0)</f>
        <v>0</v>
      </c>
      <c r="AG241" s="19">
        <f>IF(AJ241=15,H241,0)</f>
        <v>0</v>
      </c>
      <c r="AH241" s="19">
        <f>IF(AJ241=21,H241,0)</f>
        <v>931</v>
      </c>
      <c r="AJ241" s="31">
        <v>21</v>
      </c>
      <c r="AK241" s="31">
        <f>G241*0</f>
        <v>0</v>
      </c>
      <c r="AL241" s="31">
        <f>G241*(1-0)</f>
        <v>133</v>
      </c>
      <c r="AM241" s="27" t="s">
        <v>11</v>
      </c>
      <c r="AR241" s="31">
        <f>AS241+AT241</f>
        <v>931</v>
      </c>
      <c r="AS241" s="31">
        <f>F241*AK241</f>
        <v>0</v>
      </c>
      <c r="AT241" s="31">
        <f>F241*AL241</f>
        <v>931</v>
      </c>
      <c r="AU241" s="32" t="s">
        <v>673</v>
      </c>
      <c r="AV241" s="32" t="s">
        <v>689</v>
      </c>
      <c r="AW241" s="26" t="s">
        <v>698</v>
      </c>
      <c r="AY241" s="31">
        <f>AS241+AT241</f>
        <v>931</v>
      </c>
      <c r="AZ241" s="31">
        <f>G241/(100-BA241)*100</f>
        <v>133</v>
      </c>
      <c r="BA241" s="31">
        <v>0</v>
      </c>
      <c r="BB241" s="31">
        <f>J241</f>
        <v>0</v>
      </c>
      <c r="BD241" s="19">
        <f>F241*AK241</f>
        <v>0</v>
      </c>
      <c r="BE241" s="19">
        <f>F241*AL241</f>
        <v>931</v>
      </c>
      <c r="BF241" s="19">
        <f>F241*G241</f>
        <v>931</v>
      </c>
    </row>
    <row r="242" spans="1:16" ht="12.75">
      <c r="A242" s="47"/>
      <c r="B242" s="47"/>
      <c r="C242" s="47"/>
      <c r="D242" s="48" t="s">
        <v>491</v>
      </c>
      <c r="E242" s="47"/>
      <c r="F242" s="49">
        <v>7</v>
      </c>
      <c r="G242" s="47"/>
      <c r="H242" s="70"/>
      <c r="I242" s="56"/>
      <c r="J242" s="56"/>
      <c r="L242" s="49">
        <v>7</v>
      </c>
      <c r="M242" s="47"/>
      <c r="N242" s="70"/>
      <c r="O242" s="56"/>
      <c r="P242" s="56"/>
    </row>
    <row r="243" spans="1:58" ht="12.75">
      <c r="A243" s="41" t="s">
        <v>95</v>
      </c>
      <c r="B243" s="41" t="s">
        <v>157</v>
      </c>
      <c r="C243" s="41" t="s">
        <v>248</v>
      </c>
      <c r="D243" s="41" t="s">
        <v>492</v>
      </c>
      <c r="E243" s="41" t="s">
        <v>632</v>
      </c>
      <c r="F243" s="44">
        <v>70</v>
      </c>
      <c r="G243" s="45">
        <v>18.5</v>
      </c>
      <c r="H243" s="69">
        <f>F243*G243</f>
        <v>1295</v>
      </c>
      <c r="I243" s="55">
        <v>0</v>
      </c>
      <c r="J243" s="55">
        <f>F243*I243</f>
        <v>0</v>
      </c>
      <c r="L243" s="44">
        <v>70</v>
      </c>
      <c r="M243" s="45">
        <v>18.5</v>
      </c>
      <c r="N243" s="69">
        <f>L243*M243</f>
        <v>1295</v>
      </c>
      <c r="O243" s="55">
        <v>0</v>
      </c>
      <c r="P243" s="55">
        <f>L243*O243</f>
        <v>0</v>
      </c>
      <c r="V243" s="31">
        <f>IF(AM243="5",BF243,0)</f>
        <v>1295</v>
      </c>
      <c r="X243" s="31">
        <f>IF(AM243="1",BD243,0)</f>
        <v>0</v>
      </c>
      <c r="Y243" s="31">
        <f>IF(AM243="1",BE243,0)</f>
        <v>0</v>
      </c>
      <c r="Z243" s="31">
        <f>IF(AM243="7",BD243,0)</f>
        <v>0</v>
      </c>
      <c r="AA243" s="31">
        <f>IF(AM243="7",BE243,0)</f>
        <v>0</v>
      </c>
      <c r="AB243" s="31">
        <f>IF(AM243="2",BD243,0)</f>
        <v>0</v>
      </c>
      <c r="AC243" s="31">
        <f>IF(AM243="2",BE243,0)</f>
        <v>0</v>
      </c>
      <c r="AD243" s="31">
        <f>IF(AM243="0",BF243,0)</f>
        <v>0</v>
      </c>
      <c r="AE243" s="26" t="s">
        <v>157</v>
      </c>
      <c r="AF243" s="19">
        <f>IF(AJ243=0,H243,0)</f>
        <v>0</v>
      </c>
      <c r="AG243" s="19">
        <f>IF(AJ243=15,H243,0)</f>
        <v>0</v>
      </c>
      <c r="AH243" s="19">
        <f>IF(AJ243=21,H243,0)</f>
        <v>1295</v>
      </c>
      <c r="AJ243" s="31">
        <v>21</v>
      </c>
      <c r="AK243" s="31">
        <f>G243*0</f>
        <v>0</v>
      </c>
      <c r="AL243" s="31">
        <f>G243*(1-0)</f>
        <v>18.5</v>
      </c>
      <c r="AM243" s="27" t="s">
        <v>11</v>
      </c>
      <c r="AR243" s="31">
        <f>AS243+AT243</f>
        <v>1295</v>
      </c>
      <c r="AS243" s="31">
        <f>F243*AK243</f>
        <v>0</v>
      </c>
      <c r="AT243" s="31">
        <f>F243*AL243</f>
        <v>1295</v>
      </c>
      <c r="AU243" s="32" t="s">
        <v>673</v>
      </c>
      <c r="AV243" s="32" t="s">
        <v>689</v>
      </c>
      <c r="AW243" s="26" t="s">
        <v>698</v>
      </c>
      <c r="AY243" s="31">
        <f>AS243+AT243</f>
        <v>1295</v>
      </c>
      <c r="AZ243" s="31">
        <f>G243/(100-BA243)*100</f>
        <v>18.5</v>
      </c>
      <c r="BA243" s="31">
        <v>0</v>
      </c>
      <c r="BB243" s="31">
        <f>J243</f>
        <v>0</v>
      </c>
      <c r="BD243" s="19">
        <f>F243*AK243</f>
        <v>0</v>
      </c>
      <c r="BE243" s="19">
        <f>F243*AL243</f>
        <v>1295</v>
      </c>
      <c r="BF243" s="19">
        <f>F243*G243</f>
        <v>1295</v>
      </c>
    </row>
    <row r="244" spans="1:16" ht="12.75">
      <c r="A244" s="47"/>
      <c r="B244" s="47"/>
      <c r="C244" s="47"/>
      <c r="D244" s="48" t="s">
        <v>493</v>
      </c>
      <c r="E244" s="47"/>
      <c r="F244" s="49">
        <v>70</v>
      </c>
      <c r="G244" s="47"/>
      <c r="H244" s="70"/>
      <c r="I244" s="56"/>
      <c r="J244" s="56"/>
      <c r="L244" s="49">
        <v>70</v>
      </c>
      <c r="M244" s="47"/>
      <c r="N244" s="70"/>
      <c r="O244" s="56"/>
      <c r="P244" s="56"/>
    </row>
    <row r="245" spans="1:58" ht="12.75">
      <c r="A245" s="41" t="s">
        <v>96</v>
      </c>
      <c r="B245" s="41" t="s">
        <v>157</v>
      </c>
      <c r="C245" s="41" t="s">
        <v>249</v>
      </c>
      <c r="D245" s="41" t="s">
        <v>494</v>
      </c>
      <c r="E245" s="41" t="s">
        <v>632</v>
      </c>
      <c r="F245" s="44">
        <v>7</v>
      </c>
      <c r="G245" s="45">
        <v>12.5</v>
      </c>
      <c r="H245" s="69">
        <f>F245*G245</f>
        <v>87.5</v>
      </c>
      <c r="I245" s="55">
        <v>0</v>
      </c>
      <c r="J245" s="55">
        <f>F245*I245</f>
        <v>0</v>
      </c>
      <c r="L245" s="44">
        <v>7</v>
      </c>
      <c r="M245" s="45">
        <v>12.5</v>
      </c>
      <c r="N245" s="69">
        <f>L245*M245</f>
        <v>87.5</v>
      </c>
      <c r="O245" s="55">
        <v>0</v>
      </c>
      <c r="P245" s="55">
        <f>L245*O245</f>
        <v>0</v>
      </c>
      <c r="V245" s="31">
        <f>IF(AM245="5",BF245,0)</f>
        <v>87.5</v>
      </c>
      <c r="X245" s="31">
        <f>IF(AM245="1",BD245,0)</f>
        <v>0</v>
      </c>
      <c r="Y245" s="31">
        <f>IF(AM245="1",BE245,0)</f>
        <v>0</v>
      </c>
      <c r="Z245" s="31">
        <f>IF(AM245="7",BD245,0)</f>
        <v>0</v>
      </c>
      <c r="AA245" s="31">
        <f>IF(AM245="7",BE245,0)</f>
        <v>0</v>
      </c>
      <c r="AB245" s="31">
        <f>IF(AM245="2",BD245,0)</f>
        <v>0</v>
      </c>
      <c r="AC245" s="31">
        <f>IF(AM245="2",BE245,0)</f>
        <v>0</v>
      </c>
      <c r="AD245" s="31">
        <f>IF(AM245="0",BF245,0)</f>
        <v>0</v>
      </c>
      <c r="AE245" s="26" t="s">
        <v>157</v>
      </c>
      <c r="AF245" s="19">
        <f>IF(AJ245=0,H245,0)</f>
        <v>0</v>
      </c>
      <c r="AG245" s="19">
        <f>IF(AJ245=15,H245,0)</f>
        <v>0</v>
      </c>
      <c r="AH245" s="19">
        <f>IF(AJ245=21,H245,0)</f>
        <v>87.5</v>
      </c>
      <c r="AJ245" s="31">
        <v>21</v>
      </c>
      <c r="AK245" s="31">
        <f>G245*0</f>
        <v>0</v>
      </c>
      <c r="AL245" s="31">
        <f>G245*(1-0)</f>
        <v>12.5</v>
      </c>
      <c r="AM245" s="27" t="s">
        <v>11</v>
      </c>
      <c r="AR245" s="31">
        <f>AS245+AT245</f>
        <v>87.5</v>
      </c>
      <c r="AS245" s="31">
        <f>F245*AK245</f>
        <v>0</v>
      </c>
      <c r="AT245" s="31">
        <f>F245*AL245</f>
        <v>87.5</v>
      </c>
      <c r="AU245" s="32" t="s">
        <v>673</v>
      </c>
      <c r="AV245" s="32" t="s">
        <v>689</v>
      </c>
      <c r="AW245" s="26" t="s">
        <v>698</v>
      </c>
      <c r="AY245" s="31">
        <f>AS245+AT245</f>
        <v>87.5</v>
      </c>
      <c r="AZ245" s="31">
        <f>G245/(100-BA245)*100</f>
        <v>12.5</v>
      </c>
      <c r="BA245" s="31">
        <v>0</v>
      </c>
      <c r="BB245" s="31">
        <f>J245</f>
        <v>0</v>
      </c>
      <c r="BD245" s="19">
        <f>F245*AK245</f>
        <v>0</v>
      </c>
      <c r="BE245" s="19">
        <f>F245*AL245</f>
        <v>87.5</v>
      </c>
      <c r="BF245" s="19">
        <f>F245*G245</f>
        <v>87.5</v>
      </c>
    </row>
    <row r="246" spans="1:16" ht="12.75">
      <c r="A246" s="47"/>
      <c r="B246" s="47"/>
      <c r="C246" s="47"/>
      <c r="D246" s="48" t="s">
        <v>491</v>
      </c>
      <c r="E246" s="47"/>
      <c r="F246" s="49">
        <v>7</v>
      </c>
      <c r="G246" s="47"/>
      <c r="H246" s="70"/>
      <c r="I246" s="56"/>
      <c r="J246" s="56"/>
      <c r="L246" s="49">
        <v>7</v>
      </c>
      <c r="M246" s="47"/>
      <c r="N246" s="70"/>
      <c r="O246" s="56"/>
      <c r="P246" s="56"/>
    </row>
    <row r="247" spans="1:58" ht="12.75">
      <c r="A247" s="41" t="s">
        <v>97</v>
      </c>
      <c r="B247" s="41" t="s">
        <v>157</v>
      </c>
      <c r="C247" s="41" t="s">
        <v>250</v>
      </c>
      <c r="D247" s="41" t="s">
        <v>495</v>
      </c>
      <c r="E247" s="41" t="s">
        <v>632</v>
      </c>
      <c r="F247" s="44">
        <v>7</v>
      </c>
      <c r="G247" s="45">
        <v>84</v>
      </c>
      <c r="H247" s="69">
        <f>F247*G247</f>
        <v>588</v>
      </c>
      <c r="I247" s="55">
        <v>0</v>
      </c>
      <c r="J247" s="55">
        <f>F247*I247</f>
        <v>0</v>
      </c>
      <c r="L247" s="44">
        <v>7</v>
      </c>
      <c r="M247" s="45">
        <v>84</v>
      </c>
      <c r="N247" s="69">
        <f>L247*M247</f>
        <v>588</v>
      </c>
      <c r="O247" s="55">
        <v>0</v>
      </c>
      <c r="P247" s="55">
        <f>L247*O247</f>
        <v>0</v>
      </c>
      <c r="V247" s="31">
        <f>IF(AM247="5",BF247,0)</f>
        <v>588</v>
      </c>
      <c r="X247" s="31">
        <f>IF(AM247="1",BD247,0)</f>
        <v>0</v>
      </c>
      <c r="Y247" s="31">
        <f>IF(AM247="1",BE247,0)</f>
        <v>0</v>
      </c>
      <c r="Z247" s="31">
        <f>IF(AM247="7",BD247,0)</f>
        <v>0</v>
      </c>
      <c r="AA247" s="31">
        <f>IF(AM247="7",BE247,0)</f>
        <v>0</v>
      </c>
      <c r="AB247" s="31">
        <f>IF(AM247="2",BD247,0)</f>
        <v>0</v>
      </c>
      <c r="AC247" s="31">
        <f>IF(AM247="2",BE247,0)</f>
        <v>0</v>
      </c>
      <c r="AD247" s="31">
        <f>IF(AM247="0",BF247,0)</f>
        <v>0</v>
      </c>
      <c r="AE247" s="26" t="s">
        <v>157</v>
      </c>
      <c r="AF247" s="19">
        <f>IF(AJ247=0,H247,0)</f>
        <v>0</v>
      </c>
      <c r="AG247" s="19">
        <f>IF(AJ247=15,H247,0)</f>
        <v>0</v>
      </c>
      <c r="AH247" s="19">
        <f>IF(AJ247=21,H247,0)</f>
        <v>588</v>
      </c>
      <c r="AJ247" s="31">
        <v>21</v>
      </c>
      <c r="AK247" s="31">
        <f>G247*0</f>
        <v>0</v>
      </c>
      <c r="AL247" s="31">
        <f>G247*(1-0)</f>
        <v>84</v>
      </c>
      <c r="AM247" s="27" t="s">
        <v>11</v>
      </c>
      <c r="AR247" s="31">
        <f>AS247+AT247</f>
        <v>588</v>
      </c>
      <c r="AS247" s="31">
        <f>F247*AK247</f>
        <v>0</v>
      </c>
      <c r="AT247" s="31">
        <f>F247*AL247</f>
        <v>588</v>
      </c>
      <c r="AU247" s="32" t="s">
        <v>673</v>
      </c>
      <c r="AV247" s="32" t="s">
        <v>689</v>
      </c>
      <c r="AW247" s="26" t="s">
        <v>698</v>
      </c>
      <c r="AY247" s="31">
        <f>AS247+AT247</f>
        <v>588</v>
      </c>
      <c r="AZ247" s="31">
        <f>G247/(100-BA247)*100</f>
        <v>84</v>
      </c>
      <c r="BA247" s="31">
        <v>0</v>
      </c>
      <c r="BB247" s="31">
        <f>J247</f>
        <v>0</v>
      </c>
      <c r="BD247" s="19">
        <f>F247*AK247</f>
        <v>0</v>
      </c>
      <c r="BE247" s="19">
        <f>F247*AL247</f>
        <v>588</v>
      </c>
      <c r="BF247" s="19">
        <f>F247*G247</f>
        <v>588</v>
      </c>
    </row>
    <row r="248" spans="1:16" ht="12.75">
      <c r="A248" s="47"/>
      <c r="B248" s="47"/>
      <c r="C248" s="47"/>
      <c r="D248" s="48" t="s">
        <v>491</v>
      </c>
      <c r="E248" s="47"/>
      <c r="F248" s="49">
        <v>7</v>
      </c>
      <c r="G248" s="47"/>
      <c r="H248" s="70"/>
      <c r="I248" s="56"/>
      <c r="J248" s="56"/>
      <c r="L248" s="49">
        <v>7</v>
      </c>
      <c r="M248" s="47"/>
      <c r="N248" s="70"/>
      <c r="O248" s="56"/>
      <c r="P248" s="56"/>
    </row>
    <row r="249" spans="1:58" ht="12.75">
      <c r="A249" s="41" t="s">
        <v>98</v>
      </c>
      <c r="B249" s="41" t="s">
        <v>157</v>
      </c>
      <c r="C249" s="41" t="s">
        <v>251</v>
      </c>
      <c r="D249" s="41" t="s">
        <v>496</v>
      </c>
      <c r="E249" s="41" t="s">
        <v>632</v>
      </c>
      <c r="F249" s="44">
        <v>7</v>
      </c>
      <c r="G249" s="45">
        <v>200</v>
      </c>
      <c r="H249" s="69">
        <f>F249*G249</f>
        <v>1400</v>
      </c>
      <c r="I249" s="55">
        <v>0</v>
      </c>
      <c r="J249" s="55">
        <f>F249*I249</f>
        <v>0</v>
      </c>
      <c r="L249" s="44">
        <v>7</v>
      </c>
      <c r="M249" s="45">
        <v>200</v>
      </c>
      <c r="N249" s="69">
        <f>L249*M249</f>
        <v>1400</v>
      </c>
      <c r="O249" s="55">
        <v>0</v>
      </c>
      <c r="P249" s="55">
        <f>L249*O249</f>
        <v>0</v>
      </c>
      <c r="V249" s="31">
        <f>IF(AM249="5",BF249,0)</f>
        <v>1400</v>
      </c>
      <c r="X249" s="31">
        <f>IF(AM249="1",BD249,0)</f>
        <v>0</v>
      </c>
      <c r="Y249" s="31">
        <f>IF(AM249="1",BE249,0)</f>
        <v>0</v>
      </c>
      <c r="Z249" s="31">
        <f>IF(AM249="7",BD249,0)</f>
        <v>0</v>
      </c>
      <c r="AA249" s="31">
        <f>IF(AM249="7",BE249,0)</f>
        <v>0</v>
      </c>
      <c r="AB249" s="31">
        <f>IF(AM249="2",BD249,0)</f>
        <v>0</v>
      </c>
      <c r="AC249" s="31">
        <f>IF(AM249="2",BE249,0)</f>
        <v>0</v>
      </c>
      <c r="AD249" s="31">
        <f>IF(AM249="0",BF249,0)</f>
        <v>0</v>
      </c>
      <c r="AE249" s="26" t="s">
        <v>157</v>
      </c>
      <c r="AF249" s="19">
        <f>IF(AJ249=0,H249,0)</f>
        <v>0</v>
      </c>
      <c r="AG249" s="19">
        <f>IF(AJ249=15,H249,0)</f>
        <v>0</v>
      </c>
      <c r="AH249" s="19">
        <f>IF(AJ249=21,H249,0)</f>
        <v>1400</v>
      </c>
      <c r="AJ249" s="31">
        <v>21</v>
      </c>
      <c r="AK249" s="31">
        <f>G249*0</f>
        <v>0</v>
      </c>
      <c r="AL249" s="31">
        <f>G249*(1-0)</f>
        <v>200</v>
      </c>
      <c r="AM249" s="27" t="s">
        <v>11</v>
      </c>
      <c r="AR249" s="31">
        <f>AS249+AT249</f>
        <v>1400</v>
      </c>
      <c r="AS249" s="31">
        <f>F249*AK249</f>
        <v>0</v>
      </c>
      <c r="AT249" s="31">
        <f>F249*AL249</f>
        <v>1400</v>
      </c>
      <c r="AU249" s="32" t="s">
        <v>673</v>
      </c>
      <c r="AV249" s="32" t="s">
        <v>689</v>
      </c>
      <c r="AW249" s="26" t="s">
        <v>698</v>
      </c>
      <c r="AY249" s="31">
        <f>AS249+AT249</f>
        <v>1400</v>
      </c>
      <c r="AZ249" s="31">
        <f>G249/(100-BA249)*100</f>
        <v>200</v>
      </c>
      <c r="BA249" s="31">
        <v>0</v>
      </c>
      <c r="BB249" s="31">
        <f>J249</f>
        <v>0</v>
      </c>
      <c r="BD249" s="19">
        <f>F249*AK249</f>
        <v>0</v>
      </c>
      <c r="BE249" s="19">
        <f>F249*AL249</f>
        <v>1400</v>
      </c>
      <c r="BF249" s="19">
        <f>F249*G249</f>
        <v>1400</v>
      </c>
    </row>
    <row r="250" spans="1:16" ht="12.75">
      <c r="A250" s="42"/>
      <c r="B250" s="42"/>
      <c r="C250" s="42"/>
      <c r="D250" s="43" t="s">
        <v>491</v>
      </c>
      <c r="E250" s="42"/>
      <c r="F250" s="46">
        <v>7</v>
      </c>
      <c r="G250" s="42"/>
      <c r="H250" s="42"/>
      <c r="I250" s="57"/>
      <c r="J250" s="57"/>
      <c r="L250" s="46">
        <v>7</v>
      </c>
      <c r="M250" s="42"/>
      <c r="N250" s="42"/>
      <c r="O250" s="57"/>
      <c r="P250" s="57"/>
    </row>
    <row r="251" spans="1:43" ht="12.75">
      <c r="A251" s="4"/>
      <c r="B251" s="13" t="s">
        <v>157</v>
      </c>
      <c r="C251" s="13" t="s">
        <v>252</v>
      </c>
      <c r="D251" s="13" t="s">
        <v>497</v>
      </c>
      <c r="E251" s="4" t="s">
        <v>6</v>
      </c>
      <c r="F251" s="4" t="s">
        <v>6</v>
      </c>
      <c r="G251" s="4"/>
      <c r="H251" s="34">
        <f>SUM(H252:H252)</f>
        <v>80596.98</v>
      </c>
      <c r="I251" s="54"/>
      <c r="J251" s="54">
        <f>SUM(J252:J252)</f>
        <v>0</v>
      </c>
      <c r="L251" s="4" t="s">
        <v>6</v>
      </c>
      <c r="M251" s="4"/>
      <c r="N251" s="34">
        <f>SUM(N252:N252)</f>
        <v>87272.9376063</v>
      </c>
      <c r="O251" s="54"/>
      <c r="P251" s="54">
        <f>SUM(P252:P252)</f>
        <v>0</v>
      </c>
      <c r="AE251" s="26" t="s">
        <v>157</v>
      </c>
      <c r="AO251" s="34">
        <f>SUM(AF252:AF252)</f>
        <v>0</v>
      </c>
      <c r="AP251" s="34">
        <f>SUM(AG252:AG252)</f>
        <v>0</v>
      </c>
      <c r="AQ251" s="34">
        <f>SUM(AH252:AH252)</f>
        <v>80596.98</v>
      </c>
    </row>
    <row r="252" spans="1:58" ht="12.75">
      <c r="A252" s="41" t="s">
        <v>99</v>
      </c>
      <c r="B252" s="41" t="s">
        <v>157</v>
      </c>
      <c r="C252" s="41" t="s">
        <v>253</v>
      </c>
      <c r="D252" s="41" t="s">
        <v>498</v>
      </c>
      <c r="E252" s="41" t="s">
        <v>632</v>
      </c>
      <c r="F252" s="44">
        <v>327.63</v>
      </c>
      <c r="G252" s="45">
        <v>246</v>
      </c>
      <c r="H252" s="69">
        <f>F252*G252</f>
        <v>80596.98</v>
      </c>
      <c r="I252" s="55">
        <v>0</v>
      </c>
      <c r="J252" s="55">
        <f>F252*I252</f>
        <v>0</v>
      </c>
      <c r="L252" s="113">
        <f>P68+P83+P99+P116+P119+P149+P164+P179+P215+P232</f>
        <v>354.76803904999997</v>
      </c>
      <c r="M252" s="45">
        <v>246</v>
      </c>
      <c r="N252" s="69">
        <f>L252*M252</f>
        <v>87272.9376063</v>
      </c>
      <c r="O252" s="55">
        <v>0</v>
      </c>
      <c r="P252" s="55">
        <f>L252*O252</f>
        <v>0</v>
      </c>
      <c r="V252" s="31">
        <f>IF(AM252="5",BF252,0)</f>
        <v>80596.98</v>
      </c>
      <c r="X252" s="31">
        <f>IF(AM252="1",BD252,0)</f>
        <v>0</v>
      </c>
      <c r="Y252" s="31">
        <f>IF(AM252="1",BE252,0)</f>
        <v>0</v>
      </c>
      <c r="Z252" s="31">
        <f>IF(AM252="7",BD252,0)</f>
        <v>0</v>
      </c>
      <c r="AA252" s="31">
        <f>IF(AM252="7",BE252,0)</f>
        <v>0</v>
      </c>
      <c r="AB252" s="31">
        <f>IF(AM252="2",BD252,0)</f>
        <v>0</v>
      </c>
      <c r="AC252" s="31">
        <f>IF(AM252="2",BE252,0)</f>
        <v>0</v>
      </c>
      <c r="AD252" s="31">
        <f>IF(AM252="0",BF252,0)</f>
        <v>0</v>
      </c>
      <c r="AE252" s="26" t="s">
        <v>157</v>
      </c>
      <c r="AF252" s="19">
        <f>IF(AJ252=0,H252,0)</f>
        <v>0</v>
      </c>
      <c r="AG252" s="19">
        <f>IF(AJ252=15,H252,0)</f>
        <v>0</v>
      </c>
      <c r="AH252" s="19">
        <f>IF(AJ252=21,H252,0)</f>
        <v>80596.98</v>
      </c>
      <c r="AJ252" s="31">
        <v>21</v>
      </c>
      <c r="AK252" s="31">
        <f>G252*0</f>
        <v>0</v>
      </c>
      <c r="AL252" s="31">
        <f>G252*(1-0)</f>
        <v>246</v>
      </c>
      <c r="AM252" s="27" t="s">
        <v>11</v>
      </c>
      <c r="AR252" s="31">
        <f>AS252+AT252</f>
        <v>80596.98</v>
      </c>
      <c r="AS252" s="31">
        <f>F252*AK252</f>
        <v>0</v>
      </c>
      <c r="AT252" s="31">
        <f>F252*AL252</f>
        <v>80596.98</v>
      </c>
      <c r="AU252" s="32" t="s">
        <v>674</v>
      </c>
      <c r="AV252" s="32" t="s">
        <v>689</v>
      </c>
      <c r="AW252" s="26" t="s">
        <v>698</v>
      </c>
      <c r="AY252" s="31">
        <f>AS252+AT252</f>
        <v>80596.98</v>
      </c>
      <c r="AZ252" s="31">
        <f>G252/(100-BA252)*100</f>
        <v>246</v>
      </c>
      <c r="BA252" s="31">
        <v>0</v>
      </c>
      <c r="BB252" s="31">
        <f>J252</f>
        <v>0</v>
      </c>
      <c r="BD252" s="19">
        <f>F252*AK252</f>
        <v>0</v>
      </c>
      <c r="BE252" s="19">
        <f>F252*AL252</f>
        <v>80596.98</v>
      </c>
      <c r="BF252" s="19">
        <f>F252*G252</f>
        <v>80596.98</v>
      </c>
    </row>
    <row r="253" spans="1:16" ht="12.75">
      <c r="A253" s="42"/>
      <c r="B253" s="42"/>
      <c r="C253" s="42"/>
      <c r="D253" s="43" t="s">
        <v>499</v>
      </c>
      <c r="E253" s="42"/>
      <c r="F253" s="46">
        <v>327.63</v>
      </c>
      <c r="G253" s="42"/>
      <c r="H253" s="42"/>
      <c r="I253" s="57"/>
      <c r="J253" s="57"/>
      <c r="L253" s="46"/>
      <c r="M253" s="42"/>
      <c r="N253" s="42"/>
      <c r="O253" s="57"/>
      <c r="P253" s="57"/>
    </row>
    <row r="254" spans="1:43" ht="12.75">
      <c r="A254" s="4"/>
      <c r="B254" s="13" t="s">
        <v>157</v>
      </c>
      <c r="C254" s="13" t="s">
        <v>254</v>
      </c>
      <c r="D254" s="13" t="s">
        <v>500</v>
      </c>
      <c r="E254" s="4" t="s">
        <v>6</v>
      </c>
      <c r="F254" s="4" t="s">
        <v>6</v>
      </c>
      <c r="G254" s="4"/>
      <c r="H254" s="34">
        <f>SUM(H255:H268)</f>
        <v>80865.9525</v>
      </c>
      <c r="I254" s="54"/>
      <c r="J254" s="54">
        <f>SUM(J255:J268)</f>
        <v>2.1201708000000004</v>
      </c>
      <c r="L254" s="4" t="s">
        <v>6</v>
      </c>
      <c r="M254" s="4"/>
      <c r="N254" s="34">
        <f>SUM(N255:N268)</f>
        <v>134140.562528</v>
      </c>
      <c r="O254" s="54"/>
      <c r="P254" s="54">
        <f>SUM(P255:P267)</f>
        <v>3.7690443000000005</v>
      </c>
      <c r="AE254" s="26" t="s">
        <v>157</v>
      </c>
      <c r="AO254" s="34">
        <f>SUM(AF255:AF268)</f>
        <v>0</v>
      </c>
      <c r="AP254" s="34">
        <f>SUM(AG255:AG268)</f>
        <v>0</v>
      </c>
      <c r="AQ254" s="34">
        <f>SUM(AH255:AH268)</f>
        <v>80865.9525</v>
      </c>
    </row>
    <row r="255" spans="1:58" ht="12.75">
      <c r="A255" s="41" t="s">
        <v>100</v>
      </c>
      <c r="B255" s="41" t="s">
        <v>157</v>
      </c>
      <c r="C255" s="41" t="s">
        <v>255</v>
      </c>
      <c r="D255" s="41" t="s">
        <v>501</v>
      </c>
      <c r="E255" s="41" t="s">
        <v>630</v>
      </c>
      <c r="F255" s="44">
        <v>109.71</v>
      </c>
      <c r="G255" s="45">
        <v>25</v>
      </c>
      <c r="H255" s="69">
        <f>F255*G255</f>
        <v>2742.75</v>
      </c>
      <c r="I255" s="55">
        <v>0.00033</v>
      </c>
      <c r="J255" s="55">
        <f>F255*I255</f>
        <v>0.036204299999999995</v>
      </c>
      <c r="L255" s="44">
        <v>109.71</v>
      </c>
      <c r="M255" s="45">
        <v>25</v>
      </c>
      <c r="N255" s="69">
        <f>L255*M255</f>
        <v>2742.75</v>
      </c>
      <c r="O255" s="55">
        <v>0.00033</v>
      </c>
      <c r="P255" s="55">
        <f>L255*O255</f>
        <v>0.036204299999999995</v>
      </c>
      <c r="V255" s="31">
        <f>IF(AM255="5",BF255,0)</f>
        <v>0</v>
      </c>
      <c r="X255" s="31">
        <f>IF(AM255="1",BD255,0)</f>
        <v>0</v>
      </c>
      <c r="Y255" s="31">
        <f>IF(AM255="1",BE255,0)</f>
        <v>0</v>
      </c>
      <c r="Z255" s="31">
        <f>IF(AM255="7",BD255,0)</f>
        <v>1553.2291981753626</v>
      </c>
      <c r="AA255" s="31">
        <f>IF(AM255="7",BE255,0)</f>
        <v>1189.5208018246371</v>
      </c>
      <c r="AB255" s="31">
        <f>IF(AM255="2",BD255,0)</f>
        <v>0</v>
      </c>
      <c r="AC255" s="31">
        <f>IF(AM255="2",BE255,0)</f>
        <v>0</v>
      </c>
      <c r="AD255" s="31">
        <f>IF(AM255="0",BF255,0)</f>
        <v>0</v>
      </c>
      <c r="AE255" s="26" t="s">
        <v>157</v>
      </c>
      <c r="AF255" s="19">
        <f>IF(AJ255=0,H255,0)</f>
        <v>0</v>
      </c>
      <c r="AG255" s="19">
        <f>IF(AJ255=15,H255,0)</f>
        <v>0</v>
      </c>
      <c r="AH255" s="19">
        <f>IF(AJ255=21,H255,0)</f>
        <v>2742.75</v>
      </c>
      <c r="AJ255" s="31">
        <v>21</v>
      </c>
      <c r="AK255" s="31">
        <f>G255*0.566303599735799</f>
        <v>14.157589993394975</v>
      </c>
      <c r="AL255" s="31">
        <f>G255*(1-0.566303599735799)</f>
        <v>10.842410006605025</v>
      </c>
      <c r="AM255" s="27" t="s">
        <v>13</v>
      </c>
      <c r="AR255" s="31">
        <f>AS255+AT255</f>
        <v>2742.75</v>
      </c>
      <c r="AS255" s="31">
        <f>F255*AK255</f>
        <v>1553.2291981753626</v>
      </c>
      <c r="AT255" s="31">
        <f>F255*AL255</f>
        <v>1189.5208018246371</v>
      </c>
      <c r="AU255" s="32" t="s">
        <v>675</v>
      </c>
      <c r="AV255" s="32" t="s">
        <v>690</v>
      </c>
      <c r="AW255" s="26" t="s">
        <v>698</v>
      </c>
      <c r="AY255" s="31">
        <f>AS255+AT255</f>
        <v>2742.75</v>
      </c>
      <c r="AZ255" s="31">
        <f>G255/(100-BA255)*100</f>
        <v>25</v>
      </c>
      <c r="BA255" s="31">
        <v>0</v>
      </c>
      <c r="BB255" s="31">
        <f>J255</f>
        <v>0.036204299999999995</v>
      </c>
      <c r="BD255" s="19">
        <f>F255*AK255</f>
        <v>1553.2291981753626</v>
      </c>
      <c r="BE255" s="19">
        <f>F255*AL255</f>
        <v>1189.5208018246371</v>
      </c>
      <c r="BF255" s="19">
        <f>F255*G255</f>
        <v>2742.75</v>
      </c>
    </row>
    <row r="256" spans="1:16" ht="12.75">
      <c r="A256" s="47"/>
      <c r="B256" s="47"/>
      <c r="C256" s="47"/>
      <c r="D256" s="48" t="s">
        <v>502</v>
      </c>
      <c r="E256" s="47"/>
      <c r="F256" s="49">
        <v>109.71</v>
      </c>
      <c r="G256" s="47"/>
      <c r="H256" s="70"/>
      <c r="I256" s="56"/>
      <c r="J256" s="56"/>
      <c r="L256" s="49"/>
      <c r="M256" s="47"/>
      <c r="N256" s="70"/>
      <c r="O256" s="56"/>
      <c r="P256" s="56"/>
    </row>
    <row r="257" spans="1:58" ht="12.75">
      <c r="A257" s="41" t="s">
        <v>101</v>
      </c>
      <c r="B257" s="41" t="s">
        <v>157</v>
      </c>
      <c r="C257" s="41" t="s">
        <v>256</v>
      </c>
      <c r="D257" s="41" t="s">
        <v>503</v>
      </c>
      <c r="E257" s="41" t="s">
        <v>630</v>
      </c>
      <c r="F257" s="44">
        <v>87.855</v>
      </c>
      <c r="G257" s="45">
        <v>27.5</v>
      </c>
      <c r="H257" s="69">
        <f>F257*G257</f>
        <v>2416.0125000000003</v>
      </c>
      <c r="I257" s="55">
        <v>0.00052</v>
      </c>
      <c r="J257" s="55">
        <f>F257*I257</f>
        <v>0.0456846</v>
      </c>
      <c r="L257" s="101">
        <v>69.5</v>
      </c>
      <c r="M257" s="45">
        <v>27.5</v>
      </c>
      <c r="N257" s="69">
        <f>L257*M257</f>
        <v>1911.25</v>
      </c>
      <c r="O257" s="55">
        <v>0.00052</v>
      </c>
      <c r="P257" s="55">
        <f>L257*O257</f>
        <v>0.03614</v>
      </c>
      <c r="V257" s="31">
        <f>IF(AM257="5",BF257,0)</f>
        <v>0</v>
      </c>
      <c r="X257" s="31">
        <f>IF(AM257="1",BD257,0)</f>
        <v>0</v>
      </c>
      <c r="Y257" s="31">
        <f>IF(AM257="1",BE257,0)</f>
        <v>0</v>
      </c>
      <c r="Z257" s="31">
        <f>IF(AM257="7",BD257,0)</f>
        <v>1194.910886677684</v>
      </c>
      <c r="AA257" s="31">
        <f>IF(AM257="7",BE257,0)</f>
        <v>1221.1016133223163</v>
      </c>
      <c r="AB257" s="31">
        <f>IF(AM257="2",BD257,0)</f>
        <v>0</v>
      </c>
      <c r="AC257" s="31">
        <f>IF(AM257="2",BE257,0)</f>
        <v>0</v>
      </c>
      <c r="AD257" s="31">
        <f>IF(AM257="0",BF257,0)</f>
        <v>0</v>
      </c>
      <c r="AE257" s="26" t="s">
        <v>157</v>
      </c>
      <c r="AF257" s="19">
        <f>IF(AJ257=0,H257,0)</f>
        <v>0</v>
      </c>
      <c r="AG257" s="19">
        <f>IF(AJ257=15,H257,0)</f>
        <v>0</v>
      </c>
      <c r="AH257" s="19">
        <f>IF(AJ257=21,H257,0)</f>
        <v>2416.0125000000003</v>
      </c>
      <c r="AJ257" s="31">
        <v>21</v>
      </c>
      <c r="AK257" s="31">
        <f>G257*0.494579761767658</f>
        <v>13.600943448610595</v>
      </c>
      <c r="AL257" s="31">
        <f>G257*(1-0.494579761767658)</f>
        <v>13.899056551389407</v>
      </c>
      <c r="AM257" s="27" t="s">
        <v>13</v>
      </c>
      <c r="AR257" s="31">
        <f>AS257+AT257</f>
        <v>2416.0125000000003</v>
      </c>
      <c r="AS257" s="31">
        <f>F257*AK257</f>
        <v>1194.910886677684</v>
      </c>
      <c r="AT257" s="31">
        <f>F257*AL257</f>
        <v>1221.1016133223163</v>
      </c>
      <c r="AU257" s="32" t="s">
        <v>675</v>
      </c>
      <c r="AV257" s="32" t="s">
        <v>690</v>
      </c>
      <c r="AW257" s="26" t="s">
        <v>698</v>
      </c>
      <c r="AY257" s="31">
        <f>AS257+AT257</f>
        <v>2416.0125000000003</v>
      </c>
      <c r="AZ257" s="31">
        <f>G257/(100-BA257)*100</f>
        <v>27.500000000000004</v>
      </c>
      <c r="BA257" s="31">
        <v>0</v>
      </c>
      <c r="BB257" s="31">
        <f>J257</f>
        <v>0.0456846</v>
      </c>
      <c r="BD257" s="19">
        <f>F257*AK257</f>
        <v>1194.910886677684</v>
      </c>
      <c r="BE257" s="19">
        <f>F257*AL257</f>
        <v>1221.1016133223163</v>
      </c>
      <c r="BF257" s="19">
        <f>F257*G257</f>
        <v>2416.0125000000003</v>
      </c>
    </row>
    <row r="258" spans="1:16" ht="12.75">
      <c r="A258" s="47"/>
      <c r="B258" s="47"/>
      <c r="C258" s="47"/>
      <c r="D258" s="48" t="s">
        <v>504</v>
      </c>
      <c r="E258" s="47"/>
      <c r="F258" s="49">
        <v>87.855</v>
      </c>
      <c r="G258" s="47"/>
      <c r="H258" s="70"/>
      <c r="I258" s="56"/>
      <c r="J258" s="56"/>
      <c r="L258" s="49"/>
      <c r="M258" s="47"/>
      <c r="N258" s="70"/>
      <c r="O258" s="56"/>
      <c r="P258" s="56"/>
    </row>
    <row r="259" spans="1:58" ht="12.75">
      <c r="A259" s="41" t="s">
        <v>102</v>
      </c>
      <c r="B259" s="41" t="s">
        <v>157</v>
      </c>
      <c r="C259" s="41" t="s">
        <v>257</v>
      </c>
      <c r="D259" s="41" t="s">
        <v>505</v>
      </c>
      <c r="E259" s="41" t="s">
        <v>630</v>
      </c>
      <c r="F259" s="44">
        <v>109.71</v>
      </c>
      <c r="G259" s="45">
        <v>319</v>
      </c>
      <c r="H259" s="69">
        <f>F259*G259</f>
        <v>34997.49</v>
      </c>
      <c r="I259" s="55">
        <v>0.00974</v>
      </c>
      <c r="J259" s="55">
        <f>F259*I259</f>
        <v>1.0685754</v>
      </c>
      <c r="L259" s="101">
        <v>0</v>
      </c>
      <c r="M259" s="45">
        <v>319</v>
      </c>
      <c r="N259" s="69">
        <f>L259*M259</f>
        <v>0</v>
      </c>
      <c r="O259" s="55">
        <v>0.00974</v>
      </c>
      <c r="P259" s="55">
        <f>L259*O259</f>
        <v>0</v>
      </c>
      <c r="V259" s="31">
        <f>IF(AM259="5",BF259,0)</f>
        <v>0</v>
      </c>
      <c r="X259" s="31">
        <f>IF(AM259="1",BD259,0)</f>
        <v>0</v>
      </c>
      <c r="Y259" s="31">
        <f>IF(AM259="1",BE259,0)</f>
        <v>0</v>
      </c>
      <c r="Z259" s="31">
        <f>IF(AM259="7",BD259,0)</f>
        <v>18732.36853792768</v>
      </c>
      <c r="AA259" s="31">
        <f>IF(AM259="7",BE259,0)</f>
        <v>16265.121462072319</v>
      </c>
      <c r="AB259" s="31">
        <f>IF(AM259="2",BD259,0)</f>
        <v>0</v>
      </c>
      <c r="AC259" s="31">
        <f>IF(AM259="2",BE259,0)</f>
        <v>0</v>
      </c>
      <c r="AD259" s="31">
        <f>IF(AM259="0",BF259,0)</f>
        <v>0</v>
      </c>
      <c r="AE259" s="26" t="s">
        <v>157</v>
      </c>
      <c r="AF259" s="19">
        <f>IF(AJ259=0,H259,0)</f>
        <v>0</v>
      </c>
      <c r="AG259" s="19">
        <f>IF(AJ259=15,H259,0)</f>
        <v>0</v>
      </c>
      <c r="AH259" s="19">
        <f>IF(AJ259=21,H259,0)</f>
        <v>34997.49</v>
      </c>
      <c r="AJ259" s="31">
        <v>21</v>
      </c>
      <c r="AK259" s="31">
        <f>G259*0.53524891464867</f>
        <v>170.74440377292572</v>
      </c>
      <c r="AL259" s="31">
        <f>G259*(1-0.53524891464867)</f>
        <v>148.25559622707428</v>
      </c>
      <c r="AM259" s="27" t="s">
        <v>13</v>
      </c>
      <c r="AR259" s="31">
        <f>AS259+AT259</f>
        <v>34997.49</v>
      </c>
      <c r="AS259" s="31">
        <f>F259*AK259</f>
        <v>18732.36853792768</v>
      </c>
      <c r="AT259" s="31">
        <f>F259*AL259</f>
        <v>16265.121462072319</v>
      </c>
      <c r="AU259" s="32" t="s">
        <v>675</v>
      </c>
      <c r="AV259" s="32" t="s">
        <v>690</v>
      </c>
      <c r="AW259" s="26" t="s">
        <v>698</v>
      </c>
      <c r="AY259" s="31">
        <f>AS259+AT259</f>
        <v>34997.49</v>
      </c>
      <c r="AZ259" s="31">
        <f>G259/(100-BA259)*100</f>
        <v>319</v>
      </c>
      <c r="BA259" s="31">
        <v>0</v>
      </c>
      <c r="BB259" s="31">
        <f>J259</f>
        <v>1.0685754</v>
      </c>
      <c r="BD259" s="19">
        <f>F259*AK259</f>
        <v>18732.36853792768</v>
      </c>
      <c r="BE259" s="19">
        <f>F259*AL259</f>
        <v>16265.121462072319</v>
      </c>
      <c r="BF259" s="19">
        <f>F259*G259</f>
        <v>34997.49</v>
      </c>
    </row>
    <row r="260" spans="1:16" ht="12.75">
      <c r="A260" s="47"/>
      <c r="B260" s="47"/>
      <c r="C260" s="47"/>
      <c r="D260" s="48" t="s">
        <v>506</v>
      </c>
      <c r="E260" s="47"/>
      <c r="F260" s="49">
        <v>109.71</v>
      </c>
      <c r="G260" s="47"/>
      <c r="H260" s="70"/>
      <c r="I260" s="56"/>
      <c r="J260" s="56"/>
      <c r="L260" s="49"/>
      <c r="M260" s="47"/>
      <c r="N260" s="70"/>
      <c r="O260" s="56"/>
      <c r="P260" s="56"/>
    </row>
    <row r="261" spans="1:16" ht="12.75">
      <c r="A261" s="99" t="s">
        <v>742</v>
      </c>
      <c r="B261" s="47"/>
      <c r="C261" s="108">
        <v>711459003</v>
      </c>
      <c r="D261" s="100" t="s">
        <v>745</v>
      </c>
      <c r="E261" s="103" t="s">
        <v>630</v>
      </c>
      <c r="F261" s="44"/>
      <c r="G261" s="45"/>
      <c r="H261" s="69"/>
      <c r="I261" s="55"/>
      <c r="J261" s="55"/>
      <c r="L261" s="102">
        <v>109.71</v>
      </c>
      <c r="M261" s="69">
        <v>568</v>
      </c>
      <c r="N261" s="69">
        <f>L261*M261</f>
        <v>62315.28</v>
      </c>
      <c r="O261" s="55">
        <v>0.025</v>
      </c>
      <c r="P261" s="55">
        <f>L261*O261</f>
        <v>2.74275</v>
      </c>
    </row>
    <row r="262" spans="1:58" ht="12.75">
      <c r="A262" s="41" t="s">
        <v>103</v>
      </c>
      <c r="B262" s="41" t="s">
        <v>157</v>
      </c>
      <c r="C262" s="41" t="s">
        <v>258</v>
      </c>
      <c r="D262" s="41" t="s">
        <v>507</v>
      </c>
      <c r="E262" s="41" t="s">
        <v>630</v>
      </c>
      <c r="F262" s="44">
        <v>87.855</v>
      </c>
      <c r="G262" s="45">
        <v>380</v>
      </c>
      <c r="H262" s="69">
        <f>F262*G262</f>
        <v>33384.9</v>
      </c>
      <c r="I262" s="55">
        <v>0.0103</v>
      </c>
      <c r="J262" s="55">
        <f>F262*I262</f>
        <v>0.9049065000000001</v>
      </c>
      <c r="L262" s="101">
        <v>0</v>
      </c>
      <c r="M262" s="69">
        <v>380</v>
      </c>
      <c r="N262" s="69">
        <f>L262*M262</f>
        <v>0</v>
      </c>
      <c r="O262" s="55">
        <v>0.0103</v>
      </c>
      <c r="P262" s="55">
        <f>L262*O262</f>
        <v>0</v>
      </c>
      <c r="V262" s="31">
        <f>IF(AM262="5",BF262,0)</f>
        <v>0</v>
      </c>
      <c r="X262" s="31">
        <f>IF(AM262="1",BD262,0)</f>
        <v>0</v>
      </c>
      <c r="Y262" s="31">
        <f>IF(AM262="1",BE262,0)</f>
        <v>0</v>
      </c>
      <c r="Z262" s="31">
        <f>IF(AM262="7",BD262,0)</f>
        <v>17146.96204650456</v>
      </c>
      <c r="AA262" s="31">
        <f>IF(AM262="7",BE262,0)</f>
        <v>16237.937953495442</v>
      </c>
      <c r="AB262" s="31">
        <f>IF(AM262="2",BD262,0)</f>
        <v>0</v>
      </c>
      <c r="AC262" s="31">
        <f>IF(AM262="2",BE262,0)</f>
        <v>0</v>
      </c>
      <c r="AD262" s="31">
        <f>IF(AM262="0",BF262,0)</f>
        <v>0</v>
      </c>
      <c r="AE262" s="26" t="s">
        <v>157</v>
      </c>
      <c r="AF262" s="19">
        <f>IF(AJ262=0,H262,0)</f>
        <v>0</v>
      </c>
      <c r="AG262" s="19">
        <f>IF(AJ262=15,H262,0)</f>
        <v>0</v>
      </c>
      <c r="AH262" s="19">
        <f>IF(AJ262=21,H262,0)</f>
        <v>33384.9</v>
      </c>
      <c r="AJ262" s="31">
        <v>21</v>
      </c>
      <c r="AK262" s="31">
        <f>G262*0.513614300072924</f>
        <v>195.1734340277111</v>
      </c>
      <c r="AL262" s="31">
        <f>G262*(1-0.513614300072924)</f>
        <v>184.8265659722889</v>
      </c>
      <c r="AM262" s="27" t="s">
        <v>13</v>
      </c>
      <c r="AR262" s="31">
        <f>AS262+AT262</f>
        <v>33384.9</v>
      </c>
      <c r="AS262" s="31">
        <f>F262*AK262</f>
        <v>17146.96204650456</v>
      </c>
      <c r="AT262" s="31">
        <f>F262*AL262</f>
        <v>16237.937953495442</v>
      </c>
      <c r="AU262" s="32" t="s">
        <v>675</v>
      </c>
      <c r="AV262" s="32" t="s">
        <v>690</v>
      </c>
      <c r="AW262" s="26" t="s">
        <v>698</v>
      </c>
      <c r="AY262" s="31">
        <f>AS262+AT262</f>
        <v>33384.9</v>
      </c>
      <c r="AZ262" s="31">
        <f>G262/(100-BA262)*100</f>
        <v>380</v>
      </c>
      <c r="BA262" s="31">
        <v>0</v>
      </c>
      <c r="BB262" s="31">
        <f>J262</f>
        <v>0.9049065000000001</v>
      </c>
      <c r="BD262" s="19">
        <f>F262*AK262</f>
        <v>17146.96204650456</v>
      </c>
      <c r="BE262" s="19">
        <f>F262*AL262</f>
        <v>16237.937953495442</v>
      </c>
      <c r="BF262" s="19">
        <f>F262*G262</f>
        <v>33384.9</v>
      </c>
    </row>
    <row r="263" spans="1:16" ht="12.75">
      <c r="A263" s="47"/>
      <c r="B263" s="47"/>
      <c r="C263" s="47"/>
      <c r="D263" s="48" t="s">
        <v>508</v>
      </c>
      <c r="E263" s="47"/>
      <c r="F263" s="49">
        <v>87.855</v>
      </c>
      <c r="G263" s="47"/>
      <c r="H263" s="70"/>
      <c r="I263" s="56"/>
      <c r="J263" s="56"/>
      <c r="L263" s="49"/>
      <c r="M263" s="70"/>
      <c r="N263" s="70"/>
      <c r="O263" s="56"/>
      <c r="P263" s="56"/>
    </row>
    <row r="264" spans="1:16" ht="12.75">
      <c r="A264" s="99" t="s">
        <v>743</v>
      </c>
      <c r="B264" s="47"/>
      <c r="C264" s="108">
        <v>711459006</v>
      </c>
      <c r="D264" s="100" t="s">
        <v>746</v>
      </c>
      <c r="E264" s="103" t="s">
        <v>630</v>
      </c>
      <c r="F264" s="49"/>
      <c r="G264" s="47"/>
      <c r="H264" s="70"/>
      <c r="I264" s="56"/>
      <c r="J264" s="56"/>
      <c r="L264" s="102">
        <v>69.5</v>
      </c>
      <c r="M264" s="69">
        <v>682</v>
      </c>
      <c r="N264" s="69">
        <f>L264*M264</f>
        <v>47399</v>
      </c>
      <c r="O264" s="55">
        <v>0.0125</v>
      </c>
      <c r="P264" s="55">
        <f>L264*O264</f>
        <v>0.86875</v>
      </c>
    </row>
    <row r="265" spans="1:58" ht="12.75">
      <c r="A265" s="41" t="s">
        <v>104</v>
      </c>
      <c r="B265" s="41" t="s">
        <v>157</v>
      </c>
      <c r="C265" s="41" t="s">
        <v>259</v>
      </c>
      <c r="D265" s="41" t="s">
        <v>509</v>
      </c>
      <c r="E265" s="41" t="s">
        <v>630</v>
      </c>
      <c r="F265" s="44">
        <v>80</v>
      </c>
      <c r="G265" s="45">
        <v>66</v>
      </c>
      <c r="H265" s="69">
        <f>F265*G265</f>
        <v>5280</v>
      </c>
      <c r="I265" s="55">
        <v>0.00081</v>
      </c>
      <c r="J265" s="55">
        <f>F265*I265</f>
        <v>0.0648</v>
      </c>
      <c r="L265" s="101">
        <v>70</v>
      </c>
      <c r="M265" s="45">
        <v>66</v>
      </c>
      <c r="N265" s="69">
        <f>L265*M265</f>
        <v>4620</v>
      </c>
      <c r="O265" s="55">
        <v>0.00081</v>
      </c>
      <c r="P265" s="55">
        <f>L265*O265</f>
        <v>0.0567</v>
      </c>
      <c r="V265" s="31">
        <f>IF(AM265="5",BF265,0)</f>
        <v>0</v>
      </c>
      <c r="X265" s="31">
        <f>IF(AM265="1",BD265,0)</f>
        <v>0</v>
      </c>
      <c r="Y265" s="31">
        <f>IF(AM265="1",BE265,0)</f>
        <v>0</v>
      </c>
      <c r="Z265" s="31">
        <f>IF(AM265="7",BD265,0)</f>
        <v>2149.778862617945</v>
      </c>
      <c r="AA265" s="31">
        <f>IF(AM265="7",BE265,0)</f>
        <v>3130.221137382055</v>
      </c>
      <c r="AB265" s="31">
        <f>IF(AM265="2",BD265,0)</f>
        <v>0</v>
      </c>
      <c r="AC265" s="31">
        <f>IF(AM265="2",BE265,0)</f>
        <v>0</v>
      </c>
      <c r="AD265" s="31">
        <f>IF(AM265="0",BF265,0)</f>
        <v>0</v>
      </c>
      <c r="AE265" s="26" t="s">
        <v>157</v>
      </c>
      <c r="AF265" s="19">
        <f>IF(AJ265=0,H265,0)</f>
        <v>0</v>
      </c>
      <c r="AG265" s="19">
        <f>IF(AJ265=15,H265,0)</f>
        <v>0</v>
      </c>
      <c r="AH265" s="19">
        <f>IF(AJ265=21,H265,0)</f>
        <v>5280</v>
      </c>
      <c r="AJ265" s="31">
        <v>21</v>
      </c>
      <c r="AK265" s="31">
        <f>G265*0.407155087617035</f>
        <v>26.87223578272431</v>
      </c>
      <c r="AL265" s="31">
        <f>G265*(1-0.407155087617035)</f>
        <v>39.12776421727569</v>
      </c>
      <c r="AM265" s="27" t="s">
        <v>13</v>
      </c>
      <c r="AR265" s="31">
        <f>AS265+AT265</f>
        <v>5280</v>
      </c>
      <c r="AS265" s="31">
        <f>F265*AK265</f>
        <v>2149.778862617945</v>
      </c>
      <c r="AT265" s="31">
        <f>F265*AL265</f>
        <v>3130.221137382055</v>
      </c>
      <c r="AU265" s="32" t="s">
        <v>675</v>
      </c>
      <c r="AV265" s="32" t="s">
        <v>690</v>
      </c>
      <c r="AW265" s="26" t="s">
        <v>698</v>
      </c>
      <c r="AY265" s="31">
        <f>AS265+AT265</f>
        <v>5280</v>
      </c>
      <c r="AZ265" s="31">
        <f>G265/(100-BA265)*100</f>
        <v>66</v>
      </c>
      <c r="BA265" s="31">
        <v>0</v>
      </c>
      <c r="BB265" s="31">
        <f>J265</f>
        <v>0.0648</v>
      </c>
      <c r="BD265" s="19">
        <f>F265*AK265</f>
        <v>2149.778862617945</v>
      </c>
      <c r="BE265" s="19">
        <f>F265*AL265</f>
        <v>3130.221137382055</v>
      </c>
      <c r="BF265" s="19">
        <f>F265*G265</f>
        <v>5280</v>
      </c>
    </row>
    <row r="266" spans="1:16" ht="12.75">
      <c r="A266" s="47"/>
      <c r="B266" s="47"/>
      <c r="C266" s="47"/>
      <c r="D266" s="48" t="s">
        <v>510</v>
      </c>
      <c r="E266" s="47"/>
      <c r="F266" s="49">
        <v>80</v>
      </c>
      <c r="G266" s="47"/>
      <c r="H266" s="70"/>
      <c r="I266" s="56"/>
      <c r="J266" s="56"/>
      <c r="L266" s="49"/>
      <c r="M266" s="47"/>
      <c r="N266" s="70"/>
      <c r="O266" s="56"/>
      <c r="P266" s="56"/>
    </row>
    <row r="267" spans="1:16" ht="12.75">
      <c r="A267" s="99" t="s">
        <v>744</v>
      </c>
      <c r="B267" s="47"/>
      <c r="C267" s="47"/>
      <c r="D267" s="100" t="s">
        <v>748</v>
      </c>
      <c r="E267" s="99" t="s">
        <v>733</v>
      </c>
      <c r="F267" s="49"/>
      <c r="G267" s="47"/>
      <c r="H267" s="70"/>
      <c r="I267" s="56"/>
      <c r="J267" s="56"/>
      <c r="L267" s="102">
        <v>1</v>
      </c>
      <c r="M267" s="45">
        <v>11534</v>
      </c>
      <c r="N267" s="69">
        <f>L267*M267</f>
        <v>11534</v>
      </c>
      <c r="O267" s="55">
        <v>0.0285</v>
      </c>
      <c r="P267" s="55">
        <f>L267*O267</f>
        <v>0.0285</v>
      </c>
    </row>
    <row r="268" spans="1:58" ht="12.75">
      <c r="A268" s="41" t="s">
        <v>105</v>
      </c>
      <c r="B268" s="41" t="s">
        <v>157</v>
      </c>
      <c r="C268" s="41" t="s">
        <v>260</v>
      </c>
      <c r="D268" s="41" t="s">
        <v>511</v>
      </c>
      <c r="E268" s="41" t="s">
        <v>632</v>
      </c>
      <c r="F268" s="44">
        <v>2.13</v>
      </c>
      <c r="G268" s="45">
        <v>960</v>
      </c>
      <c r="H268" s="69">
        <f>F268*G268</f>
        <v>2044.8</v>
      </c>
      <c r="I268" s="55">
        <v>0</v>
      </c>
      <c r="J268" s="55">
        <f>F268*I268</f>
        <v>0</v>
      </c>
      <c r="L268" s="102">
        <f>P254</f>
        <v>3.7690443000000005</v>
      </c>
      <c r="M268" s="45">
        <v>960</v>
      </c>
      <c r="N268" s="69">
        <f>L268*M268</f>
        <v>3618.2825280000006</v>
      </c>
      <c r="O268" s="55">
        <v>0</v>
      </c>
      <c r="P268" s="55">
        <f>L268*O268</f>
        <v>0</v>
      </c>
      <c r="V268" s="31">
        <f>IF(AM268="5",BF268,0)</f>
        <v>2044.8</v>
      </c>
      <c r="X268" s="31">
        <f>IF(AM268="1",BD268,0)</f>
        <v>0</v>
      </c>
      <c r="Y268" s="31">
        <f>IF(AM268="1",BE268,0)</f>
        <v>0</v>
      </c>
      <c r="Z268" s="31">
        <f>IF(AM268="7",BD268,0)</f>
        <v>0</v>
      </c>
      <c r="AA268" s="31">
        <f>IF(AM268="7",BE268,0)</f>
        <v>0</v>
      </c>
      <c r="AB268" s="31">
        <f>IF(AM268="2",BD268,0)</f>
        <v>0</v>
      </c>
      <c r="AC268" s="31">
        <f>IF(AM268="2",BE268,0)</f>
        <v>0</v>
      </c>
      <c r="AD268" s="31">
        <f>IF(AM268="0",BF268,0)</f>
        <v>0</v>
      </c>
      <c r="AE268" s="26" t="s">
        <v>157</v>
      </c>
      <c r="AF268" s="19">
        <f>IF(AJ268=0,H268,0)</f>
        <v>0</v>
      </c>
      <c r="AG268" s="19">
        <f>IF(AJ268=15,H268,0)</f>
        <v>0</v>
      </c>
      <c r="AH268" s="19">
        <f>IF(AJ268=21,H268,0)</f>
        <v>2044.8</v>
      </c>
      <c r="AJ268" s="31">
        <v>21</v>
      </c>
      <c r="AK268" s="31">
        <f>G268*0</f>
        <v>0</v>
      </c>
      <c r="AL268" s="31">
        <f>G268*(1-0)</f>
        <v>960</v>
      </c>
      <c r="AM268" s="27" t="s">
        <v>11</v>
      </c>
      <c r="AR268" s="31">
        <f>AS268+AT268</f>
        <v>2044.8</v>
      </c>
      <c r="AS268" s="31">
        <f>F268*AK268</f>
        <v>0</v>
      </c>
      <c r="AT268" s="31">
        <f>F268*AL268</f>
        <v>2044.8</v>
      </c>
      <c r="AU268" s="32" t="s">
        <v>675</v>
      </c>
      <c r="AV268" s="32" t="s">
        <v>690</v>
      </c>
      <c r="AW268" s="26" t="s">
        <v>698</v>
      </c>
      <c r="AY268" s="31">
        <f>AS268+AT268</f>
        <v>2044.8</v>
      </c>
      <c r="AZ268" s="31">
        <f>G268/(100-BA268)*100</f>
        <v>960</v>
      </c>
      <c r="BA268" s="31">
        <v>0</v>
      </c>
      <c r="BB268" s="31">
        <f>J268</f>
        <v>0</v>
      </c>
      <c r="BD268" s="19">
        <f>F268*AK268</f>
        <v>0</v>
      </c>
      <c r="BE268" s="19">
        <f>F268*AL268</f>
        <v>2044.8</v>
      </c>
      <c r="BF268" s="19">
        <f>F268*G268</f>
        <v>2044.8</v>
      </c>
    </row>
    <row r="269" spans="1:16" ht="12.75">
      <c r="A269" s="42"/>
      <c r="B269" s="42"/>
      <c r="C269" s="42"/>
      <c r="D269" s="43" t="s">
        <v>512</v>
      </c>
      <c r="E269" s="42"/>
      <c r="F269" s="46">
        <v>2.13</v>
      </c>
      <c r="G269" s="42"/>
      <c r="H269" s="42"/>
      <c r="I269" s="57"/>
      <c r="J269" s="57"/>
      <c r="L269" s="46"/>
      <c r="M269" s="42"/>
      <c r="N269" s="42"/>
      <c r="O269" s="57"/>
      <c r="P269" s="57"/>
    </row>
    <row r="270" spans="1:43" ht="12.75">
      <c r="A270" s="4"/>
      <c r="B270" s="13" t="s">
        <v>157</v>
      </c>
      <c r="C270" s="13" t="s">
        <v>261</v>
      </c>
      <c r="D270" s="13" t="s">
        <v>513</v>
      </c>
      <c r="E270" s="4" t="s">
        <v>6</v>
      </c>
      <c r="F270" s="4" t="s">
        <v>6</v>
      </c>
      <c r="G270" s="4"/>
      <c r="H270" s="34">
        <f>SUM(H271:H277)</f>
        <v>48168.73</v>
      </c>
      <c r="I270" s="54"/>
      <c r="J270" s="54">
        <f>SUM(J271:J277)</f>
        <v>1.1741844000000001</v>
      </c>
      <c r="L270" s="4" t="s">
        <v>6</v>
      </c>
      <c r="M270" s="4"/>
      <c r="N270" s="34">
        <f>SUM(N271:N277)</f>
        <v>299717.8</v>
      </c>
      <c r="O270" s="54"/>
      <c r="P270" s="54">
        <f>SUM(P271:P276)</f>
        <v>1.465</v>
      </c>
      <c r="AE270" s="26" t="s">
        <v>157</v>
      </c>
      <c r="AO270" s="34">
        <f>SUM(AF271:AF277)</f>
        <v>0</v>
      </c>
      <c r="AP270" s="34">
        <f>SUM(AG271:AG277)</f>
        <v>0</v>
      </c>
      <c r="AQ270" s="34">
        <f>SUM(AH271:AH277)</f>
        <v>48168.73</v>
      </c>
    </row>
    <row r="271" spans="1:58" ht="12.75">
      <c r="A271" s="41" t="s">
        <v>106</v>
      </c>
      <c r="B271" s="41" t="s">
        <v>157</v>
      </c>
      <c r="C271" s="41" t="s">
        <v>262</v>
      </c>
      <c r="D271" s="106" t="s">
        <v>514</v>
      </c>
      <c r="E271" s="41" t="s">
        <v>630</v>
      </c>
      <c r="F271" s="44">
        <v>117.89</v>
      </c>
      <c r="G271" s="45">
        <v>25</v>
      </c>
      <c r="H271" s="69">
        <f>F271*G271</f>
        <v>2947.25</v>
      </c>
      <c r="I271" s="55">
        <v>0.00033</v>
      </c>
      <c r="J271" s="55">
        <f>F271*I271</f>
        <v>0.0389037</v>
      </c>
      <c r="L271" s="101">
        <v>0</v>
      </c>
      <c r="M271" s="45">
        <v>25</v>
      </c>
      <c r="N271" s="69">
        <f>L271*M271</f>
        <v>0</v>
      </c>
      <c r="O271" s="55">
        <v>0.00033</v>
      </c>
      <c r="P271" s="55">
        <f>L271*O271</f>
        <v>0</v>
      </c>
      <c r="V271" s="31">
        <f>IF(AM271="5",BF271,0)</f>
        <v>0</v>
      </c>
      <c r="X271" s="31">
        <f>IF(AM271="1",BD271,0)</f>
        <v>0</v>
      </c>
      <c r="Y271" s="31">
        <f>IF(AM271="1",BE271,0)</f>
        <v>0</v>
      </c>
      <c r="Z271" s="31">
        <f>IF(AM271="7",BD271,0)</f>
        <v>1669.0425409603056</v>
      </c>
      <c r="AA271" s="31">
        <f>IF(AM271="7",BE271,0)</f>
        <v>1278.2074590396944</v>
      </c>
      <c r="AB271" s="31">
        <f>IF(AM271="2",BD271,0)</f>
        <v>0</v>
      </c>
      <c r="AC271" s="31">
        <f>IF(AM271="2",BE271,0)</f>
        <v>0</v>
      </c>
      <c r="AD271" s="31">
        <f>IF(AM271="0",BF271,0)</f>
        <v>0</v>
      </c>
      <c r="AE271" s="26" t="s">
        <v>157</v>
      </c>
      <c r="AF271" s="19">
        <f>IF(AJ271=0,H271,0)</f>
        <v>0</v>
      </c>
      <c r="AG271" s="19">
        <f>IF(AJ271=15,H271,0)</f>
        <v>0</v>
      </c>
      <c r="AH271" s="19">
        <f>IF(AJ271=21,H271,0)</f>
        <v>2947.25</v>
      </c>
      <c r="AJ271" s="31">
        <v>21</v>
      </c>
      <c r="AK271" s="31">
        <f>G271*0.566305044010622</f>
        <v>14.15762610026555</v>
      </c>
      <c r="AL271" s="31">
        <f>G271*(1-0.566305044010622)</f>
        <v>10.84237389973445</v>
      </c>
      <c r="AM271" s="27" t="s">
        <v>13</v>
      </c>
      <c r="AR271" s="31">
        <f>AS271+AT271</f>
        <v>2947.25</v>
      </c>
      <c r="AS271" s="31">
        <f>F271*AK271</f>
        <v>1669.0425409603056</v>
      </c>
      <c r="AT271" s="31">
        <f>F271*AL271</f>
        <v>1278.2074590396944</v>
      </c>
      <c r="AU271" s="32" t="s">
        <v>676</v>
      </c>
      <c r="AV271" s="32" t="s">
        <v>690</v>
      </c>
      <c r="AW271" s="26" t="s">
        <v>698</v>
      </c>
      <c r="AY271" s="31">
        <f>AS271+AT271</f>
        <v>2947.25</v>
      </c>
      <c r="AZ271" s="31">
        <f>G271/(100-BA271)*100</f>
        <v>25</v>
      </c>
      <c r="BA271" s="31">
        <v>0</v>
      </c>
      <c r="BB271" s="31">
        <f>J271</f>
        <v>0.0389037</v>
      </c>
      <c r="BD271" s="19">
        <f>F271*AK271</f>
        <v>1669.0425409603056</v>
      </c>
      <c r="BE271" s="19">
        <f>F271*AL271</f>
        <v>1278.2074590396944</v>
      </c>
      <c r="BF271" s="19">
        <f>F271*G271</f>
        <v>2947.25</v>
      </c>
    </row>
    <row r="272" spans="1:16" ht="12.75">
      <c r="A272" s="47"/>
      <c r="B272" s="47"/>
      <c r="C272" s="47"/>
      <c r="D272" s="107" t="s">
        <v>515</v>
      </c>
      <c r="E272" s="47"/>
      <c r="F272" s="49">
        <v>96.39</v>
      </c>
      <c r="G272" s="47"/>
      <c r="H272" s="70"/>
      <c r="I272" s="56"/>
      <c r="J272" s="56"/>
      <c r="L272" s="49"/>
      <c r="M272" s="47"/>
      <c r="N272" s="70"/>
      <c r="O272" s="56"/>
      <c r="P272" s="56"/>
    </row>
    <row r="273" spans="1:16" ht="12.75">
      <c r="A273" s="47"/>
      <c r="B273" s="47"/>
      <c r="C273" s="47"/>
      <c r="D273" s="107" t="s">
        <v>516</v>
      </c>
      <c r="E273" s="47"/>
      <c r="F273" s="49">
        <v>21.5</v>
      </c>
      <c r="G273" s="47"/>
      <c r="H273" s="70"/>
      <c r="I273" s="56"/>
      <c r="J273" s="56"/>
      <c r="L273" s="49"/>
      <c r="M273" s="47"/>
      <c r="N273" s="70"/>
      <c r="O273" s="56"/>
      <c r="P273" s="56"/>
    </row>
    <row r="274" spans="1:58" ht="12.75">
      <c r="A274" s="41" t="s">
        <v>107</v>
      </c>
      <c r="B274" s="41" t="s">
        <v>157</v>
      </c>
      <c r="C274" s="41" t="s">
        <v>263</v>
      </c>
      <c r="D274" s="106" t="s">
        <v>517</v>
      </c>
      <c r="E274" s="41" t="s">
        <v>630</v>
      </c>
      <c r="F274" s="44">
        <v>117.89</v>
      </c>
      <c r="G274" s="45">
        <v>372</v>
      </c>
      <c r="H274" s="69">
        <f>F274*G274</f>
        <v>43855.08</v>
      </c>
      <c r="I274" s="55">
        <v>0.00963</v>
      </c>
      <c r="J274" s="55">
        <f>F274*I274</f>
        <v>1.1352807</v>
      </c>
      <c r="L274" s="101">
        <v>0</v>
      </c>
      <c r="M274" s="45">
        <v>372</v>
      </c>
      <c r="N274" s="69">
        <f>L274*M274</f>
        <v>0</v>
      </c>
      <c r="O274" s="55">
        <v>0.00963</v>
      </c>
      <c r="P274" s="55">
        <f>L274*O274</f>
        <v>0</v>
      </c>
      <c r="V274" s="31">
        <f>IF(AM274="5",BF274,0)</f>
        <v>0</v>
      </c>
      <c r="X274" s="31">
        <f>IF(AM274="1",BD274,0)</f>
        <v>0</v>
      </c>
      <c r="Y274" s="31">
        <f>IF(AM274="1",BE274,0)</f>
        <v>0</v>
      </c>
      <c r="Z274" s="31">
        <f>IF(AM274="7",BD274,0)</f>
        <v>24146.03054929578</v>
      </c>
      <c r="AA274" s="31">
        <f>IF(AM274="7",BE274,0)</f>
        <v>19709.049450704217</v>
      </c>
      <c r="AB274" s="31">
        <f>IF(AM274="2",BD274,0)</f>
        <v>0</v>
      </c>
      <c r="AC274" s="31">
        <f>IF(AM274="2",BE274,0)</f>
        <v>0</v>
      </c>
      <c r="AD274" s="31">
        <f>IF(AM274="0",BF274,0)</f>
        <v>0</v>
      </c>
      <c r="AE274" s="26" t="s">
        <v>157</v>
      </c>
      <c r="AF274" s="19">
        <f>IF(AJ274=0,H274,0)</f>
        <v>0</v>
      </c>
      <c r="AG274" s="19">
        <f>IF(AJ274=15,H274,0)</f>
        <v>0</v>
      </c>
      <c r="AH274" s="19">
        <f>IF(AJ274=21,H274,0)</f>
        <v>43855.08</v>
      </c>
      <c r="AJ274" s="31">
        <v>21</v>
      </c>
      <c r="AK274" s="31">
        <f>G274*0.550586854460094</f>
        <v>204.818309859155</v>
      </c>
      <c r="AL274" s="31">
        <f>G274*(1-0.550586854460094)</f>
        <v>167.181690140845</v>
      </c>
      <c r="AM274" s="27" t="s">
        <v>13</v>
      </c>
      <c r="AR274" s="31">
        <f>AS274+AT274</f>
        <v>43855.08</v>
      </c>
      <c r="AS274" s="31">
        <f>F274*AK274</f>
        <v>24146.03054929578</v>
      </c>
      <c r="AT274" s="31">
        <f>F274*AL274</f>
        <v>19709.049450704217</v>
      </c>
      <c r="AU274" s="32" t="s">
        <v>676</v>
      </c>
      <c r="AV274" s="32" t="s">
        <v>690</v>
      </c>
      <c r="AW274" s="26" t="s">
        <v>698</v>
      </c>
      <c r="AY274" s="31">
        <f>AS274+AT274</f>
        <v>43855.08</v>
      </c>
      <c r="AZ274" s="31">
        <f>G274/(100-BA274)*100</f>
        <v>372</v>
      </c>
      <c r="BA274" s="31">
        <v>0</v>
      </c>
      <c r="BB274" s="31">
        <f>J274</f>
        <v>1.1352807</v>
      </c>
      <c r="BD274" s="19">
        <f>F274*AK274</f>
        <v>24146.03054929578</v>
      </c>
      <c r="BE274" s="19">
        <f>F274*AL274</f>
        <v>19709.049450704217</v>
      </c>
      <c r="BF274" s="19">
        <f>F274*G274</f>
        <v>43855.08</v>
      </c>
    </row>
    <row r="275" spans="1:16" ht="12.75">
      <c r="A275" s="47"/>
      <c r="B275" s="47"/>
      <c r="C275" s="47"/>
      <c r="D275" s="107" t="s">
        <v>518</v>
      </c>
      <c r="E275" s="47"/>
      <c r="F275" s="49">
        <v>117.89</v>
      </c>
      <c r="G275" s="47"/>
      <c r="H275" s="70"/>
      <c r="I275" s="56"/>
      <c r="J275" s="56"/>
      <c r="L275" s="49"/>
      <c r="M275" s="47"/>
      <c r="N275" s="70"/>
      <c r="O275" s="56"/>
      <c r="P275" s="56"/>
    </row>
    <row r="276" spans="1:16" ht="12.75">
      <c r="A276" s="116" t="s">
        <v>870</v>
      </c>
      <c r="B276" s="47"/>
      <c r="C276" s="47"/>
      <c r="D276" s="100" t="s">
        <v>749</v>
      </c>
      <c r="E276" s="99" t="s">
        <v>733</v>
      </c>
      <c r="F276" s="49"/>
      <c r="G276" s="47"/>
      <c r="H276" s="70"/>
      <c r="I276" s="56"/>
      <c r="J276" s="56"/>
      <c r="L276" s="102">
        <v>1</v>
      </c>
      <c r="M276" s="69">
        <v>298077</v>
      </c>
      <c r="N276" s="69">
        <f>L276*M276</f>
        <v>298077</v>
      </c>
      <c r="O276" s="117">
        <v>1.465</v>
      </c>
      <c r="P276" s="55">
        <f>L276*O276</f>
        <v>1.465</v>
      </c>
    </row>
    <row r="277" spans="1:58" ht="12.75">
      <c r="A277" s="41" t="s">
        <v>108</v>
      </c>
      <c r="B277" s="41" t="s">
        <v>157</v>
      </c>
      <c r="C277" s="41" t="s">
        <v>264</v>
      </c>
      <c r="D277" s="41" t="s">
        <v>519</v>
      </c>
      <c r="E277" s="41" t="s">
        <v>632</v>
      </c>
      <c r="F277" s="44">
        <v>1.22</v>
      </c>
      <c r="G277" s="45">
        <v>1120</v>
      </c>
      <c r="H277" s="69">
        <f>F277*G277</f>
        <v>1366.3999999999999</v>
      </c>
      <c r="I277" s="55">
        <v>0</v>
      </c>
      <c r="J277" s="55">
        <f>F277*I277</f>
        <v>0</v>
      </c>
      <c r="L277" s="113">
        <f>P270</f>
        <v>1.465</v>
      </c>
      <c r="M277" s="45">
        <v>1120</v>
      </c>
      <c r="N277" s="69">
        <f>L277*M277</f>
        <v>1640.8000000000002</v>
      </c>
      <c r="O277" s="55">
        <v>0</v>
      </c>
      <c r="P277" s="55">
        <f>L277*O277</f>
        <v>0</v>
      </c>
      <c r="V277" s="31">
        <f>IF(AM277="5",BF277,0)</f>
        <v>1366.3999999999999</v>
      </c>
      <c r="X277" s="31">
        <f>IF(AM277="1",BD277,0)</f>
        <v>0</v>
      </c>
      <c r="Y277" s="31">
        <f>IF(AM277="1",BE277,0)</f>
        <v>0</v>
      </c>
      <c r="Z277" s="31">
        <f>IF(AM277="7",BD277,0)</f>
        <v>0</v>
      </c>
      <c r="AA277" s="31">
        <f>IF(AM277="7",BE277,0)</f>
        <v>0</v>
      </c>
      <c r="AB277" s="31">
        <f>IF(AM277="2",BD277,0)</f>
        <v>0</v>
      </c>
      <c r="AC277" s="31">
        <f>IF(AM277="2",BE277,0)</f>
        <v>0</v>
      </c>
      <c r="AD277" s="31">
        <f>IF(AM277="0",BF277,0)</f>
        <v>0</v>
      </c>
      <c r="AE277" s="26" t="s">
        <v>157</v>
      </c>
      <c r="AF277" s="19">
        <f>IF(AJ277=0,H277,0)</f>
        <v>0</v>
      </c>
      <c r="AG277" s="19">
        <f>IF(AJ277=15,H277,0)</f>
        <v>0</v>
      </c>
      <c r="AH277" s="19">
        <f>IF(AJ277=21,H277,0)</f>
        <v>1366.3999999999999</v>
      </c>
      <c r="AJ277" s="31">
        <v>21</v>
      </c>
      <c r="AK277" s="31">
        <f>G277*0</f>
        <v>0</v>
      </c>
      <c r="AL277" s="31">
        <f>G277*(1-0)</f>
        <v>1120</v>
      </c>
      <c r="AM277" s="27" t="s">
        <v>11</v>
      </c>
      <c r="AR277" s="31">
        <f>AS277+AT277</f>
        <v>1366.3999999999999</v>
      </c>
      <c r="AS277" s="31">
        <f>F277*AK277</f>
        <v>0</v>
      </c>
      <c r="AT277" s="31">
        <f>F277*AL277</f>
        <v>1366.3999999999999</v>
      </c>
      <c r="AU277" s="32" t="s">
        <v>676</v>
      </c>
      <c r="AV277" s="32" t="s">
        <v>690</v>
      </c>
      <c r="AW277" s="26" t="s">
        <v>698</v>
      </c>
      <c r="AY277" s="31">
        <f>AS277+AT277</f>
        <v>1366.3999999999999</v>
      </c>
      <c r="AZ277" s="31">
        <f>G277/(100-BA277)*100</f>
        <v>1120</v>
      </c>
      <c r="BA277" s="31">
        <v>0</v>
      </c>
      <c r="BB277" s="31">
        <f>J277</f>
        <v>0</v>
      </c>
      <c r="BD277" s="19">
        <f>F277*AK277</f>
        <v>0</v>
      </c>
      <c r="BE277" s="19">
        <f>F277*AL277</f>
        <v>1366.3999999999999</v>
      </c>
      <c r="BF277" s="19">
        <f>F277*G277</f>
        <v>1366.3999999999999</v>
      </c>
    </row>
    <row r="278" spans="1:16" ht="12.75">
      <c r="A278" s="42"/>
      <c r="B278" s="42"/>
      <c r="C278" s="42"/>
      <c r="D278" s="43" t="s">
        <v>520</v>
      </c>
      <c r="E278" s="42"/>
      <c r="F278" s="46">
        <v>1.22</v>
      </c>
      <c r="G278" s="42"/>
      <c r="H278" s="42"/>
      <c r="I278" s="57"/>
      <c r="J278" s="57"/>
      <c r="L278" s="46"/>
      <c r="M278" s="42"/>
      <c r="N278" s="42"/>
      <c r="O278" s="57"/>
      <c r="P278" s="57"/>
    </row>
    <row r="279" spans="1:43" ht="12.75">
      <c r="A279" s="4"/>
      <c r="B279" s="13" t="s">
        <v>157</v>
      </c>
      <c r="C279" s="13" t="s">
        <v>265</v>
      </c>
      <c r="D279" s="13" t="s">
        <v>521</v>
      </c>
      <c r="E279" s="4" t="s">
        <v>6</v>
      </c>
      <c r="F279" s="4" t="s">
        <v>6</v>
      </c>
      <c r="G279" s="4"/>
      <c r="H279" s="34">
        <f>SUM(H280:H286)</f>
        <v>36548.64</v>
      </c>
      <c r="I279" s="54"/>
      <c r="J279" s="54">
        <f>SUM(J280:J286)</f>
        <v>0.10396999999999999</v>
      </c>
      <c r="L279" s="4" t="s">
        <v>6</v>
      </c>
      <c r="M279" s="4"/>
      <c r="N279" s="34">
        <f>SUM(N280:N286)</f>
        <v>36548.64</v>
      </c>
      <c r="O279" s="54"/>
      <c r="P279" s="54">
        <f>SUM(P280:P286)</f>
        <v>0.10396999999999999</v>
      </c>
      <c r="AE279" s="26" t="s">
        <v>157</v>
      </c>
      <c r="AO279" s="34">
        <f>SUM(AF280:AF286)</f>
        <v>0</v>
      </c>
      <c r="AP279" s="34">
        <f>SUM(AG280:AG286)</f>
        <v>0</v>
      </c>
      <c r="AQ279" s="34">
        <f>SUM(AH280:AH286)</f>
        <v>36548.64</v>
      </c>
    </row>
    <row r="280" spans="1:58" ht="12.75">
      <c r="A280" s="41" t="s">
        <v>109</v>
      </c>
      <c r="B280" s="41" t="s">
        <v>157</v>
      </c>
      <c r="C280" s="41" t="s">
        <v>266</v>
      </c>
      <c r="D280" s="41" t="s">
        <v>522</v>
      </c>
      <c r="E280" s="41" t="s">
        <v>633</v>
      </c>
      <c r="F280" s="44">
        <v>2</v>
      </c>
      <c r="G280" s="45">
        <v>5894</v>
      </c>
      <c r="H280" s="69">
        <f>F280*G280</f>
        <v>11788</v>
      </c>
      <c r="I280" s="55">
        <v>0.00108</v>
      </c>
      <c r="J280" s="55">
        <f>F280*I280</f>
        <v>0.00216</v>
      </c>
      <c r="L280" s="44">
        <v>2</v>
      </c>
      <c r="M280" s="45">
        <v>5894</v>
      </c>
      <c r="N280" s="69">
        <f>L280*M280</f>
        <v>11788</v>
      </c>
      <c r="O280" s="55">
        <v>0.00108</v>
      </c>
      <c r="P280" s="55">
        <f>L280*O280</f>
        <v>0.00216</v>
      </c>
      <c r="V280" s="31">
        <f>IF(AM280="5",BF280,0)</f>
        <v>0</v>
      </c>
      <c r="X280" s="31">
        <f>IF(AM280="1",BD280,0)</f>
        <v>0</v>
      </c>
      <c r="Y280" s="31">
        <f>IF(AM280="1",BE280,0)</f>
        <v>0</v>
      </c>
      <c r="Z280" s="31">
        <f>IF(AM280="7",BD280,0)</f>
        <v>9743.9608</v>
      </c>
      <c r="AA280" s="31">
        <f>IF(AM280="7",BE280,0)</f>
        <v>2044.0392</v>
      </c>
      <c r="AB280" s="31">
        <f>IF(AM280="2",BD280,0)</f>
        <v>0</v>
      </c>
      <c r="AC280" s="31">
        <f>IF(AM280="2",BE280,0)</f>
        <v>0</v>
      </c>
      <c r="AD280" s="31">
        <f>IF(AM280="0",BF280,0)</f>
        <v>0</v>
      </c>
      <c r="AE280" s="26" t="s">
        <v>157</v>
      </c>
      <c r="AF280" s="19">
        <f>IF(AJ280=0,H280,0)</f>
        <v>0</v>
      </c>
      <c r="AG280" s="19">
        <f>IF(AJ280=15,H280,0)</f>
        <v>0</v>
      </c>
      <c r="AH280" s="19">
        <f>IF(AJ280=21,H280,0)</f>
        <v>11788</v>
      </c>
      <c r="AJ280" s="31">
        <v>21</v>
      </c>
      <c r="AK280" s="31">
        <f>G280*0.8266</f>
        <v>4871.9804</v>
      </c>
      <c r="AL280" s="31">
        <f>G280*(1-0.8266)</f>
        <v>1022.0196</v>
      </c>
      <c r="AM280" s="27" t="s">
        <v>13</v>
      </c>
      <c r="AR280" s="31">
        <f>AS280+AT280</f>
        <v>11788</v>
      </c>
      <c r="AS280" s="31">
        <f>F280*AK280</f>
        <v>9743.9608</v>
      </c>
      <c r="AT280" s="31">
        <f>F280*AL280</f>
        <v>2044.0392</v>
      </c>
      <c r="AU280" s="32" t="s">
        <v>677</v>
      </c>
      <c r="AV280" s="32" t="s">
        <v>691</v>
      </c>
      <c r="AW280" s="26" t="s">
        <v>698</v>
      </c>
      <c r="AY280" s="31">
        <f>AS280+AT280</f>
        <v>11788</v>
      </c>
      <c r="AZ280" s="31">
        <f>G280/(100-BA280)*100</f>
        <v>5894</v>
      </c>
      <c r="BA280" s="31">
        <v>0</v>
      </c>
      <c r="BB280" s="31">
        <f>J280</f>
        <v>0.00216</v>
      </c>
      <c r="BD280" s="19">
        <f>F280*AK280</f>
        <v>9743.9608</v>
      </c>
      <c r="BE280" s="19">
        <f>F280*AL280</f>
        <v>2044.0392</v>
      </c>
      <c r="BF280" s="19">
        <f>F280*G280</f>
        <v>11788</v>
      </c>
    </row>
    <row r="281" spans="1:16" ht="12.75">
      <c r="A281" s="47"/>
      <c r="B281" s="47"/>
      <c r="C281" s="47"/>
      <c r="D281" s="48" t="s">
        <v>523</v>
      </c>
      <c r="E281" s="47"/>
      <c r="F281" s="49">
        <v>2</v>
      </c>
      <c r="G281" s="47"/>
      <c r="H281" s="70"/>
      <c r="I281" s="56"/>
      <c r="J281" s="56"/>
      <c r="L281" s="49">
        <v>2</v>
      </c>
      <c r="M281" s="47"/>
      <c r="N281" s="70"/>
      <c r="O281" s="56"/>
      <c r="P281" s="56"/>
    </row>
    <row r="282" spans="1:58" ht="12.75">
      <c r="A282" s="41" t="s">
        <v>110</v>
      </c>
      <c r="B282" s="41" t="s">
        <v>157</v>
      </c>
      <c r="C282" s="41" t="s">
        <v>267</v>
      </c>
      <c r="D282" s="41" t="s">
        <v>524</v>
      </c>
      <c r="E282" s="41" t="s">
        <v>631</v>
      </c>
      <c r="F282" s="44">
        <v>8.5</v>
      </c>
      <c r="G282" s="45">
        <v>602</v>
      </c>
      <c r="H282" s="69">
        <f>F282*G282</f>
        <v>5117</v>
      </c>
      <c r="I282" s="55">
        <v>0.00131</v>
      </c>
      <c r="J282" s="55">
        <f>F282*I282</f>
        <v>0.011134999999999999</v>
      </c>
      <c r="L282" s="44">
        <v>8.5</v>
      </c>
      <c r="M282" s="45">
        <v>602</v>
      </c>
      <c r="N282" s="69">
        <f>L282*M282</f>
        <v>5117</v>
      </c>
      <c r="O282" s="55">
        <v>0.00131</v>
      </c>
      <c r="P282" s="55">
        <f>L282*O282</f>
        <v>0.011134999999999999</v>
      </c>
      <c r="V282" s="31">
        <f>IF(AM282="5",BF282,0)</f>
        <v>0</v>
      </c>
      <c r="X282" s="31">
        <f>IF(AM282="1",BD282,0)</f>
        <v>0</v>
      </c>
      <c r="Y282" s="31">
        <f>IF(AM282="1",BE282,0)</f>
        <v>0</v>
      </c>
      <c r="Z282" s="31">
        <f>IF(AM282="7",BD282,0)</f>
        <v>2141.4059083969482</v>
      </c>
      <c r="AA282" s="31">
        <f>IF(AM282="7",BE282,0)</f>
        <v>2975.5940916030513</v>
      </c>
      <c r="AB282" s="31">
        <f>IF(AM282="2",BD282,0)</f>
        <v>0</v>
      </c>
      <c r="AC282" s="31">
        <f>IF(AM282="2",BE282,0)</f>
        <v>0</v>
      </c>
      <c r="AD282" s="31">
        <f>IF(AM282="0",BF282,0)</f>
        <v>0</v>
      </c>
      <c r="AE282" s="26" t="s">
        <v>157</v>
      </c>
      <c r="AF282" s="19">
        <f>IF(AJ282=0,H282,0)</f>
        <v>0</v>
      </c>
      <c r="AG282" s="19">
        <f>IF(AJ282=15,H282,0)</f>
        <v>0</v>
      </c>
      <c r="AH282" s="19">
        <f>IF(AJ282=21,H282,0)</f>
        <v>5117</v>
      </c>
      <c r="AJ282" s="31">
        <v>21</v>
      </c>
      <c r="AK282" s="31">
        <f>G282*0.418488549618321</f>
        <v>251.93010687022922</v>
      </c>
      <c r="AL282" s="31">
        <f>G282*(1-0.418488549618321)</f>
        <v>350.0698931297707</v>
      </c>
      <c r="AM282" s="27" t="s">
        <v>13</v>
      </c>
      <c r="AR282" s="31">
        <f>AS282+AT282</f>
        <v>5117</v>
      </c>
      <c r="AS282" s="31">
        <f>F282*AK282</f>
        <v>2141.4059083969482</v>
      </c>
      <c r="AT282" s="31">
        <f>F282*AL282</f>
        <v>2975.5940916030513</v>
      </c>
      <c r="AU282" s="32" t="s">
        <v>677</v>
      </c>
      <c r="AV282" s="32" t="s">
        <v>691</v>
      </c>
      <c r="AW282" s="26" t="s">
        <v>698</v>
      </c>
      <c r="AY282" s="31">
        <f>AS282+AT282</f>
        <v>5117</v>
      </c>
      <c r="AZ282" s="31">
        <f>G282/(100-BA282)*100</f>
        <v>602</v>
      </c>
      <c r="BA282" s="31">
        <v>0</v>
      </c>
      <c r="BB282" s="31">
        <f>J282</f>
        <v>0.011134999999999999</v>
      </c>
      <c r="BD282" s="19">
        <f>F282*AK282</f>
        <v>2141.4059083969482</v>
      </c>
      <c r="BE282" s="19">
        <f>F282*AL282</f>
        <v>2975.5940916030513</v>
      </c>
      <c r="BF282" s="19">
        <f>F282*G282</f>
        <v>5117</v>
      </c>
    </row>
    <row r="283" spans="1:16" ht="12.75">
      <c r="A283" s="47"/>
      <c r="B283" s="47"/>
      <c r="C283" s="47"/>
      <c r="D283" s="48" t="s">
        <v>525</v>
      </c>
      <c r="E283" s="47"/>
      <c r="F283" s="49">
        <v>8.5</v>
      </c>
      <c r="G283" s="47"/>
      <c r="H283" s="70"/>
      <c r="I283" s="56"/>
      <c r="J283" s="56"/>
      <c r="L283" s="49">
        <v>8.5</v>
      </c>
      <c r="M283" s="47"/>
      <c r="N283" s="70"/>
      <c r="O283" s="56"/>
      <c r="P283" s="56"/>
    </row>
    <row r="284" spans="1:58" ht="12.75">
      <c r="A284" s="41" t="s">
        <v>111</v>
      </c>
      <c r="B284" s="41" t="s">
        <v>157</v>
      </c>
      <c r="C284" s="41" t="s">
        <v>268</v>
      </c>
      <c r="D284" s="41" t="s">
        <v>526</v>
      </c>
      <c r="E284" s="41" t="s">
        <v>631</v>
      </c>
      <c r="F284" s="44">
        <v>22.5</v>
      </c>
      <c r="G284" s="45">
        <v>870</v>
      </c>
      <c r="H284" s="69">
        <f>F284*G284</f>
        <v>19575</v>
      </c>
      <c r="I284" s="55">
        <v>0.00403</v>
      </c>
      <c r="J284" s="55">
        <f>F284*I284</f>
        <v>0.09067499999999999</v>
      </c>
      <c r="L284" s="44">
        <v>22.5</v>
      </c>
      <c r="M284" s="45">
        <v>870</v>
      </c>
      <c r="N284" s="69">
        <f>L284*M284</f>
        <v>19575</v>
      </c>
      <c r="O284" s="55">
        <v>0.00403</v>
      </c>
      <c r="P284" s="55">
        <f>L284*O284</f>
        <v>0.09067499999999999</v>
      </c>
      <c r="V284" s="31">
        <f>IF(AM284="5",BF284,0)</f>
        <v>0</v>
      </c>
      <c r="X284" s="31">
        <f>IF(AM284="1",BD284,0)</f>
        <v>0</v>
      </c>
      <c r="Y284" s="31">
        <f>IF(AM284="1",BE284,0)</f>
        <v>0</v>
      </c>
      <c r="Z284" s="31">
        <f>IF(AM284="7",BD284,0)</f>
        <v>12129.240397350999</v>
      </c>
      <c r="AA284" s="31">
        <f>IF(AM284="7",BE284,0)</f>
        <v>7445.759602649</v>
      </c>
      <c r="AB284" s="31">
        <f>IF(AM284="2",BD284,0)</f>
        <v>0</v>
      </c>
      <c r="AC284" s="31">
        <f>IF(AM284="2",BE284,0)</f>
        <v>0</v>
      </c>
      <c r="AD284" s="31">
        <f>IF(AM284="0",BF284,0)</f>
        <v>0</v>
      </c>
      <c r="AE284" s="26" t="s">
        <v>157</v>
      </c>
      <c r="AF284" s="19">
        <f>IF(AJ284=0,H284,0)</f>
        <v>0</v>
      </c>
      <c r="AG284" s="19">
        <f>IF(AJ284=15,H284,0)</f>
        <v>0</v>
      </c>
      <c r="AH284" s="19">
        <f>IF(AJ284=21,H284,0)</f>
        <v>19575</v>
      </c>
      <c r="AJ284" s="31">
        <v>21</v>
      </c>
      <c r="AK284" s="31">
        <f>G284*0.619629139072848</f>
        <v>539.0773509933778</v>
      </c>
      <c r="AL284" s="31">
        <f>G284*(1-0.619629139072848)</f>
        <v>330.92264900662224</v>
      </c>
      <c r="AM284" s="27" t="s">
        <v>13</v>
      </c>
      <c r="AR284" s="31">
        <f>AS284+AT284</f>
        <v>19575</v>
      </c>
      <c r="AS284" s="31">
        <f>F284*AK284</f>
        <v>12129.240397350999</v>
      </c>
      <c r="AT284" s="31">
        <f>F284*AL284</f>
        <v>7445.759602649</v>
      </c>
      <c r="AU284" s="32" t="s">
        <v>677</v>
      </c>
      <c r="AV284" s="32" t="s">
        <v>691</v>
      </c>
      <c r="AW284" s="26" t="s">
        <v>698</v>
      </c>
      <c r="AY284" s="31">
        <f>AS284+AT284</f>
        <v>19575</v>
      </c>
      <c r="AZ284" s="31">
        <f>G284/(100-BA284)*100</f>
        <v>869.9999999999999</v>
      </c>
      <c r="BA284" s="31">
        <v>0</v>
      </c>
      <c r="BB284" s="31">
        <f>J284</f>
        <v>0.09067499999999999</v>
      </c>
      <c r="BD284" s="19">
        <f>F284*AK284</f>
        <v>12129.240397350999</v>
      </c>
      <c r="BE284" s="19">
        <f>F284*AL284</f>
        <v>7445.759602649</v>
      </c>
      <c r="BF284" s="19">
        <f>F284*G284</f>
        <v>19575</v>
      </c>
    </row>
    <row r="285" spans="1:16" ht="12.75">
      <c r="A285" s="47"/>
      <c r="B285" s="47"/>
      <c r="C285" s="47"/>
      <c r="D285" s="48" t="s">
        <v>527</v>
      </c>
      <c r="E285" s="47"/>
      <c r="F285" s="49">
        <v>22.5</v>
      </c>
      <c r="G285" s="47"/>
      <c r="H285" s="70"/>
      <c r="I285" s="56"/>
      <c r="J285" s="56"/>
      <c r="L285" s="49">
        <v>22.5</v>
      </c>
      <c r="M285" s="47"/>
      <c r="N285" s="70"/>
      <c r="O285" s="56"/>
      <c r="P285" s="56"/>
    </row>
    <row r="286" spans="1:58" ht="12.75">
      <c r="A286" s="41" t="s">
        <v>112</v>
      </c>
      <c r="B286" s="41" t="s">
        <v>157</v>
      </c>
      <c r="C286" s="41" t="s">
        <v>269</v>
      </c>
      <c r="D286" s="41" t="s">
        <v>528</v>
      </c>
      <c r="E286" s="41" t="s">
        <v>632</v>
      </c>
      <c r="F286" s="44">
        <v>0.11</v>
      </c>
      <c r="G286" s="45">
        <v>624</v>
      </c>
      <c r="H286" s="69">
        <f>F286*G286</f>
        <v>68.64</v>
      </c>
      <c r="I286" s="55">
        <v>0</v>
      </c>
      <c r="J286" s="55">
        <f>F286*I286</f>
        <v>0</v>
      </c>
      <c r="L286" s="44">
        <v>0.11</v>
      </c>
      <c r="M286" s="45">
        <v>624</v>
      </c>
      <c r="N286" s="69">
        <f>L286*M286</f>
        <v>68.64</v>
      </c>
      <c r="O286" s="55">
        <v>0</v>
      </c>
      <c r="P286" s="55">
        <f>L286*O286</f>
        <v>0</v>
      </c>
      <c r="V286" s="31">
        <f>IF(AM286="5",BF286,0)</f>
        <v>68.64</v>
      </c>
      <c r="X286" s="31">
        <f>IF(AM286="1",BD286,0)</f>
        <v>0</v>
      </c>
      <c r="Y286" s="31">
        <f>IF(AM286="1",BE286,0)</f>
        <v>0</v>
      </c>
      <c r="Z286" s="31">
        <f>IF(AM286="7",BD286,0)</f>
        <v>0</v>
      </c>
      <c r="AA286" s="31">
        <f>IF(AM286="7",BE286,0)</f>
        <v>0</v>
      </c>
      <c r="AB286" s="31">
        <f>IF(AM286="2",BD286,0)</f>
        <v>0</v>
      </c>
      <c r="AC286" s="31">
        <f>IF(AM286="2",BE286,0)</f>
        <v>0</v>
      </c>
      <c r="AD286" s="31">
        <f>IF(AM286="0",BF286,0)</f>
        <v>0</v>
      </c>
      <c r="AE286" s="26" t="s">
        <v>157</v>
      </c>
      <c r="AF286" s="19">
        <f>IF(AJ286=0,H286,0)</f>
        <v>0</v>
      </c>
      <c r="AG286" s="19">
        <f>IF(AJ286=15,H286,0)</f>
        <v>0</v>
      </c>
      <c r="AH286" s="19">
        <f>IF(AJ286=21,H286,0)</f>
        <v>68.64</v>
      </c>
      <c r="AJ286" s="31">
        <v>21</v>
      </c>
      <c r="AK286" s="31">
        <f>G286*0</f>
        <v>0</v>
      </c>
      <c r="AL286" s="31">
        <f>G286*(1-0)</f>
        <v>624</v>
      </c>
      <c r="AM286" s="27" t="s">
        <v>11</v>
      </c>
      <c r="AR286" s="31">
        <f>AS286+AT286</f>
        <v>68.64</v>
      </c>
      <c r="AS286" s="31">
        <f>F286*AK286</f>
        <v>0</v>
      </c>
      <c r="AT286" s="31">
        <f>F286*AL286</f>
        <v>68.64</v>
      </c>
      <c r="AU286" s="32" t="s">
        <v>677</v>
      </c>
      <c r="AV286" s="32" t="s">
        <v>691</v>
      </c>
      <c r="AW286" s="26" t="s">
        <v>698</v>
      </c>
      <c r="AY286" s="31">
        <f>AS286+AT286</f>
        <v>68.64</v>
      </c>
      <c r="AZ286" s="31">
        <f>G286/(100-BA286)*100</f>
        <v>624</v>
      </c>
      <c r="BA286" s="31">
        <v>0</v>
      </c>
      <c r="BB286" s="31">
        <f>J286</f>
        <v>0</v>
      </c>
      <c r="BD286" s="19">
        <f>F286*AK286</f>
        <v>0</v>
      </c>
      <c r="BE286" s="19">
        <f>F286*AL286</f>
        <v>68.64</v>
      </c>
      <c r="BF286" s="19">
        <f>F286*G286</f>
        <v>68.64</v>
      </c>
    </row>
    <row r="287" spans="1:16" ht="12.75">
      <c r="A287" s="42"/>
      <c r="B287" s="42"/>
      <c r="C287" s="42"/>
      <c r="D287" s="43" t="s">
        <v>529</v>
      </c>
      <c r="E287" s="42"/>
      <c r="F287" s="46">
        <v>0.11</v>
      </c>
      <c r="G287" s="42"/>
      <c r="H287" s="71"/>
      <c r="I287" s="57"/>
      <c r="J287" s="57"/>
      <c r="L287" s="46">
        <v>0.11</v>
      </c>
      <c r="M287" s="42"/>
      <c r="N287" s="71"/>
      <c r="O287" s="57"/>
      <c r="P287" s="57"/>
    </row>
    <row r="288" spans="1:43" ht="12.75">
      <c r="A288" s="4"/>
      <c r="B288" s="13" t="s">
        <v>157</v>
      </c>
      <c r="C288" s="13" t="s">
        <v>270</v>
      </c>
      <c r="D288" s="13" t="s">
        <v>530</v>
      </c>
      <c r="E288" s="4" t="s">
        <v>6</v>
      </c>
      <c r="F288" s="4" t="s">
        <v>6</v>
      </c>
      <c r="G288" s="4"/>
      <c r="H288" s="34">
        <f>SUM(H289:H296)</f>
        <v>33437</v>
      </c>
      <c r="I288" s="54"/>
      <c r="J288" s="54">
        <f>SUM(J289:J296)</f>
        <v>0.192894</v>
      </c>
      <c r="L288" s="4" t="s">
        <v>6</v>
      </c>
      <c r="M288" s="4"/>
      <c r="N288" s="34">
        <f>SUM(N289:N296)</f>
        <v>28062</v>
      </c>
      <c r="O288" s="54"/>
      <c r="P288" s="54">
        <f>SUM(P289:P296)</f>
        <v>0.192894</v>
      </c>
      <c r="AE288" s="26" t="s">
        <v>157</v>
      </c>
      <c r="AO288" s="34">
        <f>SUM(AF289:AF296)</f>
        <v>0</v>
      </c>
      <c r="AP288" s="34">
        <f>SUM(AG289:AG296)</f>
        <v>0</v>
      </c>
      <c r="AQ288" s="34">
        <f>SUM(AH289:AH296)</f>
        <v>33437</v>
      </c>
    </row>
    <row r="289" spans="1:58" ht="12.75">
      <c r="A289" s="41" t="s">
        <v>113</v>
      </c>
      <c r="B289" s="41" t="s">
        <v>157</v>
      </c>
      <c r="C289" s="41" t="s">
        <v>271</v>
      </c>
      <c r="D289" s="41" t="s">
        <v>531</v>
      </c>
      <c r="E289" s="41" t="s">
        <v>631</v>
      </c>
      <c r="F289" s="44">
        <v>1.8</v>
      </c>
      <c r="G289" s="45">
        <v>320</v>
      </c>
      <c r="H289" s="69">
        <f>F289*G289</f>
        <v>576</v>
      </c>
      <c r="I289" s="55">
        <v>0.00168</v>
      </c>
      <c r="J289" s="55">
        <f>F289*I289</f>
        <v>0.003024</v>
      </c>
      <c r="L289" s="44">
        <v>1.8</v>
      </c>
      <c r="M289" s="45">
        <v>320</v>
      </c>
      <c r="N289" s="69">
        <f>L289*M289</f>
        <v>576</v>
      </c>
      <c r="O289" s="55">
        <v>0.00168</v>
      </c>
      <c r="P289" s="55">
        <f>L289*O289</f>
        <v>0.003024</v>
      </c>
      <c r="V289" s="31">
        <f>IF(AM289="5",BF289,0)</f>
        <v>0</v>
      </c>
      <c r="X289" s="31">
        <f>IF(AM289="1",BD289,0)</f>
        <v>0</v>
      </c>
      <c r="Y289" s="31">
        <f>IF(AM289="1",BE289,0)</f>
        <v>0</v>
      </c>
      <c r="Z289" s="31">
        <f>IF(AM289="7",BD289,0)</f>
        <v>118.02418604651173</v>
      </c>
      <c r="AA289" s="31">
        <f>IF(AM289="7",BE289,0)</f>
        <v>457.9758139534882</v>
      </c>
      <c r="AB289" s="31">
        <f>IF(AM289="2",BD289,0)</f>
        <v>0</v>
      </c>
      <c r="AC289" s="31">
        <f>IF(AM289="2",BE289,0)</f>
        <v>0</v>
      </c>
      <c r="AD289" s="31">
        <f>IF(AM289="0",BF289,0)</f>
        <v>0</v>
      </c>
      <c r="AE289" s="26" t="s">
        <v>157</v>
      </c>
      <c r="AF289" s="19">
        <f>IF(AJ289=0,H289,0)</f>
        <v>0</v>
      </c>
      <c r="AG289" s="19">
        <f>IF(AJ289=15,H289,0)</f>
        <v>0</v>
      </c>
      <c r="AH289" s="19">
        <f>IF(AJ289=21,H289,0)</f>
        <v>576</v>
      </c>
      <c r="AJ289" s="31">
        <v>21</v>
      </c>
      <c r="AK289" s="31">
        <f>G289*0.204903100775194</f>
        <v>65.56899224806207</v>
      </c>
      <c r="AL289" s="31">
        <f>G289*(1-0.204903100775194)</f>
        <v>254.4310077519379</v>
      </c>
      <c r="AM289" s="27" t="s">
        <v>13</v>
      </c>
      <c r="AR289" s="31">
        <f>AS289+AT289</f>
        <v>576</v>
      </c>
      <c r="AS289" s="31">
        <f>F289*AK289</f>
        <v>118.02418604651173</v>
      </c>
      <c r="AT289" s="31">
        <f>F289*AL289</f>
        <v>457.9758139534882</v>
      </c>
      <c r="AU289" s="32" t="s">
        <v>678</v>
      </c>
      <c r="AV289" s="32" t="s">
        <v>692</v>
      </c>
      <c r="AW289" s="26" t="s">
        <v>698</v>
      </c>
      <c r="AY289" s="31">
        <f>AS289+AT289</f>
        <v>576</v>
      </c>
      <c r="AZ289" s="31">
        <f>G289/(100-BA289)*100</f>
        <v>320</v>
      </c>
      <c r="BA289" s="31">
        <v>0</v>
      </c>
      <c r="BB289" s="31">
        <f>J289</f>
        <v>0.003024</v>
      </c>
      <c r="BD289" s="19">
        <f>F289*AK289</f>
        <v>118.02418604651173</v>
      </c>
      <c r="BE289" s="19">
        <f>F289*AL289</f>
        <v>457.9758139534882</v>
      </c>
      <c r="BF289" s="19">
        <f>F289*G289</f>
        <v>576</v>
      </c>
    </row>
    <row r="290" spans="1:16" ht="12.75">
      <c r="A290" s="47"/>
      <c r="B290" s="47"/>
      <c r="C290" s="47"/>
      <c r="D290" s="48" t="s">
        <v>532</v>
      </c>
      <c r="E290" s="47"/>
      <c r="F290" s="49">
        <v>1.8</v>
      </c>
      <c r="G290" s="47"/>
      <c r="H290" s="70"/>
      <c r="I290" s="56"/>
      <c r="J290" s="56"/>
      <c r="L290" s="49">
        <v>1.8</v>
      </c>
      <c r="M290" s="47"/>
      <c r="N290" s="70"/>
      <c r="O290" s="56"/>
      <c r="P290" s="56"/>
    </row>
    <row r="291" spans="1:58" ht="12.75">
      <c r="A291" s="41" t="s">
        <v>114</v>
      </c>
      <c r="B291" s="41" t="s">
        <v>157</v>
      </c>
      <c r="C291" s="41" t="s">
        <v>272</v>
      </c>
      <c r="D291" s="41" t="s">
        <v>533</v>
      </c>
      <c r="E291" s="41" t="s">
        <v>631</v>
      </c>
      <c r="F291" s="44">
        <v>43</v>
      </c>
      <c r="G291" s="45">
        <v>717</v>
      </c>
      <c r="H291" s="69">
        <f>F291*G291</f>
        <v>30831</v>
      </c>
      <c r="I291" s="55">
        <v>0.00429</v>
      </c>
      <c r="J291" s="55">
        <f>F291*I291</f>
        <v>0.18447000000000002</v>
      </c>
      <c r="L291" s="101">
        <v>0</v>
      </c>
      <c r="M291" s="45">
        <v>717</v>
      </c>
      <c r="N291" s="69">
        <f>L291*M291</f>
        <v>0</v>
      </c>
      <c r="O291" s="55">
        <v>0.00429</v>
      </c>
      <c r="P291" s="55">
        <f>L291*O291</f>
        <v>0</v>
      </c>
      <c r="V291" s="31">
        <f>IF(AM291="5",BF291,0)</f>
        <v>0</v>
      </c>
      <c r="X291" s="31">
        <f>IF(AM291="1",BD291,0)</f>
        <v>0</v>
      </c>
      <c r="Y291" s="31">
        <f>IF(AM291="1",BE291,0)</f>
        <v>0</v>
      </c>
      <c r="Z291" s="31">
        <f>IF(AM291="7",BD291,0)</f>
        <v>11182.24825188136</v>
      </c>
      <c r="AA291" s="31">
        <f>IF(AM291="7",BE291,0)</f>
        <v>19648.75174811864</v>
      </c>
      <c r="AB291" s="31">
        <f>IF(AM291="2",BD291,0)</f>
        <v>0</v>
      </c>
      <c r="AC291" s="31">
        <f>IF(AM291="2",BE291,0)</f>
        <v>0</v>
      </c>
      <c r="AD291" s="31">
        <f>IF(AM291="0",BF291,0)</f>
        <v>0</v>
      </c>
      <c r="AE291" s="26" t="s">
        <v>157</v>
      </c>
      <c r="AF291" s="19">
        <f>IF(AJ291=0,H291,0)</f>
        <v>0</v>
      </c>
      <c r="AG291" s="19">
        <f>IF(AJ291=15,H291,0)</f>
        <v>0</v>
      </c>
      <c r="AH291" s="19">
        <f>IF(AJ291=21,H291,0)</f>
        <v>30831</v>
      </c>
      <c r="AJ291" s="31">
        <v>21</v>
      </c>
      <c r="AK291" s="31">
        <f>G291*0.362694958057843</f>
        <v>260.05228492747347</v>
      </c>
      <c r="AL291" s="31">
        <f>G291*(1-0.362694958057843)</f>
        <v>456.94771507252653</v>
      </c>
      <c r="AM291" s="27" t="s">
        <v>13</v>
      </c>
      <c r="AR291" s="31">
        <f>AS291+AT291</f>
        <v>30831</v>
      </c>
      <c r="AS291" s="31">
        <f>F291*AK291</f>
        <v>11182.24825188136</v>
      </c>
      <c r="AT291" s="31">
        <f>F291*AL291</f>
        <v>19648.75174811864</v>
      </c>
      <c r="AU291" s="32" t="s">
        <v>678</v>
      </c>
      <c r="AV291" s="32" t="s">
        <v>692</v>
      </c>
      <c r="AW291" s="26" t="s">
        <v>698</v>
      </c>
      <c r="AY291" s="31">
        <f>AS291+AT291</f>
        <v>30831</v>
      </c>
      <c r="AZ291" s="31">
        <f>G291/(100-BA291)*100</f>
        <v>717</v>
      </c>
      <c r="BA291" s="31">
        <v>0</v>
      </c>
      <c r="BB291" s="31">
        <f>J291</f>
        <v>0.18447000000000002</v>
      </c>
      <c r="BD291" s="19">
        <f>F291*AK291</f>
        <v>11182.24825188136</v>
      </c>
      <c r="BE291" s="19">
        <f>F291*AL291</f>
        <v>19648.75174811864</v>
      </c>
      <c r="BF291" s="19">
        <f>F291*G291</f>
        <v>30831</v>
      </c>
    </row>
    <row r="292" spans="1:16" ht="12.75">
      <c r="A292" s="47"/>
      <c r="B292" s="47"/>
      <c r="C292" s="47"/>
      <c r="D292" s="48" t="s">
        <v>534</v>
      </c>
      <c r="E292" s="47"/>
      <c r="F292" s="49">
        <v>43</v>
      </c>
      <c r="G292" s="47"/>
      <c r="H292" s="70"/>
      <c r="I292" s="56"/>
      <c r="J292" s="56"/>
      <c r="L292" s="49"/>
      <c r="M292" s="47"/>
      <c r="N292" s="70"/>
      <c r="O292" s="56"/>
      <c r="P292" s="56"/>
    </row>
    <row r="293" spans="1:16" ht="12.75">
      <c r="A293" s="116" t="s">
        <v>774</v>
      </c>
      <c r="B293" s="47"/>
      <c r="C293" s="108">
        <v>764214406</v>
      </c>
      <c r="D293" s="100" t="s">
        <v>775</v>
      </c>
      <c r="E293" s="116" t="s">
        <v>631</v>
      </c>
      <c r="F293" s="49"/>
      <c r="G293" s="47"/>
      <c r="H293" s="70"/>
      <c r="I293" s="56"/>
      <c r="J293" s="56"/>
      <c r="L293" s="102">
        <v>43</v>
      </c>
      <c r="M293" s="45">
        <v>592</v>
      </c>
      <c r="N293" s="69">
        <f>L293*M293</f>
        <v>25456</v>
      </c>
      <c r="O293" s="55">
        <v>0.00429</v>
      </c>
      <c r="P293" s="55">
        <f>L293*O293</f>
        <v>0.18447000000000002</v>
      </c>
    </row>
    <row r="294" spans="1:58" ht="12.75">
      <c r="A294" s="41" t="s">
        <v>115</v>
      </c>
      <c r="B294" s="41" t="s">
        <v>157</v>
      </c>
      <c r="C294" s="41" t="s">
        <v>273</v>
      </c>
      <c r="D294" s="41" t="s">
        <v>535</v>
      </c>
      <c r="E294" s="41" t="s">
        <v>633</v>
      </c>
      <c r="F294" s="44">
        <v>1</v>
      </c>
      <c r="G294" s="45">
        <v>1650</v>
      </c>
      <c r="H294" s="69">
        <f>F294*G294</f>
        <v>1650</v>
      </c>
      <c r="I294" s="55">
        <v>0.0054</v>
      </c>
      <c r="J294" s="55">
        <f>F294*I294</f>
        <v>0.0054</v>
      </c>
      <c r="L294" s="44">
        <v>1</v>
      </c>
      <c r="M294" s="45">
        <v>1650</v>
      </c>
      <c r="N294" s="69">
        <f>L294*M294</f>
        <v>1650</v>
      </c>
      <c r="O294" s="55">
        <v>0.0054</v>
      </c>
      <c r="P294" s="55">
        <f>L294*O294</f>
        <v>0.0054</v>
      </c>
      <c r="V294" s="31">
        <f>IF(AM294="5",BF294,0)</f>
        <v>0</v>
      </c>
      <c r="X294" s="31">
        <f>IF(AM294="1",BD294,0)</f>
        <v>0</v>
      </c>
      <c r="Y294" s="31">
        <f>IF(AM294="1",BE294,0)</f>
        <v>0</v>
      </c>
      <c r="Z294" s="31">
        <f>IF(AM294="7",BD294,0)</f>
        <v>713.3499999999995</v>
      </c>
      <c r="AA294" s="31">
        <f>IF(AM294="7",BE294,0)</f>
        <v>936.6500000000005</v>
      </c>
      <c r="AB294" s="31">
        <f>IF(AM294="2",BD294,0)</f>
        <v>0</v>
      </c>
      <c r="AC294" s="31">
        <f>IF(AM294="2",BE294,0)</f>
        <v>0</v>
      </c>
      <c r="AD294" s="31">
        <f>IF(AM294="0",BF294,0)</f>
        <v>0</v>
      </c>
      <c r="AE294" s="26" t="s">
        <v>157</v>
      </c>
      <c r="AF294" s="19">
        <f>IF(AJ294=0,H294,0)</f>
        <v>0</v>
      </c>
      <c r="AG294" s="19">
        <f>IF(AJ294=15,H294,0)</f>
        <v>0</v>
      </c>
      <c r="AH294" s="19">
        <f>IF(AJ294=21,H294,0)</f>
        <v>1650</v>
      </c>
      <c r="AJ294" s="31">
        <v>21</v>
      </c>
      <c r="AK294" s="31">
        <f>G294*0.432333333333333</f>
        <v>713.3499999999995</v>
      </c>
      <c r="AL294" s="31">
        <f>G294*(1-0.432333333333333)</f>
        <v>936.6500000000005</v>
      </c>
      <c r="AM294" s="27" t="s">
        <v>13</v>
      </c>
      <c r="AR294" s="31">
        <f>AS294+AT294</f>
        <v>1650</v>
      </c>
      <c r="AS294" s="31">
        <f>F294*AK294</f>
        <v>713.3499999999995</v>
      </c>
      <c r="AT294" s="31">
        <f>F294*AL294</f>
        <v>936.6500000000005</v>
      </c>
      <c r="AU294" s="32" t="s">
        <v>678</v>
      </c>
      <c r="AV294" s="32" t="s">
        <v>692</v>
      </c>
      <c r="AW294" s="26" t="s">
        <v>698</v>
      </c>
      <c r="AY294" s="31">
        <f>AS294+AT294</f>
        <v>1650</v>
      </c>
      <c r="AZ294" s="31">
        <f>G294/(100-BA294)*100</f>
        <v>1650</v>
      </c>
      <c r="BA294" s="31">
        <v>0</v>
      </c>
      <c r="BB294" s="31">
        <f>J294</f>
        <v>0.0054</v>
      </c>
      <c r="BD294" s="19">
        <f>F294*AK294</f>
        <v>713.3499999999995</v>
      </c>
      <c r="BE294" s="19">
        <f>F294*AL294</f>
        <v>936.6500000000005</v>
      </c>
      <c r="BF294" s="19">
        <f>F294*G294</f>
        <v>1650</v>
      </c>
    </row>
    <row r="295" spans="1:16" ht="12.75">
      <c r="A295" s="47"/>
      <c r="B295" s="47"/>
      <c r="C295" s="47"/>
      <c r="D295" s="48" t="s">
        <v>536</v>
      </c>
      <c r="E295" s="47"/>
      <c r="F295" s="49">
        <v>1</v>
      </c>
      <c r="G295" s="47"/>
      <c r="H295" s="70"/>
      <c r="I295" s="56"/>
      <c r="J295" s="56"/>
      <c r="L295" s="49">
        <v>1</v>
      </c>
      <c r="M295" s="47"/>
      <c r="N295" s="70"/>
      <c r="O295" s="56"/>
      <c r="P295" s="56"/>
    </row>
    <row r="296" spans="1:58" ht="12.75">
      <c r="A296" s="41" t="s">
        <v>116</v>
      </c>
      <c r="B296" s="41" t="s">
        <v>157</v>
      </c>
      <c r="C296" s="41" t="s">
        <v>274</v>
      </c>
      <c r="D296" s="41" t="s">
        <v>537</v>
      </c>
      <c r="E296" s="41" t="s">
        <v>632</v>
      </c>
      <c r="F296" s="44">
        <v>0.2</v>
      </c>
      <c r="G296" s="45">
        <v>1900</v>
      </c>
      <c r="H296" s="69">
        <f>F296*G296</f>
        <v>380</v>
      </c>
      <c r="I296" s="55">
        <v>0</v>
      </c>
      <c r="J296" s="55">
        <f>F296*I296</f>
        <v>0</v>
      </c>
      <c r="L296" s="44">
        <v>0.2</v>
      </c>
      <c r="M296" s="45">
        <v>1900</v>
      </c>
      <c r="N296" s="69">
        <f>L296*M296</f>
        <v>380</v>
      </c>
      <c r="O296" s="55">
        <v>0</v>
      </c>
      <c r="P296" s="55">
        <f>L296*O296</f>
        <v>0</v>
      </c>
      <c r="V296" s="31">
        <f>IF(AM296="5",BF296,0)</f>
        <v>380</v>
      </c>
      <c r="X296" s="31">
        <f>IF(AM296="1",BD296,0)</f>
        <v>0</v>
      </c>
      <c r="Y296" s="31">
        <f>IF(AM296="1",BE296,0)</f>
        <v>0</v>
      </c>
      <c r="Z296" s="31">
        <f>IF(AM296="7",BD296,0)</f>
        <v>0</v>
      </c>
      <c r="AA296" s="31">
        <f>IF(AM296="7",BE296,0)</f>
        <v>0</v>
      </c>
      <c r="AB296" s="31">
        <f>IF(AM296="2",BD296,0)</f>
        <v>0</v>
      </c>
      <c r="AC296" s="31">
        <f>IF(AM296="2",BE296,0)</f>
        <v>0</v>
      </c>
      <c r="AD296" s="31">
        <f>IF(AM296="0",BF296,0)</f>
        <v>0</v>
      </c>
      <c r="AE296" s="26" t="s">
        <v>157</v>
      </c>
      <c r="AF296" s="19">
        <f>IF(AJ296=0,H296,0)</f>
        <v>0</v>
      </c>
      <c r="AG296" s="19">
        <f>IF(AJ296=15,H296,0)</f>
        <v>0</v>
      </c>
      <c r="AH296" s="19">
        <f>IF(AJ296=21,H296,0)</f>
        <v>380</v>
      </c>
      <c r="AJ296" s="31">
        <v>21</v>
      </c>
      <c r="AK296" s="31">
        <f>G296*0</f>
        <v>0</v>
      </c>
      <c r="AL296" s="31">
        <f>G296*(1-0)</f>
        <v>1900</v>
      </c>
      <c r="AM296" s="27" t="s">
        <v>11</v>
      </c>
      <c r="AR296" s="31">
        <f>AS296+AT296</f>
        <v>380</v>
      </c>
      <c r="AS296" s="31">
        <f>F296*AK296</f>
        <v>0</v>
      </c>
      <c r="AT296" s="31">
        <f>F296*AL296</f>
        <v>380</v>
      </c>
      <c r="AU296" s="32" t="s">
        <v>678</v>
      </c>
      <c r="AV296" s="32" t="s">
        <v>692</v>
      </c>
      <c r="AW296" s="26" t="s">
        <v>698</v>
      </c>
      <c r="AY296" s="31">
        <f>AS296+AT296</f>
        <v>380</v>
      </c>
      <c r="AZ296" s="31">
        <f>G296/(100-BA296)*100</f>
        <v>1900</v>
      </c>
      <c r="BA296" s="31">
        <v>0</v>
      </c>
      <c r="BB296" s="31">
        <f>J296</f>
        <v>0</v>
      </c>
      <c r="BD296" s="19">
        <f>F296*AK296</f>
        <v>0</v>
      </c>
      <c r="BE296" s="19">
        <f>F296*AL296</f>
        <v>380</v>
      </c>
      <c r="BF296" s="19">
        <f>F296*G296</f>
        <v>380</v>
      </c>
    </row>
    <row r="297" spans="1:16" ht="12.75">
      <c r="A297" s="42"/>
      <c r="B297" s="42"/>
      <c r="C297" s="42"/>
      <c r="D297" s="43" t="s">
        <v>538</v>
      </c>
      <c r="E297" s="42"/>
      <c r="F297" s="46">
        <v>0.2</v>
      </c>
      <c r="G297" s="42"/>
      <c r="H297" s="42"/>
      <c r="I297" s="57"/>
      <c r="J297" s="57"/>
      <c r="L297" s="46">
        <v>0.2</v>
      </c>
      <c r="M297" s="42"/>
      <c r="N297" s="42"/>
      <c r="O297" s="57"/>
      <c r="P297" s="57"/>
    </row>
    <row r="298" spans="1:43" ht="12.75">
      <c r="A298" s="4"/>
      <c r="B298" s="13" t="s">
        <v>157</v>
      </c>
      <c r="C298" s="13" t="s">
        <v>275</v>
      </c>
      <c r="D298" s="13" t="s">
        <v>539</v>
      </c>
      <c r="E298" s="4" t="s">
        <v>6</v>
      </c>
      <c r="F298" s="4" t="s">
        <v>6</v>
      </c>
      <c r="G298" s="4"/>
      <c r="H298" s="34">
        <f>SUM(H299:H307)</f>
        <v>18350.899999999998</v>
      </c>
      <c r="I298" s="54"/>
      <c r="J298" s="54">
        <f>SUM(J299:J307)</f>
        <v>0.064172</v>
      </c>
      <c r="L298" s="4" t="s">
        <v>6</v>
      </c>
      <c r="M298" s="4"/>
      <c r="N298" s="34">
        <f>SUM(N299:N307)</f>
        <v>18350.899999999998</v>
      </c>
      <c r="O298" s="54"/>
      <c r="P298" s="54">
        <f>SUM(P299:P307)</f>
        <v>0.064172</v>
      </c>
      <c r="AE298" s="26" t="s">
        <v>157</v>
      </c>
      <c r="AO298" s="34">
        <f>SUM(AF299:AF307)</f>
        <v>0</v>
      </c>
      <c r="AP298" s="34">
        <f>SUM(AG299:AG307)</f>
        <v>0</v>
      </c>
      <c r="AQ298" s="34">
        <f>SUM(AH299:AH307)</f>
        <v>18350.899999999998</v>
      </c>
    </row>
    <row r="299" spans="1:58" ht="12.75">
      <c r="A299" s="41" t="s">
        <v>117</v>
      </c>
      <c r="B299" s="41" t="s">
        <v>157</v>
      </c>
      <c r="C299" s="41" t="s">
        <v>276</v>
      </c>
      <c r="D299" s="41" t="s">
        <v>540</v>
      </c>
      <c r="E299" s="41" t="s">
        <v>630</v>
      </c>
      <c r="F299" s="44">
        <v>1.8</v>
      </c>
      <c r="G299" s="45">
        <v>9052</v>
      </c>
      <c r="H299" s="69">
        <f>F299*G299</f>
        <v>16293.6</v>
      </c>
      <c r="I299" s="55">
        <v>0.032</v>
      </c>
      <c r="J299" s="55">
        <f>F299*I299</f>
        <v>0.057600000000000005</v>
      </c>
      <c r="L299" s="44">
        <v>1.8</v>
      </c>
      <c r="M299" s="45">
        <v>9052</v>
      </c>
      <c r="N299" s="69">
        <f>L299*M299</f>
        <v>16293.6</v>
      </c>
      <c r="O299" s="55">
        <v>0.032</v>
      </c>
      <c r="P299" s="55">
        <f>L299*O299</f>
        <v>0.057600000000000005</v>
      </c>
      <c r="V299" s="31">
        <f>IF(AM299="5",BF299,0)</f>
        <v>0</v>
      </c>
      <c r="X299" s="31">
        <f>IF(AM299="1",BD299,0)</f>
        <v>0</v>
      </c>
      <c r="Y299" s="31">
        <f>IF(AM299="1",BE299,0)</f>
        <v>0</v>
      </c>
      <c r="Z299" s="31">
        <f>IF(AM299="7",BD299,0)</f>
        <v>527.5433183999994</v>
      </c>
      <c r="AA299" s="31">
        <f>IF(AM299="7",BE299,0)</f>
        <v>15766.056681600003</v>
      </c>
      <c r="AB299" s="31">
        <f>IF(AM299="2",BD299,0)</f>
        <v>0</v>
      </c>
      <c r="AC299" s="31">
        <f>IF(AM299="2",BE299,0)</f>
        <v>0</v>
      </c>
      <c r="AD299" s="31">
        <f>IF(AM299="0",BF299,0)</f>
        <v>0</v>
      </c>
      <c r="AE299" s="26" t="s">
        <v>157</v>
      </c>
      <c r="AF299" s="19">
        <f>IF(AJ299=0,H299,0)</f>
        <v>0</v>
      </c>
      <c r="AG299" s="19">
        <f>IF(AJ299=15,H299,0)</f>
        <v>0</v>
      </c>
      <c r="AH299" s="19">
        <f>IF(AJ299=21,H299,0)</f>
        <v>16293.6</v>
      </c>
      <c r="AJ299" s="31">
        <v>21</v>
      </c>
      <c r="AK299" s="31">
        <f>G299*0.0323773333333333</f>
        <v>293.079621333333</v>
      </c>
      <c r="AL299" s="31">
        <f>G299*(1-0.0323773333333333)</f>
        <v>8758.920378666668</v>
      </c>
      <c r="AM299" s="27" t="s">
        <v>13</v>
      </c>
      <c r="AR299" s="31">
        <f>AS299+AT299</f>
        <v>16293.600000000002</v>
      </c>
      <c r="AS299" s="31">
        <f>F299*AK299</f>
        <v>527.5433183999994</v>
      </c>
      <c r="AT299" s="31">
        <f>F299*AL299</f>
        <v>15766.056681600003</v>
      </c>
      <c r="AU299" s="32" t="s">
        <v>679</v>
      </c>
      <c r="AV299" s="32" t="s">
        <v>692</v>
      </c>
      <c r="AW299" s="26" t="s">
        <v>698</v>
      </c>
      <c r="AY299" s="31">
        <f>AS299+AT299</f>
        <v>16293.600000000002</v>
      </c>
      <c r="AZ299" s="31">
        <f>G299/(100-BA299)*100</f>
        <v>9052</v>
      </c>
      <c r="BA299" s="31">
        <v>0</v>
      </c>
      <c r="BB299" s="31">
        <f>J299</f>
        <v>0.057600000000000005</v>
      </c>
      <c r="BD299" s="19">
        <f>F299*AK299</f>
        <v>527.5433183999994</v>
      </c>
      <c r="BE299" s="19">
        <f>F299*AL299</f>
        <v>15766.056681600003</v>
      </c>
      <c r="BF299" s="19">
        <f>F299*G299</f>
        <v>16293.6</v>
      </c>
    </row>
    <row r="300" spans="1:16" ht="12.75">
      <c r="A300" s="47"/>
      <c r="B300" s="47"/>
      <c r="C300" s="47"/>
      <c r="D300" s="48" t="s">
        <v>541</v>
      </c>
      <c r="E300" s="47"/>
      <c r="F300" s="49">
        <v>1.8</v>
      </c>
      <c r="G300" s="47"/>
      <c r="H300" s="70"/>
      <c r="I300" s="56"/>
      <c r="J300" s="56"/>
      <c r="L300" s="49">
        <v>1.8</v>
      </c>
      <c r="M300" s="47"/>
      <c r="N300" s="70"/>
      <c r="O300" s="56"/>
      <c r="P300" s="56"/>
    </row>
    <row r="301" spans="1:58" ht="12.75">
      <c r="A301" s="41" t="s">
        <v>118</v>
      </c>
      <c r="B301" s="41" t="s">
        <v>157</v>
      </c>
      <c r="C301" s="41" t="s">
        <v>277</v>
      </c>
      <c r="D301" s="41" t="s">
        <v>542</v>
      </c>
      <c r="E301" s="41" t="s">
        <v>631</v>
      </c>
      <c r="F301" s="44">
        <v>5.6</v>
      </c>
      <c r="G301" s="45">
        <v>150</v>
      </c>
      <c r="H301" s="69">
        <f>F301*G301</f>
        <v>840</v>
      </c>
      <c r="I301" s="55">
        <v>0</v>
      </c>
      <c r="J301" s="55">
        <f>F301*I301</f>
        <v>0</v>
      </c>
      <c r="L301" s="44">
        <v>5.6</v>
      </c>
      <c r="M301" s="45">
        <v>150</v>
      </c>
      <c r="N301" s="69">
        <f>L301*M301</f>
        <v>840</v>
      </c>
      <c r="O301" s="55">
        <v>0</v>
      </c>
      <c r="P301" s="55">
        <f>L301*O301</f>
        <v>0</v>
      </c>
      <c r="V301" s="31">
        <f>IF(AM301="5",BF301,0)</f>
        <v>0</v>
      </c>
      <c r="X301" s="31">
        <f>IF(AM301="1",BD301,0)</f>
        <v>0</v>
      </c>
      <c r="Y301" s="31">
        <f>IF(AM301="1",BE301,0)</f>
        <v>0</v>
      </c>
      <c r="Z301" s="31">
        <f>IF(AM301="7",BD301,0)</f>
        <v>353.2981132075475</v>
      </c>
      <c r="AA301" s="31">
        <f>IF(AM301="7",BE301,0)</f>
        <v>486.70188679245246</v>
      </c>
      <c r="AB301" s="31">
        <f>IF(AM301="2",BD301,0)</f>
        <v>0</v>
      </c>
      <c r="AC301" s="31">
        <f>IF(AM301="2",BE301,0)</f>
        <v>0</v>
      </c>
      <c r="AD301" s="31">
        <f>IF(AM301="0",BF301,0)</f>
        <v>0</v>
      </c>
      <c r="AE301" s="26" t="s">
        <v>157</v>
      </c>
      <c r="AF301" s="19">
        <f>IF(AJ301=0,H301,0)</f>
        <v>0</v>
      </c>
      <c r="AG301" s="19">
        <f>IF(AJ301=15,H301,0)</f>
        <v>0</v>
      </c>
      <c r="AH301" s="19">
        <f>IF(AJ301=21,H301,0)</f>
        <v>840</v>
      </c>
      <c r="AJ301" s="31">
        <v>21</v>
      </c>
      <c r="AK301" s="31">
        <f>G301*0.420592991913747</f>
        <v>63.08894878706205</v>
      </c>
      <c r="AL301" s="31">
        <f>G301*(1-0.420592991913747)</f>
        <v>86.91105121293795</v>
      </c>
      <c r="AM301" s="27" t="s">
        <v>13</v>
      </c>
      <c r="AR301" s="31">
        <f>AS301+AT301</f>
        <v>840</v>
      </c>
      <c r="AS301" s="31">
        <f>F301*AK301</f>
        <v>353.2981132075475</v>
      </c>
      <c r="AT301" s="31">
        <f>F301*AL301</f>
        <v>486.70188679245246</v>
      </c>
      <c r="AU301" s="32" t="s">
        <v>679</v>
      </c>
      <c r="AV301" s="32" t="s">
        <v>692</v>
      </c>
      <c r="AW301" s="26" t="s">
        <v>698</v>
      </c>
      <c r="AY301" s="31">
        <f>AS301+AT301</f>
        <v>840</v>
      </c>
      <c r="AZ301" s="31">
        <f>G301/(100-BA301)*100</f>
        <v>150</v>
      </c>
      <c r="BA301" s="31">
        <v>0</v>
      </c>
      <c r="BB301" s="31">
        <f>J301</f>
        <v>0</v>
      </c>
      <c r="BD301" s="19">
        <f>F301*AK301</f>
        <v>353.2981132075475</v>
      </c>
      <c r="BE301" s="19">
        <f>F301*AL301</f>
        <v>486.70188679245246</v>
      </c>
      <c r="BF301" s="19">
        <f>F301*G301</f>
        <v>840</v>
      </c>
    </row>
    <row r="302" spans="1:16" ht="12.75">
      <c r="A302" s="47"/>
      <c r="B302" s="47"/>
      <c r="C302" s="47"/>
      <c r="D302" s="48" t="s">
        <v>543</v>
      </c>
      <c r="E302" s="47"/>
      <c r="F302" s="49">
        <v>5.6</v>
      </c>
      <c r="G302" s="47"/>
      <c r="H302" s="70"/>
      <c r="I302" s="56"/>
      <c r="J302" s="56"/>
      <c r="L302" s="49">
        <v>5.6</v>
      </c>
      <c r="M302" s="47"/>
      <c r="N302" s="70"/>
      <c r="O302" s="56"/>
      <c r="P302" s="56"/>
    </row>
    <row r="303" spans="1:58" ht="12.75">
      <c r="A303" s="41" t="s">
        <v>119</v>
      </c>
      <c r="B303" s="41" t="s">
        <v>157</v>
      </c>
      <c r="C303" s="41" t="s">
        <v>278</v>
      </c>
      <c r="D303" s="41" t="s">
        <v>544</v>
      </c>
      <c r="E303" s="41" t="s">
        <v>633</v>
      </c>
      <c r="F303" s="44">
        <v>1</v>
      </c>
      <c r="G303" s="45">
        <v>464</v>
      </c>
      <c r="H303" s="69">
        <f>F303*G303</f>
        <v>464</v>
      </c>
      <c r="I303" s="55">
        <v>2E-05</v>
      </c>
      <c r="J303" s="55">
        <f>F303*I303</f>
        <v>2E-05</v>
      </c>
      <c r="L303" s="44">
        <v>1</v>
      </c>
      <c r="M303" s="45">
        <v>464</v>
      </c>
      <c r="N303" s="69">
        <f>L303*M303</f>
        <v>464</v>
      </c>
      <c r="O303" s="55">
        <v>2E-05</v>
      </c>
      <c r="P303" s="55">
        <f>L303*O303</f>
        <v>2E-05</v>
      </c>
      <c r="V303" s="31">
        <f>IF(AM303="5",BF303,0)</f>
        <v>0</v>
      </c>
      <c r="X303" s="31">
        <f>IF(AM303="1",BD303,0)</f>
        <v>0</v>
      </c>
      <c r="Y303" s="31">
        <f>IF(AM303="1",BE303,0)</f>
        <v>0</v>
      </c>
      <c r="Z303" s="31">
        <f>IF(AM303="7",BD303,0)</f>
        <v>10.003053054612314</v>
      </c>
      <c r="AA303" s="31">
        <f>IF(AM303="7",BE303,0)</f>
        <v>453.99694694538766</v>
      </c>
      <c r="AB303" s="31">
        <f>IF(AM303="2",BD303,0)</f>
        <v>0</v>
      </c>
      <c r="AC303" s="31">
        <f>IF(AM303="2",BE303,0)</f>
        <v>0</v>
      </c>
      <c r="AD303" s="31">
        <f>IF(AM303="0",BF303,0)</f>
        <v>0</v>
      </c>
      <c r="AE303" s="26" t="s">
        <v>157</v>
      </c>
      <c r="AF303" s="19">
        <f>IF(AJ303=0,H303,0)</f>
        <v>0</v>
      </c>
      <c r="AG303" s="19">
        <f>IF(AJ303=15,H303,0)</f>
        <v>0</v>
      </c>
      <c r="AH303" s="19">
        <f>IF(AJ303=21,H303,0)</f>
        <v>464</v>
      </c>
      <c r="AJ303" s="31">
        <v>21</v>
      </c>
      <c r="AK303" s="31">
        <f>G303*0.0215583039970093</f>
        <v>10.003053054612314</v>
      </c>
      <c r="AL303" s="31">
        <f>G303*(1-0.0215583039970093)</f>
        <v>453.99694694538766</v>
      </c>
      <c r="AM303" s="27" t="s">
        <v>13</v>
      </c>
      <c r="AR303" s="31">
        <f>AS303+AT303</f>
        <v>464</v>
      </c>
      <c r="AS303" s="31">
        <f>F303*AK303</f>
        <v>10.003053054612314</v>
      </c>
      <c r="AT303" s="31">
        <f>F303*AL303</f>
        <v>453.99694694538766</v>
      </c>
      <c r="AU303" s="32" t="s">
        <v>679</v>
      </c>
      <c r="AV303" s="32" t="s">
        <v>692</v>
      </c>
      <c r="AW303" s="26" t="s">
        <v>698</v>
      </c>
      <c r="AY303" s="31">
        <f>AS303+AT303</f>
        <v>464</v>
      </c>
      <c r="AZ303" s="31">
        <f>G303/(100-BA303)*100</f>
        <v>463.99999999999994</v>
      </c>
      <c r="BA303" s="31">
        <v>0</v>
      </c>
      <c r="BB303" s="31">
        <f>J303</f>
        <v>2E-05</v>
      </c>
      <c r="BD303" s="19">
        <f>F303*AK303</f>
        <v>10.003053054612314</v>
      </c>
      <c r="BE303" s="19">
        <f>F303*AL303</f>
        <v>453.99694694538766</v>
      </c>
      <c r="BF303" s="19">
        <f>F303*G303</f>
        <v>464</v>
      </c>
    </row>
    <row r="304" spans="1:16" ht="12.75">
      <c r="A304" s="47"/>
      <c r="B304" s="47"/>
      <c r="C304" s="47"/>
      <c r="D304" s="48" t="s">
        <v>545</v>
      </c>
      <c r="E304" s="47"/>
      <c r="F304" s="49">
        <v>1</v>
      </c>
      <c r="G304" s="47"/>
      <c r="H304" s="70"/>
      <c r="I304" s="56"/>
      <c r="J304" s="56"/>
      <c r="L304" s="49">
        <v>1</v>
      </c>
      <c r="M304" s="47"/>
      <c r="N304" s="70"/>
      <c r="O304" s="56"/>
      <c r="P304" s="56"/>
    </row>
    <row r="305" spans="1:58" ht="12.75">
      <c r="A305" s="50" t="s">
        <v>120</v>
      </c>
      <c r="B305" s="50" t="s">
        <v>157</v>
      </c>
      <c r="C305" s="50" t="s">
        <v>279</v>
      </c>
      <c r="D305" s="50" t="s">
        <v>546</v>
      </c>
      <c r="E305" s="50" t="s">
        <v>631</v>
      </c>
      <c r="F305" s="51">
        <v>1.8</v>
      </c>
      <c r="G305" s="52">
        <v>387</v>
      </c>
      <c r="H305" s="72">
        <f>F305*G305</f>
        <v>696.6</v>
      </c>
      <c r="I305" s="58">
        <v>0.00364</v>
      </c>
      <c r="J305" s="58">
        <f>F305*I305</f>
        <v>0.0065520000000000005</v>
      </c>
      <c r="L305" s="51">
        <v>1.8</v>
      </c>
      <c r="M305" s="52">
        <v>387</v>
      </c>
      <c r="N305" s="72">
        <f>L305*M305</f>
        <v>696.6</v>
      </c>
      <c r="O305" s="58">
        <v>0.00364</v>
      </c>
      <c r="P305" s="58">
        <f>L305*O305</f>
        <v>0.0065520000000000005</v>
      </c>
      <c r="V305" s="31">
        <f>IF(AM305="5",BF305,0)</f>
        <v>0</v>
      </c>
      <c r="X305" s="31">
        <f>IF(AM305="1",BD305,0)</f>
        <v>0</v>
      </c>
      <c r="Y305" s="31">
        <f>IF(AM305="1",BE305,0)</f>
        <v>0</v>
      </c>
      <c r="Z305" s="31">
        <f>IF(AM305="7",BD305,0)</f>
        <v>696.6</v>
      </c>
      <c r="AA305" s="31">
        <f>IF(AM305="7",BE305,0)</f>
        <v>0</v>
      </c>
      <c r="AB305" s="31">
        <f>IF(AM305="2",BD305,0)</f>
        <v>0</v>
      </c>
      <c r="AC305" s="31">
        <f>IF(AM305="2",BE305,0)</f>
        <v>0</v>
      </c>
      <c r="AD305" s="31">
        <f>IF(AM305="0",BF305,0)</f>
        <v>0</v>
      </c>
      <c r="AE305" s="26" t="s">
        <v>157</v>
      </c>
      <c r="AF305" s="20">
        <f>IF(AJ305=0,H305,0)</f>
        <v>0</v>
      </c>
      <c r="AG305" s="20">
        <f>IF(AJ305=15,H305,0)</f>
        <v>0</v>
      </c>
      <c r="AH305" s="20">
        <f>IF(AJ305=21,H305,0)</f>
        <v>696.6</v>
      </c>
      <c r="AJ305" s="31">
        <v>21</v>
      </c>
      <c r="AK305" s="31">
        <f>G305*1</f>
        <v>387</v>
      </c>
      <c r="AL305" s="31">
        <f>G305*(1-1)</f>
        <v>0</v>
      </c>
      <c r="AM305" s="28" t="s">
        <v>13</v>
      </c>
      <c r="AR305" s="31">
        <f>AS305+AT305</f>
        <v>696.6</v>
      </c>
      <c r="AS305" s="31">
        <f>F305*AK305</f>
        <v>696.6</v>
      </c>
      <c r="AT305" s="31">
        <f>F305*AL305</f>
        <v>0</v>
      </c>
      <c r="AU305" s="32" t="s">
        <v>679</v>
      </c>
      <c r="AV305" s="32" t="s">
        <v>692</v>
      </c>
      <c r="AW305" s="26" t="s">
        <v>698</v>
      </c>
      <c r="AY305" s="31">
        <f>AS305+AT305</f>
        <v>696.6</v>
      </c>
      <c r="AZ305" s="31">
        <f>G305/(100-BA305)*100</f>
        <v>387</v>
      </c>
      <c r="BA305" s="31">
        <v>0</v>
      </c>
      <c r="BB305" s="31">
        <f>J305</f>
        <v>0.0065520000000000005</v>
      </c>
      <c r="BD305" s="20">
        <f>F305*AK305</f>
        <v>696.6</v>
      </c>
      <c r="BE305" s="20">
        <f>F305*AL305</f>
        <v>0</v>
      </c>
      <c r="BF305" s="20">
        <f>F305*G305</f>
        <v>696.6</v>
      </c>
    </row>
    <row r="306" spans="1:16" ht="12.75">
      <c r="A306" s="47"/>
      <c r="B306" s="47"/>
      <c r="C306" s="47"/>
      <c r="D306" s="48" t="s">
        <v>547</v>
      </c>
      <c r="E306" s="47"/>
      <c r="F306" s="49">
        <v>1.8</v>
      </c>
      <c r="G306" s="47"/>
      <c r="H306" s="70"/>
      <c r="I306" s="56"/>
      <c r="J306" s="56"/>
      <c r="L306" s="49">
        <v>1.8</v>
      </c>
      <c r="M306" s="47"/>
      <c r="N306" s="70"/>
      <c r="O306" s="56"/>
      <c r="P306" s="56"/>
    </row>
    <row r="307" spans="1:58" ht="12.75">
      <c r="A307" s="41" t="s">
        <v>121</v>
      </c>
      <c r="B307" s="41" t="s">
        <v>157</v>
      </c>
      <c r="C307" s="41" t="s">
        <v>280</v>
      </c>
      <c r="D307" s="41" t="s">
        <v>548</v>
      </c>
      <c r="E307" s="41" t="s">
        <v>632</v>
      </c>
      <c r="F307" s="44">
        <v>0.07</v>
      </c>
      <c r="G307" s="45">
        <v>810</v>
      </c>
      <c r="H307" s="69">
        <f>F307*G307</f>
        <v>56.7</v>
      </c>
      <c r="I307" s="55">
        <v>0</v>
      </c>
      <c r="J307" s="55">
        <f>F307*I307</f>
        <v>0</v>
      </c>
      <c r="L307" s="44">
        <v>0.07</v>
      </c>
      <c r="M307" s="45">
        <v>810</v>
      </c>
      <c r="N307" s="69">
        <f>L307*M307</f>
        <v>56.7</v>
      </c>
      <c r="O307" s="55">
        <v>0</v>
      </c>
      <c r="P307" s="55">
        <f>L307*O307</f>
        <v>0</v>
      </c>
      <c r="V307" s="31">
        <f>IF(AM307="5",BF307,0)</f>
        <v>56.7</v>
      </c>
      <c r="X307" s="31">
        <f>IF(AM307="1",BD307,0)</f>
        <v>0</v>
      </c>
      <c r="Y307" s="31">
        <f>IF(AM307="1",BE307,0)</f>
        <v>0</v>
      </c>
      <c r="Z307" s="31">
        <f>IF(AM307="7",BD307,0)</f>
        <v>0</v>
      </c>
      <c r="AA307" s="31">
        <f>IF(AM307="7",BE307,0)</f>
        <v>0</v>
      </c>
      <c r="AB307" s="31">
        <f>IF(AM307="2",BD307,0)</f>
        <v>0</v>
      </c>
      <c r="AC307" s="31">
        <f>IF(AM307="2",BE307,0)</f>
        <v>0</v>
      </c>
      <c r="AD307" s="31">
        <f>IF(AM307="0",BF307,0)</f>
        <v>0</v>
      </c>
      <c r="AE307" s="26" t="s">
        <v>157</v>
      </c>
      <c r="AF307" s="19">
        <f>IF(AJ307=0,H307,0)</f>
        <v>0</v>
      </c>
      <c r="AG307" s="19">
        <f>IF(AJ307=15,H307,0)</f>
        <v>0</v>
      </c>
      <c r="AH307" s="19">
        <f>IF(AJ307=21,H307,0)</f>
        <v>56.7</v>
      </c>
      <c r="AJ307" s="31">
        <v>21</v>
      </c>
      <c r="AK307" s="31">
        <f>G307*0</f>
        <v>0</v>
      </c>
      <c r="AL307" s="31">
        <f>G307*(1-0)</f>
        <v>810</v>
      </c>
      <c r="AM307" s="27" t="s">
        <v>11</v>
      </c>
      <c r="AR307" s="31">
        <f>AS307+AT307</f>
        <v>56.7</v>
      </c>
      <c r="AS307" s="31">
        <f>F307*AK307</f>
        <v>0</v>
      </c>
      <c r="AT307" s="31">
        <f>F307*AL307</f>
        <v>56.7</v>
      </c>
      <c r="AU307" s="32" t="s">
        <v>679</v>
      </c>
      <c r="AV307" s="32" t="s">
        <v>692</v>
      </c>
      <c r="AW307" s="26" t="s">
        <v>698</v>
      </c>
      <c r="AY307" s="31">
        <f>AS307+AT307</f>
        <v>56.7</v>
      </c>
      <c r="AZ307" s="31">
        <f>G307/(100-BA307)*100</f>
        <v>810</v>
      </c>
      <c r="BA307" s="31">
        <v>0</v>
      </c>
      <c r="BB307" s="31">
        <f>J307</f>
        <v>0</v>
      </c>
      <c r="BD307" s="19">
        <f>F307*AK307</f>
        <v>0</v>
      </c>
      <c r="BE307" s="19">
        <f>F307*AL307</f>
        <v>56.7</v>
      </c>
      <c r="BF307" s="19">
        <f>F307*G307</f>
        <v>56.7</v>
      </c>
    </row>
    <row r="308" spans="1:16" ht="12.75">
      <c r="A308" s="42"/>
      <c r="B308" s="42"/>
      <c r="C308" s="42"/>
      <c r="D308" s="43" t="s">
        <v>549</v>
      </c>
      <c r="E308" s="42"/>
      <c r="F308" s="46">
        <v>0.07</v>
      </c>
      <c r="G308" s="42"/>
      <c r="H308" s="42"/>
      <c r="I308" s="57"/>
      <c r="J308" s="57"/>
      <c r="L308" s="46">
        <v>0.07</v>
      </c>
      <c r="M308" s="42"/>
      <c r="N308" s="42"/>
      <c r="O308" s="57"/>
      <c r="P308" s="57"/>
    </row>
    <row r="309" spans="1:43" ht="12.75">
      <c r="A309" s="4"/>
      <c r="B309" s="13" t="s">
        <v>157</v>
      </c>
      <c r="C309" s="13" t="s">
        <v>281</v>
      </c>
      <c r="D309" s="13" t="s">
        <v>550</v>
      </c>
      <c r="E309" s="4" t="s">
        <v>6</v>
      </c>
      <c r="F309" s="4" t="s">
        <v>6</v>
      </c>
      <c r="G309" s="4"/>
      <c r="H309" s="34">
        <f>SUM(H310:H325)</f>
        <v>139917.15</v>
      </c>
      <c r="I309" s="54"/>
      <c r="J309" s="54">
        <f>SUM(J310:J325)</f>
        <v>0.22083660000000002</v>
      </c>
      <c r="L309" s="4" t="s">
        <v>6</v>
      </c>
      <c r="M309" s="4"/>
      <c r="N309" s="34">
        <f>SUM(N310:N325)</f>
        <v>235843.66992</v>
      </c>
      <c r="O309" s="54"/>
      <c r="P309" s="54">
        <f>SUM(P310:P324)</f>
        <v>0.3149166</v>
      </c>
      <c r="AE309" s="26" t="s">
        <v>157</v>
      </c>
      <c r="AO309" s="34">
        <f>SUM(AF310:AF325)</f>
        <v>0</v>
      </c>
      <c r="AP309" s="34">
        <f>SUM(AG310:AG325)</f>
        <v>0</v>
      </c>
      <c r="AQ309" s="34">
        <f>SUM(AH310:AH325)</f>
        <v>139917.15</v>
      </c>
    </row>
    <row r="310" spans="1:58" ht="12.75">
      <c r="A310" s="41" t="s">
        <v>122</v>
      </c>
      <c r="B310" s="41" t="s">
        <v>157</v>
      </c>
      <c r="C310" s="41" t="s">
        <v>282</v>
      </c>
      <c r="D310" s="41" t="s">
        <v>551</v>
      </c>
      <c r="E310" s="41" t="s">
        <v>634</v>
      </c>
      <c r="F310" s="44">
        <v>12.722</v>
      </c>
      <c r="G310" s="45">
        <v>95</v>
      </c>
      <c r="H310" s="69">
        <f>F310*G310</f>
        <v>1208.59</v>
      </c>
      <c r="I310" s="55">
        <v>6E-05</v>
      </c>
      <c r="J310" s="55">
        <f>F310*I310</f>
        <v>0.00076332</v>
      </c>
      <c r="L310" s="44">
        <v>12.722</v>
      </c>
      <c r="M310" s="45">
        <v>95</v>
      </c>
      <c r="N310" s="69">
        <f>L310*M310</f>
        <v>1208.59</v>
      </c>
      <c r="O310" s="55">
        <v>6E-05</v>
      </c>
      <c r="P310" s="55">
        <f>L310*O310</f>
        <v>0.00076332</v>
      </c>
      <c r="V310" s="31">
        <f>IF(AM310="5",BF310,0)</f>
        <v>0</v>
      </c>
      <c r="X310" s="31">
        <f>IF(AM310="1",BD310,0)</f>
        <v>0</v>
      </c>
      <c r="Y310" s="31">
        <f>IF(AM310="1",BE310,0)</f>
        <v>0</v>
      </c>
      <c r="Z310" s="31">
        <f>IF(AM310="7",BD310,0)</f>
        <v>302.7759668</v>
      </c>
      <c r="AA310" s="31">
        <f>IF(AM310="7",BE310,0)</f>
        <v>905.8140331999999</v>
      </c>
      <c r="AB310" s="31">
        <f>IF(AM310="2",BD310,0)</f>
        <v>0</v>
      </c>
      <c r="AC310" s="31">
        <f>IF(AM310="2",BE310,0)</f>
        <v>0</v>
      </c>
      <c r="AD310" s="31">
        <f>IF(AM310="0",BF310,0)</f>
        <v>0</v>
      </c>
      <c r="AE310" s="26" t="s">
        <v>157</v>
      </c>
      <c r="AF310" s="19">
        <f>IF(AJ310=0,H310,0)</f>
        <v>0</v>
      </c>
      <c r="AG310" s="19">
        <f>IF(AJ310=15,H310,0)</f>
        <v>0</v>
      </c>
      <c r="AH310" s="19">
        <f>IF(AJ310=21,H310,0)</f>
        <v>1208.59</v>
      </c>
      <c r="AJ310" s="31">
        <v>21</v>
      </c>
      <c r="AK310" s="31">
        <f>G310*0.25052</f>
        <v>23.799400000000002</v>
      </c>
      <c r="AL310" s="31">
        <f>G310*(1-0.25052)</f>
        <v>71.2006</v>
      </c>
      <c r="AM310" s="27" t="s">
        <v>13</v>
      </c>
      <c r="AR310" s="31">
        <f>AS310+AT310</f>
        <v>1208.59</v>
      </c>
      <c r="AS310" s="31">
        <f>F310*AK310</f>
        <v>302.7759668</v>
      </c>
      <c r="AT310" s="31">
        <f>F310*AL310</f>
        <v>905.8140331999999</v>
      </c>
      <c r="AU310" s="32" t="s">
        <v>680</v>
      </c>
      <c r="AV310" s="32" t="s">
        <v>692</v>
      </c>
      <c r="AW310" s="26" t="s">
        <v>698</v>
      </c>
      <c r="AY310" s="31">
        <f>AS310+AT310</f>
        <v>1208.59</v>
      </c>
      <c r="AZ310" s="31">
        <f>G310/(100-BA310)*100</f>
        <v>95</v>
      </c>
      <c r="BA310" s="31">
        <v>0</v>
      </c>
      <c r="BB310" s="31">
        <f>J310</f>
        <v>0.00076332</v>
      </c>
      <c r="BD310" s="19">
        <f>F310*AK310</f>
        <v>302.7759668</v>
      </c>
      <c r="BE310" s="19">
        <f>F310*AL310</f>
        <v>905.8140331999999</v>
      </c>
      <c r="BF310" s="19">
        <f>F310*G310</f>
        <v>1208.59</v>
      </c>
    </row>
    <row r="311" spans="1:16" ht="12.75">
      <c r="A311" s="47"/>
      <c r="B311" s="47"/>
      <c r="C311" s="47"/>
      <c r="D311" s="48" t="s">
        <v>552</v>
      </c>
      <c r="E311" s="47"/>
      <c r="F311" s="49">
        <v>12.722</v>
      </c>
      <c r="G311" s="47"/>
      <c r="H311" s="70"/>
      <c r="I311" s="56"/>
      <c r="J311" s="56"/>
      <c r="L311" s="49">
        <v>12.722</v>
      </c>
      <c r="M311" s="47"/>
      <c r="N311" s="70"/>
      <c r="O311" s="56"/>
      <c r="P311" s="56"/>
    </row>
    <row r="312" spans="1:58" ht="12.75">
      <c r="A312" s="41" t="s">
        <v>123</v>
      </c>
      <c r="B312" s="41" t="s">
        <v>157</v>
      </c>
      <c r="C312" s="41" t="s">
        <v>283</v>
      </c>
      <c r="D312" s="41" t="s">
        <v>553</v>
      </c>
      <c r="E312" s="41" t="s">
        <v>634</v>
      </c>
      <c r="F312" s="44">
        <v>31.777</v>
      </c>
      <c r="G312" s="45">
        <v>169</v>
      </c>
      <c r="H312" s="69">
        <f>F312*G312</f>
        <v>5370.313</v>
      </c>
      <c r="I312" s="55">
        <v>0.0015</v>
      </c>
      <c r="J312" s="55">
        <f>F312*I312</f>
        <v>0.0476655</v>
      </c>
      <c r="L312" s="44">
        <v>31.777</v>
      </c>
      <c r="M312" s="45">
        <v>169</v>
      </c>
      <c r="N312" s="69">
        <f>L312*M312</f>
        <v>5370.313</v>
      </c>
      <c r="O312" s="55">
        <v>0.0015</v>
      </c>
      <c r="P312" s="55">
        <f>L312*O312</f>
        <v>0.0476655</v>
      </c>
      <c r="V312" s="31">
        <f>IF(AM312="5",BF312,0)</f>
        <v>0</v>
      </c>
      <c r="X312" s="31">
        <f>IF(AM312="1",BD312,0)</f>
        <v>0</v>
      </c>
      <c r="Y312" s="31">
        <f>IF(AM312="1",BE312,0)</f>
        <v>0</v>
      </c>
      <c r="Z312" s="31">
        <f>IF(AM312="7",BD312,0)</f>
        <v>2397.703430473683</v>
      </c>
      <c r="AA312" s="31">
        <f>IF(AM312="7",BE312,0)</f>
        <v>2972.609569526317</v>
      </c>
      <c r="AB312" s="31">
        <f>IF(AM312="2",BD312,0)</f>
        <v>0</v>
      </c>
      <c r="AC312" s="31">
        <f>IF(AM312="2",BE312,0)</f>
        <v>0</v>
      </c>
      <c r="AD312" s="31">
        <f>IF(AM312="0",BF312,0)</f>
        <v>0</v>
      </c>
      <c r="AE312" s="26" t="s">
        <v>157</v>
      </c>
      <c r="AF312" s="19">
        <f>IF(AJ312=0,H312,0)</f>
        <v>0</v>
      </c>
      <c r="AG312" s="19">
        <f>IF(AJ312=15,H312,0)</f>
        <v>0</v>
      </c>
      <c r="AH312" s="19">
        <f>IF(AJ312=21,H312,0)</f>
        <v>5370.313</v>
      </c>
      <c r="AJ312" s="31">
        <v>21</v>
      </c>
      <c r="AK312" s="31">
        <f>G312*0.446473684210526</f>
        <v>75.4540526315789</v>
      </c>
      <c r="AL312" s="31">
        <f>G312*(1-0.446473684210526)</f>
        <v>93.5459473684211</v>
      </c>
      <c r="AM312" s="27" t="s">
        <v>13</v>
      </c>
      <c r="AR312" s="31">
        <f>AS312+AT312</f>
        <v>5370.313</v>
      </c>
      <c r="AS312" s="31">
        <f>F312*AK312</f>
        <v>2397.703430473683</v>
      </c>
      <c r="AT312" s="31">
        <f>F312*AL312</f>
        <v>2972.609569526317</v>
      </c>
      <c r="AU312" s="32" t="s">
        <v>680</v>
      </c>
      <c r="AV312" s="32" t="s">
        <v>692</v>
      </c>
      <c r="AW312" s="26" t="s">
        <v>698</v>
      </c>
      <c r="AY312" s="31">
        <f>AS312+AT312</f>
        <v>5370.313</v>
      </c>
      <c r="AZ312" s="31">
        <f>G312/(100-BA312)*100</f>
        <v>169</v>
      </c>
      <c r="BA312" s="31">
        <v>0</v>
      </c>
      <c r="BB312" s="31">
        <f>J312</f>
        <v>0.0476655</v>
      </c>
      <c r="BD312" s="19">
        <f>F312*AK312</f>
        <v>2397.703430473683</v>
      </c>
      <c r="BE312" s="19">
        <f>F312*AL312</f>
        <v>2972.609569526317</v>
      </c>
      <c r="BF312" s="19">
        <f>F312*G312</f>
        <v>5370.313</v>
      </c>
    </row>
    <row r="313" spans="1:16" ht="12.75">
      <c r="A313" s="47"/>
      <c r="B313" s="47"/>
      <c r="C313" s="47"/>
      <c r="D313" s="48" t="s">
        <v>554</v>
      </c>
      <c r="E313" s="47"/>
      <c r="F313" s="49">
        <v>31.777</v>
      </c>
      <c r="G313" s="47"/>
      <c r="H313" s="70"/>
      <c r="I313" s="56"/>
      <c r="J313" s="56"/>
      <c r="L313" s="49">
        <v>31.777</v>
      </c>
      <c r="M313" s="47"/>
      <c r="N313" s="70"/>
      <c r="O313" s="56"/>
      <c r="P313" s="56"/>
    </row>
    <row r="314" spans="1:58" ht="12.75">
      <c r="A314" s="41" t="s">
        <v>124</v>
      </c>
      <c r="B314" s="41" t="s">
        <v>157</v>
      </c>
      <c r="C314" s="41" t="s">
        <v>284</v>
      </c>
      <c r="D314" s="41" t="s">
        <v>555</v>
      </c>
      <c r="E314" s="41" t="s">
        <v>634</v>
      </c>
      <c r="F314" s="44">
        <v>21.463</v>
      </c>
      <c r="G314" s="45">
        <v>169</v>
      </c>
      <c r="H314" s="69">
        <f>F314*G314</f>
        <v>3627.2470000000003</v>
      </c>
      <c r="I314" s="55">
        <v>6E-05</v>
      </c>
      <c r="J314" s="55">
        <f>F314*I314</f>
        <v>0.00128778</v>
      </c>
      <c r="L314" s="44">
        <v>21.463</v>
      </c>
      <c r="M314" s="45">
        <v>169</v>
      </c>
      <c r="N314" s="69">
        <f>L314*M314</f>
        <v>3627.2470000000003</v>
      </c>
      <c r="O314" s="55">
        <v>6E-05</v>
      </c>
      <c r="P314" s="55">
        <f>L314*O314</f>
        <v>0.00128778</v>
      </c>
      <c r="V314" s="31">
        <f>IF(AM314="5",BF314,0)</f>
        <v>0</v>
      </c>
      <c r="X314" s="31">
        <f>IF(AM314="1",BD314,0)</f>
        <v>0</v>
      </c>
      <c r="Y314" s="31">
        <f>IF(AM314="1",BE314,0)</f>
        <v>0</v>
      </c>
      <c r="Z314" s="31">
        <f>IF(AM314="7",BD314,0)</f>
        <v>1368.044842210526</v>
      </c>
      <c r="AA314" s="31">
        <f>IF(AM314="7",BE314,0)</f>
        <v>2259.202157789474</v>
      </c>
      <c r="AB314" s="31">
        <f>IF(AM314="2",BD314,0)</f>
        <v>0</v>
      </c>
      <c r="AC314" s="31">
        <f>IF(AM314="2",BE314,0)</f>
        <v>0</v>
      </c>
      <c r="AD314" s="31">
        <f>IF(AM314="0",BF314,0)</f>
        <v>0</v>
      </c>
      <c r="AE314" s="26" t="s">
        <v>157</v>
      </c>
      <c r="AF314" s="19">
        <f>IF(AJ314=0,H314,0)</f>
        <v>0</v>
      </c>
      <c r="AG314" s="19">
        <f>IF(AJ314=15,H314,0)</f>
        <v>0</v>
      </c>
      <c r="AH314" s="19">
        <f>IF(AJ314=21,H314,0)</f>
        <v>3627.2470000000003</v>
      </c>
      <c r="AJ314" s="31">
        <v>21</v>
      </c>
      <c r="AK314" s="31">
        <f>G314*0.377157894736842</f>
        <v>63.7396842105263</v>
      </c>
      <c r="AL314" s="31">
        <f>G314*(1-0.377157894736842)</f>
        <v>105.2603157894737</v>
      </c>
      <c r="AM314" s="27" t="s">
        <v>13</v>
      </c>
      <c r="AR314" s="31">
        <f>AS314+AT314</f>
        <v>3627.247</v>
      </c>
      <c r="AS314" s="31">
        <f>F314*AK314</f>
        <v>1368.044842210526</v>
      </c>
      <c r="AT314" s="31">
        <f>F314*AL314</f>
        <v>2259.202157789474</v>
      </c>
      <c r="AU314" s="32" t="s">
        <v>680</v>
      </c>
      <c r="AV314" s="32" t="s">
        <v>692</v>
      </c>
      <c r="AW314" s="26" t="s">
        <v>698</v>
      </c>
      <c r="AY314" s="31">
        <f>AS314+AT314</f>
        <v>3627.247</v>
      </c>
      <c r="AZ314" s="31">
        <f>G314/(100-BA314)*100</f>
        <v>169</v>
      </c>
      <c r="BA314" s="31">
        <v>0</v>
      </c>
      <c r="BB314" s="31">
        <f>J314</f>
        <v>0.00128778</v>
      </c>
      <c r="BD314" s="19">
        <f>F314*AK314</f>
        <v>1368.044842210526</v>
      </c>
      <c r="BE314" s="19">
        <f>F314*AL314</f>
        <v>2259.202157789474</v>
      </c>
      <c r="BF314" s="19">
        <f>F314*G314</f>
        <v>3627.2470000000003</v>
      </c>
    </row>
    <row r="315" spans="1:16" ht="12.75">
      <c r="A315" s="47"/>
      <c r="B315" s="47"/>
      <c r="C315" s="47"/>
      <c r="D315" s="48" t="s">
        <v>556</v>
      </c>
      <c r="E315" s="47"/>
      <c r="F315" s="49">
        <v>21.463</v>
      </c>
      <c r="G315" s="47"/>
      <c r="H315" s="70"/>
      <c r="I315" s="56"/>
      <c r="J315" s="56"/>
      <c r="L315" s="49">
        <v>21.463</v>
      </c>
      <c r="M315" s="47"/>
      <c r="N315" s="70"/>
      <c r="O315" s="56"/>
      <c r="P315" s="56"/>
    </row>
    <row r="316" spans="1:58" ht="12.75">
      <c r="A316" s="41" t="s">
        <v>125</v>
      </c>
      <c r="B316" s="41" t="s">
        <v>157</v>
      </c>
      <c r="C316" s="41" t="s">
        <v>285</v>
      </c>
      <c r="D316" s="41" t="s">
        <v>557</v>
      </c>
      <c r="E316" s="41" t="s">
        <v>633</v>
      </c>
      <c r="F316" s="44">
        <v>1</v>
      </c>
      <c r="G316" s="45">
        <v>12875</v>
      </c>
      <c r="H316" s="69">
        <f>F316*G316</f>
        <v>12875</v>
      </c>
      <c r="I316" s="55">
        <v>0.00112</v>
      </c>
      <c r="J316" s="55">
        <f>F316*I316</f>
        <v>0.00112</v>
      </c>
      <c r="L316" s="101">
        <v>0</v>
      </c>
      <c r="M316" s="45">
        <v>12875</v>
      </c>
      <c r="N316" s="69">
        <f>L316*M316</f>
        <v>0</v>
      </c>
      <c r="O316" s="55">
        <v>0.00112</v>
      </c>
      <c r="P316" s="55">
        <f>L316*O316</f>
        <v>0</v>
      </c>
      <c r="V316" s="31">
        <f>IF(AM316="5",BF316,0)</f>
        <v>0</v>
      </c>
      <c r="X316" s="31">
        <f>IF(AM316="1",BD316,0)</f>
        <v>0</v>
      </c>
      <c r="Y316" s="31">
        <f>IF(AM316="1",BE316,0)</f>
        <v>0</v>
      </c>
      <c r="Z316" s="31">
        <f>IF(AM316="7",BD316,0)</f>
        <v>239.05787627550987</v>
      </c>
      <c r="AA316" s="31">
        <f>IF(AM316="7",BE316,0)</f>
        <v>12635.94212372449</v>
      </c>
      <c r="AB316" s="31">
        <f>IF(AM316="2",BD316,0)</f>
        <v>0</v>
      </c>
      <c r="AC316" s="31">
        <f>IF(AM316="2",BE316,0)</f>
        <v>0</v>
      </c>
      <c r="AD316" s="31">
        <f>IF(AM316="0",BF316,0)</f>
        <v>0</v>
      </c>
      <c r="AE316" s="26" t="s">
        <v>157</v>
      </c>
      <c r="AF316" s="19">
        <f>IF(AJ316=0,H316,0)</f>
        <v>0</v>
      </c>
      <c r="AG316" s="19">
        <f>IF(AJ316=15,H316,0)</f>
        <v>0</v>
      </c>
      <c r="AH316" s="19">
        <f>IF(AJ316=21,H316,0)</f>
        <v>12875</v>
      </c>
      <c r="AJ316" s="31">
        <v>21</v>
      </c>
      <c r="AK316" s="31">
        <f>G316*0.0185676020408163</f>
        <v>239.05787627550987</v>
      </c>
      <c r="AL316" s="31">
        <f>G316*(1-0.0185676020408163)</f>
        <v>12635.94212372449</v>
      </c>
      <c r="AM316" s="27" t="s">
        <v>13</v>
      </c>
      <c r="AR316" s="31">
        <f>AS316+AT316</f>
        <v>12875</v>
      </c>
      <c r="AS316" s="31">
        <f>F316*AK316</f>
        <v>239.05787627550987</v>
      </c>
      <c r="AT316" s="31">
        <f>F316*AL316</f>
        <v>12635.94212372449</v>
      </c>
      <c r="AU316" s="32" t="s">
        <v>680</v>
      </c>
      <c r="AV316" s="32" t="s">
        <v>692</v>
      </c>
      <c r="AW316" s="26" t="s">
        <v>698</v>
      </c>
      <c r="AY316" s="31">
        <f>AS316+AT316</f>
        <v>12875</v>
      </c>
      <c r="AZ316" s="31">
        <f>G316/(100-BA316)*100</f>
        <v>12875</v>
      </c>
      <c r="BA316" s="31">
        <v>0</v>
      </c>
      <c r="BB316" s="31">
        <f>J316</f>
        <v>0.00112</v>
      </c>
      <c r="BD316" s="19">
        <f>F316*AK316</f>
        <v>239.05787627550987</v>
      </c>
      <c r="BE316" s="19">
        <f>F316*AL316</f>
        <v>12635.94212372449</v>
      </c>
      <c r="BF316" s="19">
        <f>F316*G316</f>
        <v>12875</v>
      </c>
    </row>
    <row r="317" spans="1:16" ht="12.75">
      <c r="A317" s="47"/>
      <c r="B317" s="47"/>
      <c r="C317" s="47"/>
      <c r="D317" s="48" t="s">
        <v>558</v>
      </c>
      <c r="E317" s="47"/>
      <c r="F317" s="49">
        <v>1</v>
      </c>
      <c r="G317" s="47"/>
      <c r="H317" s="70"/>
      <c r="I317" s="56"/>
      <c r="J317" s="56"/>
      <c r="L317" s="49"/>
      <c r="M317" s="47"/>
      <c r="N317" s="70"/>
      <c r="O317" s="56"/>
      <c r="P317" s="56"/>
    </row>
    <row r="318" spans="1:58" ht="12.75">
      <c r="A318" s="50" t="s">
        <v>126</v>
      </c>
      <c r="B318" s="50" t="s">
        <v>157</v>
      </c>
      <c r="C318" s="50" t="s">
        <v>286</v>
      </c>
      <c r="D318" s="50" t="s">
        <v>559</v>
      </c>
      <c r="E318" s="50" t="s">
        <v>633</v>
      </c>
      <c r="F318" s="51">
        <v>1</v>
      </c>
      <c r="G318" s="52">
        <v>116560</v>
      </c>
      <c r="H318" s="72">
        <f>F318*G318</f>
        <v>116560</v>
      </c>
      <c r="I318" s="58">
        <v>0.17</v>
      </c>
      <c r="J318" s="58">
        <f>F318*I318</f>
        <v>0.17</v>
      </c>
      <c r="L318" s="101">
        <v>0</v>
      </c>
      <c r="M318" s="52">
        <v>116560</v>
      </c>
      <c r="N318" s="72">
        <f>L318*M318</f>
        <v>0</v>
      </c>
      <c r="O318" s="58">
        <v>0.17</v>
      </c>
      <c r="P318" s="58">
        <f>L318*O318</f>
        <v>0</v>
      </c>
      <c r="V318" s="31">
        <f>IF(AM318="5",BF318,0)</f>
        <v>0</v>
      </c>
      <c r="X318" s="31">
        <f>IF(AM318="1",BD318,0)</f>
        <v>0</v>
      </c>
      <c r="Y318" s="31">
        <f>IF(AM318="1",BE318,0)</f>
        <v>0</v>
      </c>
      <c r="Z318" s="31">
        <f>IF(AM318="7",BD318,0)</f>
        <v>116560</v>
      </c>
      <c r="AA318" s="31">
        <f>IF(AM318="7",BE318,0)</f>
        <v>0</v>
      </c>
      <c r="AB318" s="31">
        <f>IF(AM318="2",BD318,0)</f>
        <v>0</v>
      </c>
      <c r="AC318" s="31">
        <f>IF(AM318="2",BE318,0)</f>
        <v>0</v>
      </c>
      <c r="AD318" s="31">
        <f>IF(AM318="0",BF318,0)</f>
        <v>0</v>
      </c>
      <c r="AE318" s="26" t="s">
        <v>157</v>
      </c>
      <c r="AF318" s="20">
        <f>IF(AJ318=0,H318,0)</f>
        <v>0</v>
      </c>
      <c r="AG318" s="20">
        <f>IF(AJ318=15,H318,0)</f>
        <v>0</v>
      </c>
      <c r="AH318" s="20">
        <f>IF(AJ318=21,H318,0)</f>
        <v>116560</v>
      </c>
      <c r="AJ318" s="31">
        <v>21</v>
      </c>
      <c r="AK318" s="31">
        <f>G318*1</f>
        <v>116560</v>
      </c>
      <c r="AL318" s="31">
        <f>G318*(1-1)</f>
        <v>0</v>
      </c>
      <c r="AM318" s="28" t="s">
        <v>13</v>
      </c>
      <c r="AR318" s="31">
        <f>AS318+AT318</f>
        <v>116560</v>
      </c>
      <c r="AS318" s="31">
        <f>F318*AK318</f>
        <v>116560</v>
      </c>
      <c r="AT318" s="31">
        <f>F318*AL318</f>
        <v>0</v>
      </c>
      <c r="AU318" s="32" t="s">
        <v>680</v>
      </c>
      <c r="AV318" s="32" t="s">
        <v>692</v>
      </c>
      <c r="AW318" s="26" t="s">
        <v>698</v>
      </c>
      <c r="AY318" s="31">
        <f>AS318+AT318</f>
        <v>116560</v>
      </c>
      <c r="AZ318" s="31">
        <f>G318/(100-BA318)*100</f>
        <v>116559.99999999999</v>
      </c>
      <c r="BA318" s="31">
        <v>0</v>
      </c>
      <c r="BB318" s="31">
        <f>J318</f>
        <v>0.17</v>
      </c>
      <c r="BD318" s="20">
        <f>F318*AK318</f>
        <v>116560</v>
      </c>
      <c r="BE318" s="20">
        <f>F318*AL318</f>
        <v>0</v>
      </c>
      <c r="BF318" s="20">
        <f>F318*G318</f>
        <v>116560</v>
      </c>
    </row>
    <row r="319" spans="1:16" ht="12.75">
      <c r="A319" s="47"/>
      <c r="B319" s="47"/>
      <c r="C319" s="47"/>
      <c r="D319" s="48" t="s">
        <v>558</v>
      </c>
      <c r="E319" s="47"/>
      <c r="F319" s="49">
        <v>1</v>
      </c>
      <c r="G319" s="47"/>
      <c r="H319" s="70"/>
      <c r="I319" s="56"/>
      <c r="J319" s="56"/>
      <c r="L319" s="49"/>
      <c r="M319" s="47"/>
      <c r="N319" s="70"/>
      <c r="O319" s="56"/>
      <c r="P319" s="56"/>
    </row>
    <row r="320" spans="1:16" ht="12.75">
      <c r="A320" s="99" t="s">
        <v>747</v>
      </c>
      <c r="B320" s="47"/>
      <c r="C320" s="47"/>
      <c r="D320" s="100" t="s">
        <v>770</v>
      </c>
      <c r="E320" s="99" t="s">
        <v>633</v>
      </c>
      <c r="F320" s="49"/>
      <c r="G320" s="47"/>
      <c r="H320" s="70"/>
      <c r="I320" s="56"/>
      <c r="J320" s="56"/>
      <c r="L320" s="102">
        <v>1</v>
      </c>
      <c r="M320" s="45">
        <v>75420</v>
      </c>
      <c r="N320" s="69">
        <f aca="true" t="shared" si="2" ref="N320:N325">L320*M320</f>
        <v>75420</v>
      </c>
      <c r="O320" s="55">
        <v>0.0864</v>
      </c>
      <c r="P320" s="55">
        <f aca="true" t="shared" si="3" ref="P320:P325">L320*O320</f>
        <v>0.0864</v>
      </c>
    </row>
    <row r="321" spans="1:16" ht="12.75">
      <c r="A321" s="116" t="s">
        <v>779</v>
      </c>
      <c r="B321" s="47"/>
      <c r="C321" s="47"/>
      <c r="D321" s="100" t="s">
        <v>780</v>
      </c>
      <c r="E321" s="116" t="s">
        <v>631</v>
      </c>
      <c r="F321" s="49"/>
      <c r="G321" s="47"/>
      <c r="H321" s="70"/>
      <c r="I321" s="56"/>
      <c r="J321" s="56"/>
      <c r="L321" s="102">
        <v>6</v>
      </c>
      <c r="M321" s="45">
        <v>1784</v>
      </c>
      <c r="N321" s="69">
        <f t="shared" si="2"/>
        <v>10704</v>
      </c>
      <c r="O321" s="55">
        <v>0.0135</v>
      </c>
      <c r="P321" s="55">
        <f t="shared" si="3"/>
        <v>0.081</v>
      </c>
    </row>
    <row r="322" spans="1:16" ht="12.75">
      <c r="A322" s="116" t="s">
        <v>790</v>
      </c>
      <c r="B322" s="47"/>
      <c r="C322" s="47"/>
      <c r="D322" s="100" t="s">
        <v>791</v>
      </c>
      <c r="E322" s="99" t="s">
        <v>733</v>
      </c>
      <c r="F322" s="49"/>
      <c r="G322" s="47"/>
      <c r="H322" s="70"/>
      <c r="I322" s="56"/>
      <c r="J322" s="56"/>
      <c r="L322" s="102">
        <v>1</v>
      </c>
      <c r="M322" s="45">
        <v>9660</v>
      </c>
      <c r="N322" s="69">
        <f t="shared" si="2"/>
        <v>9660</v>
      </c>
      <c r="O322" s="55">
        <v>0.0647</v>
      </c>
      <c r="P322" s="55">
        <f t="shared" si="3"/>
        <v>0.0647</v>
      </c>
    </row>
    <row r="323" spans="1:16" ht="12.75">
      <c r="A323" s="116" t="s">
        <v>873</v>
      </c>
      <c r="B323" s="47"/>
      <c r="C323" s="47"/>
      <c r="D323" s="100" t="s">
        <v>872</v>
      </c>
      <c r="E323" s="99" t="s">
        <v>633</v>
      </c>
      <c r="F323" s="49"/>
      <c r="G323" s="47"/>
      <c r="H323" s="70"/>
      <c r="I323" s="56"/>
      <c r="J323" s="56"/>
      <c r="L323" s="102">
        <v>1</v>
      </c>
      <c r="M323" s="45">
        <v>8568</v>
      </c>
      <c r="N323" s="69">
        <f t="shared" si="2"/>
        <v>8568</v>
      </c>
      <c r="O323" s="112">
        <v>0.0331</v>
      </c>
      <c r="P323" s="55">
        <f t="shared" si="3"/>
        <v>0.0331</v>
      </c>
    </row>
    <row r="324" spans="1:16" ht="12.75">
      <c r="A324" s="116" t="s">
        <v>874</v>
      </c>
      <c r="B324" s="47"/>
      <c r="C324" s="47"/>
      <c r="D324" s="100" t="s">
        <v>875</v>
      </c>
      <c r="E324" s="116" t="s">
        <v>733</v>
      </c>
      <c r="F324" s="49"/>
      <c r="G324" s="47"/>
      <c r="H324" s="70"/>
      <c r="I324" s="56"/>
      <c r="J324" s="56"/>
      <c r="L324" s="102">
        <v>1</v>
      </c>
      <c r="M324" s="45">
        <v>120907.62</v>
      </c>
      <c r="N324" s="69">
        <f t="shared" si="2"/>
        <v>120907.62</v>
      </c>
      <c r="O324" s="55">
        <v>0</v>
      </c>
      <c r="P324" s="55">
        <f t="shared" si="3"/>
        <v>0</v>
      </c>
    </row>
    <row r="325" spans="1:58" ht="12.75">
      <c r="A325" s="41" t="s">
        <v>127</v>
      </c>
      <c r="B325" s="41" t="s">
        <v>157</v>
      </c>
      <c r="C325" s="41" t="s">
        <v>287</v>
      </c>
      <c r="D325" s="41" t="s">
        <v>560</v>
      </c>
      <c r="E325" s="41" t="s">
        <v>632</v>
      </c>
      <c r="F325" s="44">
        <v>0.23</v>
      </c>
      <c r="G325" s="45">
        <v>1200</v>
      </c>
      <c r="H325" s="69">
        <f>F325*G325</f>
        <v>276</v>
      </c>
      <c r="I325" s="55">
        <v>0</v>
      </c>
      <c r="J325" s="55">
        <f>F325*I325</f>
        <v>0</v>
      </c>
      <c r="L325" s="102">
        <f>P309</f>
        <v>0.3149166</v>
      </c>
      <c r="M325" s="45">
        <v>1200</v>
      </c>
      <c r="N325" s="69">
        <f t="shared" si="2"/>
        <v>377.89992</v>
      </c>
      <c r="O325" s="55">
        <v>0</v>
      </c>
      <c r="P325" s="55">
        <f t="shared" si="3"/>
        <v>0</v>
      </c>
      <c r="V325" s="31">
        <f>IF(AM325="5",BF325,0)</f>
        <v>276</v>
      </c>
      <c r="X325" s="31">
        <f>IF(AM325="1",BD325,0)</f>
        <v>0</v>
      </c>
      <c r="Y325" s="31">
        <f>IF(AM325="1",BE325,0)</f>
        <v>0</v>
      </c>
      <c r="Z325" s="31">
        <f>IF(AM325="7",BD325,0)</f>
        <v>0</v>
      </c>
      <c r="AA325" s="31">
        <f>IF(AM325="7",BE325,0)</f>
        <v>0</v>
      </c>
      <c r="AB325" s="31">
        <f>IF(AM325="2",BD325,0)</f>
        <v>0</v>
      </c>
      <c r="AC325" s="31">
        <f>IF(AM325="2",BE325,0)</f>
        <v>0</v>
      </c>
      <c r="AD325" s="31">
        <f>IF(AM325="0",BF325,0)</f>
        <v>0</v>
      </c>
      <c r="AE325" s="26" t="s">
        <v>157</v>
      </c>
      <c r="AF325" s="19">
        <f>IF(AJ325=0,H325,0)</f>
        <v>0</v>
      </c>
      <c r="AG325" s="19">
        <f>IF(AJ325=15,H325,0)</f>
        <v>0</v>
      </c>
      <c r="AH325" s="19">
        <f>IF(AJ325=21,H325,0)</f>
        <v>276</v>
      </c>
      <c r="AJ325" s="31">
        <v>21</v>
      </c>
      <c r="AK325" s="31">
        <f>G325*0</f>
        <v>0</v>
      </c>
      <c r="AL325" s="31">
        <f>G325*(1-0)</f>
        <v>1200</v>
      </c>
      <c r="AM325" s="27" t="s">
        <v>11</v>
      </c>
      <c r="AR325" s="31">
        <f>AS325+AT325</f>
        <v>276</v>
      </c>
      <c r="AS325" s="31">
        <f>F325*AK325</f>
        <v>0</v>
      </c>
      <c r="AT325" s="31">
        <f>F325*AL325</f>
        <v>276</v>
      </c>
      <c r="AU325" s="32" t="s">
        <v>680</v>
      </c>
      <c r="AV325" s="32" t="s">
        <v>692</v>
      </c>
      <c r="AW325" s="26" t="s">
        <v>698</v>
      </c>
      <c r="AY325" s="31">
        <f>AS325+AT325</f>
        <v>276</v>
      </c>
      <c r="AZ325" s="31">
        <f>G325/(100-BA325)*100</f>
        <v>1200</v>
      </c>
      <c r="BA325" s="31">
        <v>0</v>
      </c>
      <c r="BB325" s="31">
        <f>J325</f>
        <v>0</v>
      </c>
      <c r="BD325" s="19">
        <f>F325*AK325</f>
        <v>0</v>
      </c>
      <c r="BE325" s="19">
        <f>F325*AL325</f>
        <v>276</v>
      </c>
      <c r="BF325" s="19">
        <f>F325*G325</f>
        <v>276</v>
      </c>
    </row>
    <row r="326" spans="1:16" ht="12.75">
      <c r="A326" s="42"/>
      <c r="B326" s="42"/>
      <c r="C326" s="42"/>
      <c r="D326" s="43" t="s">
        <v>561</v>
      </c>
      <c r="E326" s="42"/>
      <c r="F326" s="46">
        <v>0.23</v>
      </c>
      <c r="G326" s="42"/>
      <c r="H326" s="71"/>
      <c r="I326" s="57"/>
      <c r="J326" s="57"/>
      <c r="L326" s="46"/>
      <c r="M326" s="42"/>
      <c r="N326" s="71"/>
      <c r="O326" s="57"/>
      <c r="P326" s="57"/>
    </row>
    <row r="327" spans="1:43" ht="12.75">
      <c r="A327" s="4"/>
      <c r="B327" s="13" t="s">
        <v>157</v>
      </c>
      <c r="C327" s="13" t="s">
        <v>288</v>
      </c>
      <c r="D327" s="13" t="s">
        <v>562</v>
      </c>
      <c r="E327" s="4" t="s">
        <v>6</v>
      </c>
      <c r="F327" s="4" t="s">
        <v>6</v>
      </c>
      <c r="G327" s="4"/>
      <c r="H327" s="34">
        <f>SUM(H328:H330)</f>
        <v>61884.9</v>
      </c>
      <c r="I327" s="54"/>
      <c r="J327" s="54">
        <f>SUM(J328:J330)</f>
        <v>0.0580194</v>
      </c>
      <c r="L327" s="4" t="s">
        <v>6</v>
      </c>
      <c r="M327" s="4"/>
      <c r="N327" s="34">
        <f>SUM(N328:N332)</f>
        <v>8030</v>
      </c>
      <c r="O327" s="54"/>
      <c r="P327" s="54">
        <f>SUM(P328:P332)</f>
        <v>0.011</v>
      </c>
      <c r="AE327" s="26" t="s">
        <v>157</v>
      </c>
      <c r="AO327" s="34">
        <f>SUM(AF328:AF330)</f>
        <v>0</v>
      </c>
      <c r="AP327" s="34">
        <f>SUM(AG328:AG330)</f>
        <v>0</v>
      </c>
      <c r="AQ327" s="34">
        <f>SUM(AH328:AH330)</f>
        <v>61884.9</v>
      </c>
    </row>
    <row r="328" spans="1:58" ht="12.75">
      <c r="A328" s="41" t="s">
        <v>128</v>
      </c>
      <c r="B328" s="41" t="s">
        <v>157</v>
      </c>
      <c r="C328" s="41" t="s">
        <v>289</v>
      </c>
      <c r="D328" s="41" t="s">
        <v>563</v>
      </c>
      <c r="E328" s="41" t="s">
        <v>630</v>
      </c>
      <c r="F328" s="44">
        <v>96.39</v>
      </c>
      <c r="G328" s="45">
        <v>590</v>
      </c>
      <c r="H328" s="69">
        <f>F328*G328</f>
        <v>56870.1</v>
      </c>
      <c r="I328" s="55">
        <v>0.00047</v>
      </c>
      <c r="J328" s="55">
        <f>F328*I328</f>
        <v>0.0453033</v>
      </c>
      <c r="L328" s="101">
        <v>0</v>
      </c>
      <c r="M328" s="45">
        <v>590</v>
      </c>
      <c r="N328" s="69">
        <f>L328*M328</f>
        <v>0</v>
      </c>
      <c r="O328" s="55">
        <v>0.00047</v>
      </c>
      <c r="P328" s="55">
        <f>L328*O328</f>
        <v>0</v>
      </c>
      <c r="V328" s="31">
        <f>IF(AM328="5",BF328,0)</f>
        <v>0</v>
      </c>
      <c r="X328" s="31">
        <f>IF(AM328="1",BD328,0)</f>
        <v>0</v>
      </c>
      <c r="Y328" s="31">
        <f>IF(AM328="1",BE328,0)</f>
        <v>0</v>
      </c>
      <c r="Z328" s="31">
        <f>IF(AM328="7",BD328,0)</f>
        <v>22261.570082421425</v>
      </c>
      <c r="AA328" s="31">
        <f>IF(AM328="7",BE328,0)</f>
        <v>34608.52991757857</v>
      </c>
      <c r="AB328" s="31">
        <f>IF(AM328="2",BD328,0)</f>
        <v>0</v>
      </c>
      <c r="AC328" s="31">
        <f>IF(AM328="2",BE328,0)</f>
        <v>0</v>
      </c>
      <c r="AD328" s="31">
        <f>IF(AM328="0",BF328,0)</f>
        <v>0</v>
      </c>
      <c r="AE328" s="26" t="s">
        <v>157</v>
      </c>
      <c r="AF328" s="19">
        <f>IF(AJ328=0,H328,0)</f>
        <v>0</v>
      </c>
      <c r="AG328" s="19">
        <f>IF(AJ328=15,H328,0)</f>
        <v>0</v>
      </c>
      <c r="AH328" s="19">
        <f>IF(AJ328=21,H328,0)</f>
        <v>56870.1</v>
      </c>
      <c r="AJ328" s="31">
        <v>21</v>
      </c>
      <c r="AK328" s="31">
        <f>G328*0.39144594580318</f>
        <v>230.95310802387618</v>
      </c>
      <c r="AL328" s="31">
        <f>G328*(1-0.39144594580318)</f>
        <v>359.0468919761238</v>
      </c>
      <c r="AM328" s="27" t="s">
        <v>13</v>
      </c>
      <c r="AR328" s="31">
        <f>AS328+AT328</f>
        <v>56870.09999999999</v>
      </c>
      <c r="AS328" s="31">
        <f>F328*AK328</f>
        <v>22261.570082421425</v>
      </c>
      <c r="AT328" s="31">
        <f>F328*AL328</f>
        <v>34608.52991757857</v>
      </c>
      <c r="AU328" s="32" t="s">
        <v>681</v>
      </c>
      <c r="AV328" s="32" t="s">
        <v>693</v>
      </c>
      <c r="AW328" s="26" t="s">
        <v>698</v>
      </c>
      <c r="AY328" s="31">
        <f>AS328+AT328</f>
        <v>56870.09999999999</v>
      </c>
      <c r="AZ328" s="31">
        <f>G328/(100-BA328)*100</f>
        <v>590</v>
      </c>
      <c r="BA328" s="31">
        <v>0</v>
      </c>
      <c r="BB328" s="31">
        <f>J328</f>
        <v>0.0453033</v>
      </c>
      <c r="BD328" s="19">
        <f>F328*AK328</f>
        <v>22261.570082421425</v>
      </c>
      <c r="BE328" s="19">
        <f>F328*AL328</f>
        <v>34608.52991757857</v>
      </c>
      <c r="BF328" s="19">
        <f>F328*G328</f>
        <v>56870.1</v>
      </c>
    </row>
    <row r="329" spans="1:16" ht="12.75">
      <c r="A329" s="47"/>
      <c r="B329" s="47"/>
      <c r="C329" s="47"/>
      <c r="D329" s="48" t="s">
        <v>564</v>
      </c>
      <c r="E329" s="47"/>
      <c r="F329" s="49">
        <v>96.39</v>
      </c>
      <c r="G329" s="47"/>
      <c r="H329" s="70"/>
      <c r="I329" s="56"/>
      <c r="J329" s="56"/>
      <c r="L329" s="49"/>
      <c r="M329" s="47"/>
      <c r="N329" s="70"/>
      <c r="O329" s="56"/>
      <c r="P329" s="56"/>
    </row>
    <row r="330" spans="1:58" ht="12.75">
      <c r="A330" s="41" t="s">
        <v>129</v>
      </c>
      <c r="B330" s="41" t="s">
        <v>157</v>
      </c>
      <c r="C330" s="41" t="s">
        <v>290</v>
      </c>
      <c r="D330" s="41" t="s">
        <v>565</v>
      </c>
      <c r="E330" s="41" t="s">
        <v>630</v>
      </c>
      <c r="F330" s="44">
        <v>5.97</v>
      </c>
      <c r="G330" s="45">
        <v>840</v>
      </c>
      <c r="H330" s="69">
        <f>F330*G330</f>
        <v>5014.8</v>
      </c>
      <c r="I330" s="55">
        <v>0.00213</v>
      </c>
      <c r="J330" s="55">
        <f>F330*I330</f>
        <v>0.0127161</v>
      </c>
      <c r="L330" s="101">
        <v>0</v>
      </c>
      <c r="M330" s="45">
        <v>840</v>
      </c>
      <c r="N330" s="69">
        <f>L330*M330</f>
        <v>0</v>
      </c>
      <c r="O330" s="55">
        <v>0.00213</v>
      </c>
      <c r="P330" s="55">
        <f>L330*O330</f>
        <v>0</v>
      </c>
      <c r="V330" s="31">
        <f>IF(AM330="5",BF330,0)</f>
        <v>0</v>
      </c>
      <c r="X330" s="31">
        <f>IF(AM330="1",BD330,0)</f>
        <v>0</v>
      </c>
      <c r="Y330" s="31">
        <f>IF(AM330="1",BE330,0)</f>
        <v>0</v>
      </c>
      <c r="Z330" s="31">
        <f>IF(AM330="7",BD330,0)</f>
        <v>4187.199504424779</v>
      </c>
      <c r="AA330" s="31">
        <f>IF(AM330="7",BE330,0)</f>
        <v>827.6004955752212</v>
      </c>
      <c r="AB330" s="31">
        <f>IF(AM330="2",BD330,0)</f>
        <v>0</v>
      </c>
      <c r="AC330" s="31">
        <f>IF(AM330="2",BE330,0)</f>
        <v>0</v>
      </c>
      <c r="AD330" s="31">
        <f>IF(AM330="0",BF330,0)</f>
        <v>0</v>
      </c>
      <c r="AE330" s="26" t="s">
        <v>157</v>
      </c>
      <c r="AF330" s="19">
        <f>IF(AJ330=0,H330,0)</f>
        <v>0</v>
      </c>
      <c r="AG330" s="19">
        <f>IF(AJ330=15,H330,0)</f>
        <v>0</v>
      </c>
      <c r="AH330" s="19">
        <f>IF(AJ330=21,H330,0)</f>
        <v>5014.8</v>
      </c>
      <c r="AJ330" s="31">
        <v>21</v>
      </c>
      <c r="AK330" s="31">
        <f>G330*0.834968394437421</f>
        <v>701.3734513274336</v>
      </c>
      <c r="AL330" s="31">
        <f>G330*(1-0.834968394437421)</f>
        <v>138.62654867256637</v>
      </c>
      <c r="AM330" s="27" t="s">
        <v>13</v>
      </c>
      <c r="AR330" s="31">
        <f>AS330+AT330</f>
        <v>5014.8</v>
      </c>
      <c r="AS330" s="31">
        <f>F330*AK330</f>
        <v>4187.199504424779</v>
      </c>
      <c r="AT330" s="31">
        <f>F330*AL330</f>
        <v>827.6004955752212</v>
      </c>
      <c r="AU330" s="32" t="s">
        <v>681</v>
      </c>
      <c r="AV330" s="32" t="s">
        <v>693</v>
      </c>
      <c r="AW330" s="26" t="s">
        <v>698</v>
      </c>
      <c r="AY330" s="31">
        <f>AS330+AT330</f>
        <v>5014.8</v>
      </c>
      <c r="AZ330" s="31">
        <f>G330/(100-BA330)*100</f>
        <v>840</v>
      </c>
      <c r="BA330" s="31">
        <v>0</v>
      </c>
      <c r="BB330" s="31">
        <f>J330</f>
        <v>0.0127161</v>
      </c>
      <c r="BD330" s="19">
        <f>F330*AK330</f>
        <v>4187.199504424779</v>
      </c>
      <c r="BE330" s="19">
        <f>F330*AL330</f>
        <v>827.6004955752212</v>
      </c>
      <c r="BF330" s="19">
        <f>F330*G330</f>
        <v>5014.8</v>
      </c>
    </row>
    <row r="331" spans="1:16" ht="12.75">
      <c r="A331" s="42"/>
      <c r="B331" s="42"/>
      <c r="C331" s="42"/>
      <c r="D331" s="43" t="s">
        <v>566</v>
      </c>
      <c r="E331" s="42"/>
      <c r="F331" s="46">
        <v>5.97</v>
      </c>
      <c r="G331" s="42"/>
      <c r="H331" s="42"/>
      <c r="I331" s="57"/>
      <c r="J331" s="57"/>
      <c r="L331" s="46"/>
      <c r="M331" s="42"/>
      <c r="N331" s="42"/>
      <c r="O331" s="57"/>
      <c r="P331" s="57"/>
    </row>
    <row r="332" spans="1:58" ht="12.75">
      <c r="A332" s="41" t="s">
        <v>776</v>
      </c>
      <c r="B332" s="41"/>
      <c r="C332" s="41"/>
      <c r="D332" s="110" t="s">
        <v>777</v>
      </c>
      <c r="E332" s="41" t="s">
        <v>630</v>
      </c>
      <c r="F332" s="44"/>
      <c r="G332" s="45"/>
      <c r="H332" s="69"/>
      <c r="I332" s="55"/>
      <c r="J332" s="55"/>
      <c r="L332" s="102">
        <v>22</v>
      </c>
      <c r="M332" s="45">
        <v>365</v>
      </c>
      <c r="N332" s="69">
        <f>L332*M332</f>
        <v>8030</v>
      </c>
      <c r="O332" s="55">
        <v>0.0005</v>
      </c>
      <c r="P332" s="55">
        <f>L332*O332</f>
        <v>0.011</v>
      </c>
      <c r="V332" s="31"/>
      <c r="X332" s="31"/>
      <c r="Y332" s="31"/>
      <c r="Z332" s="31"/>
      <c r="AA332" s="31"/>
      <c r="AB332" s="31"/>
      <c r="AC332" s="31"/>
      <c r="AD332" s="31"/>
      <c r="AE332" s="26"/>
      <c r="AF332" s="19"/>
      <c r="AG332" s="19"/>
      <c r="AH332" s="19"/>
      <c r="AJ332" s="31"/>
      <c r="AK332" s="31"/>
      <c r="AL332" s="31"/>
      <c r="AM332" s="27"/>
      <c r="AR332" s="31"/>
      <c r="AS332" s="31"/>
      <c r="AT332" s="31"/>
      <c r="AU332" s="32"/>
      <c r="AV332" s="32"/>
      <c r="AW332" s="26"/>
      <c r="AY332" s="31"/>
      <c r="AZ332" s="31"/>
      <c r="BA332" s="31"/>
      <c r="BB332" s="31"/>
      <c r="BD332" s="19"/>
      <c r="BE332" s="19"/>
      <c r="BF332" s="19"/>
    </row>
    <row r="333" spans="1:43" ht="12.75">
      <c r="A333" s="4"/>
      <c r="B333" s="13" t="s">
        <v>157</v>
      </c>
      <c r="C333" s="13" t="s">
        <v>291</v>
      </c>
      <c r="D333" s="13" t="s">
        <v>567</v>
      </c>
      <c r="E333" s="4" t="s">
        <v>6</v>
      </c>
      <c r="F333" s="4" t="s">
        <v>6</v>
      </c>
      <c r="G333" s="4"/>
      <c r="H333" s="34">
        <f>SUM(H334:H338)</f>
        <v>12577.059000000001</v>
      </c>
      <c r="I333" s="54"/>
      <c r="J333" s="54">
        <f>SUM(J334:J338)</f>
        <v>0.0493218</v>
      </c>
      <c r="L333" s="4" t="s">
        <v>6</v>
      </c>
      <c r="M333" s="4"/>
      <c r="N333" s="34">
        <f>SUM(N334:N338)</f>
        <v>0</v>
      </c>
      <c r="O333" s="54"/>
      <c r="P333" s="54">
        <f>SUM(P334:P338)</f>
        <v>0</v>
      </c>
      <c r="AE333" s="26" t="s">
        <v>157</v>
      </c>
      <c r="AO333" s="34">
        <f>SUM(AF334:AF338)</f>
        <v>0</v>
      </c>
      <c r="AP333" s="34">
        <f>SUM(AG334:AG338)</f>
        <v>0</v>
      </c>
      <c r="AQ333" s="34">
        <f>SUM(AH334:AH338)</f>
        <v>12577.059000000001</v>
      </c>
    </row>
    <row r="334" spans="1:58" ht="12.75">
      <c r="A334" s="41" t="s">
        <v>130</v>
      </c>
      <c r="B334" s="41" t="s">
        <v>157</v>
      </c>
      <c r="C334" s="41" t="s">
        <v>292</v>
      </c>
      <c r="D334" s="41" t="s">
        <v>568</v>
      </c>
      <c r="E334" s="41" t="s">
        <v>630</v>
      </c>
      <c r="F334" s="44">
        <v>224.19</v>
      </c>
      <c r="G334" s="45">
        <v>12</v>
      </c>
      <c r="H334" s="69">
        <f>F334*G334</f>
        <v>2690.2799999999997</v>
      </c>
      <c r="I334" s="55">
        <v>7E-05</v>
      </c>
      <c r="J334" s="55">
        <f>F334*I334</f>
        <v>0.015693299999999997</v>
      </c>
      <c r="L334" s="101">
        <v>0</v>
      </c>
      <c r="M334" s="45">
        <v>12</v>
      </c>
      <c r="N334" s="69">
        <f>L334*M334</f>
        <v>0</v>
      </c>
      <c r="O334" s="55">
        <v>7E-05</v>
      </c>
      <c r="P334" s="55">
        <f>L334*O334</f>
        <v>0</v>
      </c>
      <c r="V334" s="31">
        <f>IF(AM334="5",BF334,0)</f>
        <v>0</v>
      </c>
      <c r="X334" s="31">
        <f>IF(AM334="1",BD334,0)</f>
        <v>0</v>
      </c>
      <c r="Y334" s="31">
        <f>IF(AM334="1",BE334,0)</f>
        <v>0</v>
      </c>
      <c r="Z334" s="31">
        <f>IF(AM334="7",BD334,0)</f>
        <v>720.908258432391</v>
      </c>
      <c r="AA334" s="31">
        <f>IF(AM334="7",BE334,0)</f>
        <v>1969.3717415676085</v>
      </c>
      <c r="AB334" s="31">
        <f>IF(AM334="2",BD334,0)</f>
        <v>0</v>
      </c>
      <c r="AC334" s="31">
        <f>IF(AM334="2",BE334,0)</f>
        <v>0</v>
      </c>
      <c r="AD334" s="31">
        <f>IF(AM334="0",BF334,0)</f>
        <v>0</v>
      </c>
      <c r="AE334" s="26" t="s">
        <v>157</v>
      </c>
      <c r="AF334" s="19">
        <f>IF(AJ334=0,H334,0)</f>
        <v>0</v>
      </c>
      <c r="AG334" s="19">
        <f>IF(AJ334=15,H334,0)</f>
        <v>0</v>
      </c>
      <c r="AH334" s="19">
        <f>IF(AJ334=21,H334,0)</f>
        <v>2690.2799999999997</v>
      </c>
      <c r="AJ334" s="31">
        <v>21</v>
      </c>
      <c r="AK334" s="31">
        <f>G334*0.26796774255185</f>
        <v>3.2156129106222</v>
      </c>
      <c r="AL334" s="31">
        <f>G334*(1-0.26796774255185)</f>
        <v>8.784387089377798</v>
      </c>
      <c r="AM334" s="27" t="s">
        <v>13</v>
      </c>
      <c r="AR334" s="31">
        <f>AS334+AT334</f>
        <v>2690.2799999999997</v>
      </c>
      <c r="AS334" s="31">
        <f>F334*AK334</f>
        <v>720.908258432391</v>
      </c>
      <c r="AT334" s="31">
        <f>F334*AL334</f>
        <v>1969.3717415676085</v>
      </c>
      <c r="AU334" s="32" t="s">
        <v>682</v>
      </c>
      <c r="AV334" s="32" t="s">
        <v>693</v>
      </c>
      <c r="AW334" s="26" t="s">
        <v>698</v>
      </c>
      <c r="AY334" s="31">
        <f>AS334+AT334</f>
        <v>2690.2799999999997</v>
      </c>
      <c r="AZ334" s="31">
        <f>G334/(100-BA334)*100</f>
        <v>12</v>
      </c>
      <c r="BA334" s="31">
        <v>0</v>
      </c>
      <c r="BB334" s="31">
        <f>J334</f>
        <v>0.015693299999999997</v>
      </c>
      <c r="BD334" s="19">
        <f>F334*AK334</f>
        <v>720.908258432391</v>
      </c>
      <c r="BE334" s="19">
        <f>F334*AL334</f>
        <v>1969.3717415676085</v>
      </c>
      <c r="BF334" s="19">
        <f>F334*G334</f>
        <v>2690.2799999999997</v>
      </c>
    </row>
    <row r="335" spans="1:16" ht="12.75">
      <c r="A335" s="47"/>
      <c r="B335" s="47"/>
      <c r="C335" s="47"/>
      <c r="D335" s="48" t="s">
        <v>435</v>
      </c>
      <c r="E335" s="47"/>
      <c r="F335" s="49">
        <v>123.84</v>
      </c>
      <c r="G335" s="47"/>
      <c r="H335" s="70"/>
      <c r="I335" s="56"/>
      <c r="J335" s="56"/>
      <c r="L335" s="49"/>
      <c r="M335" s="47"/>
      <c r="N335" s="70"/>
      <c r="O335" s="56"/>
      <c r="P335" s="56"/>
    </row>
    <row r="336" spans="1:16" ht="12.75">
      <c r="A336" s="47"/>
      <c r="B336" s="47"/>
      <c r="C336" s="47"/>
      <c r="D336" s="48" t="s">
        <v>437</v>
      </c>
      <c r="E336" s="47"/>
      <c r="F336" s="49">
        <v>96.39</v>
      </c>
      <c r="G336" s="47"/>
      <c r="H336" s="70"/>
      <c r="I336" s="56"/>
      <c r="J336" s="56"/>
      <c r="L336" s="49"/>
      <c r="M336" s="47"/>
      <c r="N336" s="70"/>
      <c r="O336" s="56"/>
      <c r="P336" s="56"/>
    </row>
    <row r="337" spans="1:16" ht="12.75">
      <c r="A337" s="47"/>
      <c r="B337" s="47"/>
      <c r="C337" s="47"/>
      <c r="D337" s="48" t="s">
        <v>439</v>
      </c>
      <c r="E337" s="47"/>
      <c r="F337" s="49">
        <v>3.96</v>
      </c>
      <c r="G337" s="47"/>
      <c r="H337" s="70"/>
      <c r="I337" s="56"/>
      <c r="J337" s="56"/>
      <c r="L337" s="49"/>
      <c r="M337" s="47"/>
      <c r="N337" s="70"/>
      <c r="O337" s="56"/>
      <c r="P337" s="56"/>
    </row>
    <row r="338" spans="1:58" ht="12.75">
      <c r="A338" s="41" t="s">
        <v>131</v>
      </c>
      <c r="B338" s="41" t="s">
        <v>157</v>
      </c>
      <c r="C338" s="41" t="s">
        <v>293</v>
      </c>
      <c r="D338" s="41" t="s">
        <v>569</v>
      </c>
      <c r="E338" s="41" t="s">
        <v>630</v>
      </c>
      <c r="F338" s="44">
        <v>224.19</v>
      </c>
      <c r="G338" s="45">
        <v>44.1</v>
      </c>
      <c r="H338" s="69">
        <f>F338*G338</f>
        <v>9886.779</v>
      </c>
      <c r="I338" s="55">
        <v>0.00015</v>
      </c>
      <c r="J338" s="55">
        <f>F338*I338</f>
        <v>0.0336285</v>
      </c>
      <c r="L338" s="101">
        <v>0</v>
      </c>
      <c r="M338" s="45">
        <v>44.1</v>
      </c>
      <c r="N338" s="69">
        <f>L338*M338</f>
        <v>0</v>
      </c>
      <c r="O338" s="55">
        <v>0.00015</v>
      </c>
      <c r="P338" s="55">
        <f>L338*O338</f>
        <v>0</v>
      </c>
      <c r="V338" s="31">
        <f>IF(AM338="5",BF338,0)</f>
        <v>0</v>
      </c>
      <c r="X338" s="31">
        <f>IF(AM338="1",BD338,0)</f>
        <v>0</v>
      </c>
      <c r="Y338" s="31">
        <f>IF(AM338="1",BE338,0)</f>
        <v>0</v>
      </c>
      <c r="Z338" s="31">
        <f>IF(AM338="7",BD338,0)</f>
        <v>933.3092944074859</v>
      </c>
      <c r="AA338" s="31">
        <f>IF(AM338="7",BE338,0)</f>
        <v>8953.469705592515</v>
      </c>
      <c r="AB338" s="31">
        <f>IF(AM338="2",BD338,0)</f>
        <v>0</v>
      </c>
      <c r="AC338" s="31">
        <f>IF(AM338="2",BE338,0)</f>
        <v>0</v>
      </c>
      <c r="AD338" s="31">
        <f>IF(AM338="0",BF338,0)</f>
        <v>0</v>
      </c>
      <c r="AE338" s="26" t="s">
        <v>157</v>
      </c>
      <c r="AF338" s="19">
        <f>IF(AJ338=0,H338,0)</f>
        <v>0</v>
      </c>
      <c r="AG338" s="19">
        <f>IF(AJ338=15,H338,0)</f>
        <v>0</v>
      </c>
      <c r="AH338" s="19">
        <f>IF(AJ338=21,H338,0)</f>
        <v>9886.779</v>
      </c>
      <c r="AJ338" s="31">
        <v>21</v>
      </c>
      <c r="AK338" s="31">
        <f>G338*0.0943997326538285</f>
        <v>4.163028210033837</v>
      </c>
      <c r="AL338" s="31">
        <f>G338*(1-0.0943997326538285)</f>
        <v>39.936971789966165</v>
      </c>
      <c r="AM338" s="27" t="s">
        <v>13</v>
      </c>
      <c r="AR338" s="31">
        <f>AS338+AT338</f>
        <v>9886.779</v>
      </c>
      <c r="AS338" s="31">
        <f>F338*AK338</f>
        <v>933.3092944074859</v>
      </c>
      <c r="AT338" s="31">
        <f>F338*AL338</f>
        <v>8953.469705592515</v>
      </c>
      <c r="AU338" s="32" t="s">
        <v>682</v>
      </c>
      <c r="AV338" s="32" t="s">
        <v>693</v>
      </c>
      <c r="AW338" s="26" t="s">
        <v>698</v>
      </c>
      <c r="AY338" s="31">
        <f>AS338+AT338</f>
        <v>9886.779</v>
      </c>
      <c r="AZ338" s="31">
        <f>G338/(100-BA338)*100</f>
        <v>44.1</v>
      </c>
      <c r="BA338" s="31">
        <v>0</v>
      </c>
      <c r="BB338" s="31">
        <f>J338</f>
        <v>0.0336285</v>
      </c>
      <c r="BD338" s="19">
        <f>F338*AK338</f>
        <v>933.3092944074859</v>
      </c>
      <c r="BE338" s="19">
        <f>F338*AL338</f>
        <v>8953.469705592515</v>
      </c>
      <c r="BF338" s="19">
        <f>F338*G338</f>
        <v>9886.779</v>
      </c>
    </row>
    <row r="339" spans="1:16" ht="12.75">
      <c r="A339" s="47"/>
      <c r="B339" s="47"/>
      <c r="C339" s="47"/>
      <c r="D339" s="48" t="s">
        <v>435</v>
      </c>
      <c r="E339" s="47"/>
      <c r="F339" s="49">
        <v>123.84</v>
      </c>
      <c r="G339" s="47"/>
      <c r="H339" s="47"/>
      <c r="I339" s="56"/>
      <c r="J339" s="56"/>
      <c r="L339" s="49"/>
      <c r="M339" s="47"/>
      <c r="N339" s="47"/>
      <c r="O339" s="56"/>
      <c r="P339" s="56"/>
    </row>
    <row r="340" spans="1:16" ht="12.75">
      <c r="A340" s="47"/>
      <c r="B340" s="47"/>
      <c r="C340" s="47"/>
      <c r="D340" s="48" t="s">
        <v>437</v>
      </c>
      <c r="E340" s="47"/>
      <c r="F340" s="49">
        <v>96.39</v>
      </c>
      <c r="G340" s="47"/>
      <c r="H340" s="47"/>
      <c r="I340" s="56"/>
      <c r="J340" s="56"/>
      <c r="L340" s="49"/>
      <c r="M340" s="47"/>
      <c r="N340" s="47"/>
      <c r="O340" s="56"/>
      <c r="P340" s="56"/>
    </row>
    <row r="341" spans="1:16" ht="12.75">
      <c r="A341" s="42"/>
      <c r="B341" s="42"/>
      <c r="C341" s="42"/>
      <c r="D341" s="43" t="s">
        <v>439</v>
      </c>
      <c r="E341" s="42"/>
      <c r="F341" s="46">
        <v>3.96</v>
      </c>
      <c r="G341" s="42"/>
      <c r="H341" s="42"/>
      <c r="I341" s="57"/>
      <c r="J341" s="57"/>
      <c r="L341" s="46"/>
      <c r="M341" s="42"/>
      <c r="N341" s="42"/>
      <c r="O341" s="57"/>
      <c r="P341" s="57"/>
    </row>
    <row r="342" spans="1:43" ht="12.75">
      <c r="A342" s="4"/>
      <c r="B342" s="13"/>
      <c r="C342" s="13"/>
      <c r="D342" s="13" t="s">
        <v>750</v>
      </c>
      <c r="E342" s="4" t="s">
        <v>751</v>
      </c>
      <c r="F342" s="4" t="s">
        <v>751</v>
      </c>
      <c r="G342" s="4"/>
      <c r="H342" s="34"/>
      <c r="I342" s="54"/>
      <c r="J342" s="54"/>
      <c r="L342" s="4" t="s">
        <v>751</v>
      </c>
      <c r="M342" s="4"/>
      <c r="N342" s="34">
        <f>SUM(N343:N350)</f>
        <v>104224</v>
      </c>
      <c r="O342" s="54"/>
      <c r="P342" s="54">
        <f>SUM(P343:P350)</f>
        <v>0</v>
      </c>
      <c r="AE342" s="26"/>
      <c r="AO342" s="34"/>
      <c r="AP342" s="34"/>
      <c r="AQ342" s="34"/>
    </row>
    <row r="343" spans="1:17" s="64" customFormat="1" ht="12.75">
      <c r="A343" s="99" t="s">
        <v>752</v>
      </c>
      <c r="B343" s="47"/>
      <c r="C343" s="47"/>
      <c r="D343" s="100" t="s">
        <v>763</v>
      </c>
      <c r="E343" s="99" t="s">
        <v>733</v>
      </c>
      <c r="F343" s="49"/>
      <c r="G343" s="47"/>
      <c r="H343" s="70"/>
      <c r="I343" s="56"/>
      <c r="J343" s="56"/>
      <c r="K343"/>
      <c r="L343" s="102">
        <v>1</v>
      </c>
      <c r="M343" s="69">
        <v>9708</v>
      </c>
      <c r="N343" s="69">
        <f aca="true" t="shared" si="4" ref="N343:N350">L343*M343</f>
        <v>9708</v>
      </c>
      <c r="O343" s="55"/>
      <c r="P343" s="55"/>
      <c r="Q343" s="84"/>
    </row>
    <row r="344" spans="1:17" s="64" customFormat="1" ht="12.75">
      <c r="A344" s="116" t="s">
        <v>755</v>
      </c>
      <c r="B344" s="47"/>
      <c r="C344" s="47"/>
      <c r="D344" s="100" t="s">
        <v>764</v>
      </c>
      <c r="E344" s="99" t="s">
        <v>733</v>
      </c>
      <c r="F344" s="49"/>
      <c r="G344" s="47"/>
      <c r="H344" s="70"/>
      <c r="I344" s="56"/>
      <c r="J344" s="56"/>
      <c r="K344"/>
      <c r="L344" s="102">
        <v>1</v>
      </c>
      <c r="M344" s="69">
        <v>50920</v>
      </c>
      <c r="N344" s="69">
        <f t="shared" si="4"/>
        <v>50920</v>
      </c>
      <c r="O344" s="55"/>
      <c r="P344" s="55"/>
      <c r="Q344" s="84"/>
    </row>
    <row r="345" spans="1:17" s="64" customFormat="1" ht="12.75">
      <c r="A345" s="116" t="s">
        <v>757</v>
      </c>
      <c r="B345" s="47"/>
      <c r="C345" s="47"/>
      <c r="D345" s="100" t="s">
        <v>765</v>
      </c>
      <c r="E345" s="99" t="s">
        <v>733</v>
      </c>
      <c r="F345" s="49"/>
      <c r="G345" s="47"/>
      <c r="H345" s="70"/>
      <c r="I345" s="56"/>
      <c r="J345" s="56"/>
      <c r="K345"/>
      <c r="L345" s="102">
        <v>1</v>
      </c>
      <c r="M345" s="69">
        <v>7540</v>
      </c>
      <c r="N345" s="69">
        <f t="shared" si="4"/>
        <v>7540</v>
      </c>
      <c r="O345" s="55"/>
      <c r="P345" s="55"/>
      <c r="Q345" s="84"/>
    </row>
    <row r="346" spans="1:17" s="64" customFormat="1" ht="12.75">
      <c r="A346" s="116" t="s">
        <v>759</v>
      </c>
      <c r="B346" s="47"/>
      <c r="C346" s="47"/>
      <c r="D346" s="100" t="s">
        <v>766</v>
      </c>
      <c r="E346" s="99" t="s">
        <v>733</v>
      </c>
      <c r="F346" s="49"/>
      <c r="G346" s="47"/>
      <c r="H346" s="70"/>
      <c r="I346" s="56"/>
      <c r="J346" s="56"/>
      <c r="K346"/>
      <c r="L346" s="102">
        <v>1</v>
      </c>
      <c r="M346" s="69">
        <v>8360</v>
      </c>
      <c r="N346" s="69">
        <f t="shared" si="4"/>
        <v>8360</v>
      </c>
      <c r="O346" s="55"/>
      <c r="P346" s="55"/>
      <c r="Q346" s="84"/>
    </row>
    <row r="347" spans="1:17" s="64" customFormat="1" ht="12.75">
      <c r="A347" s="116" t="s">
        <v>761</v>
      </c>
      <c r="B347" s="47"/>
      <c r="C347" s="47"/>
      <c r="D347" s="100" t="s">
        <v>768</v>
      </c>
      <c r="E347" s="99" t="s">
        <v>733</v>
      </c>
      <c r="F347" s="49"/>
      <c r="G347" s="47"/>
      <c r="H347" s="70"/>
      <c r="I347" s="56"/>
      <c r="J347" s="56"/>
      <c r="K347"/>
      <c r="L347" s="102">
        <v>1</v>
      </c>
      <c r="M347" s="69">
        <v>5370</v>
      </c>
      <c r="N347" s="69">
        <f t="shared" si="4"/>
        <v>5370</v>
      </c>
      <c r="O347" s="55"/>
      <c r="P347" s="55"/>
      <c r="Q347" s="84"/>
    </row>
    <row r="348" spans="1:17" s="64" customFormat="1" ht="12.75">
      <c r="A348" s="116" t="s">
        <v>762</v>
      </c>
      <c r="B348" s="47"/>
      <c r="C348" s="47"/>
      <c r="D348" s="100" t="s">
        <v>769</v>
      </c>
      <c r="E348" s="116" t="s">
        <v>733</v>
      </c>
      <c r="F348" s="49"/>
      <c r="G348" s="47"/>
      <c r="H348" s="70"/>
      <c r="I348" s="56"/>
      <c r="J348" s="56"/>
      <c r="K348"/>
      <c r="L348" s="102">
        <v>1</v>
      </c>
      <c r="M348" s="69">
        <v>7418</v>
      </c>
      <c r="N348" s="69">
        <f t="shared" si="4"/>
        <v>7418</v>
      </c>
      <c r="O348" s="55"/>
      <c r="P348" s="55"/>
      <c r="Q348" s="84"/>
    </row>
    <row r="349" spans="1:17" s="64" customFormat="1" ht="12.75">
      <c r="A349" s="116" t="s">
        <v>767</v>
      </c>
      <c r="B349" s="47"/>
      <c r="C349" s="47"/>
      <c r="D349" s="100" t="s">
        <v>877</v>
      </c>
      <c r="E349" s="116" t="s">
        <v>733</v>
      </c>
      <c r="F349" s="49"/>
      <c r="G349" s="47"/>
      <c r="H349" s="70"/>
      <c r="I349" s="56"/>
      <c r="J349" s="56"/>
      <c r="K349"/>
      <c r="L349" s="102">
        <v>1</v>
      </c>
      <c r="M349" s="69">
        <v>4908</v>
      </c>
      <c r="N349" s="69">
        <f t="shared" si="4"/>
        <v>4908</v>
      </c>
      <c r="O349" s="55"/>
      <c r="P349" s="55"/>
      <c r="Q349" s="84"/>
    </row>
    <row r="350" spans="1:16" ht="12.75">
      <c r="A350" s="116" t="s">
        <v>876</v>
      </c>
      <c r="B350" s="47"/>
      <c r="C350" s="47"/>
      <c r="D350" s="100" t="s">
        <v>756</v>
      </c>
      <c r="E350" s="99" t="s">
        <v>733</v>
      </c>
      <c r="F350" s="49"/>
      <c r="G350" s="47"/>
      <c r="H350" s="70"/>
      <c r="I350" s="56"/>
      <c r="J350" s="56"/>
      <c r="L350" s="102">
        <v>1</v>
      </c>
      <c r="M350" s="69">
        <v>10000</v>
      </c>
      <c r="N350" s="69">
        <f t="shared" si="4"/>
        <v>10000</v>
      </c>
      <c r="O350" s="55"/>
      <c r="P350" s="55"/>
    </row>
    <row r="351" spans="1:43" ht="12.75">
      <c r="A351" s="4"/>
      <c r="B351" s="13"/>
      <c r="C351" s="13"/>
      <c r="D351" s="115" t="s">
        <v>753</v>
      </c>
      <c r="E351" s="4" t="s">
        <v>751</v>
      </c>
      <c r="F351" s="4" t="s">
        <v>751</v>
      </c>
      <c r="G351" s="4"/>
      <c r="H351" s="34"/>
      <c r="I351" s="54"/>
      <c r="J351" s="54"/>
      <c r="L351" s="4" t="s">
        <v>751</v>
      </c>
      <c r="M351" s="4"/>
      <c r="N351" s="34">
        <f>SUM(N352:N352)</f>
        <v>13321</v>
      </c>
      <c r="O351" s="54"/>
      <c r="P351" s="54">
        <f>P352</f>
        <v>0</v>
      </c>
      <c r="AE351" s="26"/>
      <c r="AO351" s="34"/>
      <c r="AP351" s="34"/>
      <c r="AQ351" s="34"/>
    </row>
    <row r="352" spans="1:17" s="64" customFormat="1" ht="12.75">
      <c r="A352" s="116" t="s">
        <v>878</v>
      </c>
      <c r="B352" s="47"/>
      <c r="C352" s="47"/>
      <c r="D352" s="100" t="s">
        <v>758</v>
      </c>
      <c r="E352" s="99" t="s">
        <v>733</v>
      </c>
      <c r="F352" s="49"/>
      <c r="G352" s="47"/>
      <c r="H352" s="70"/>
      <c r="I352" s="56"/>
      <c r="J352" s="56"/>
      <c r="K352"/>
      <c r="L352" s="102">
        <v>1</v>
      </c>
      <c r="M352" s="69">
        <v>13321</v>
      </c>
      <c r="N352" s="69">
        <f>L352*M352</f>
        <v>13321</v>
      </c>
      <c r="O352" s="55"/>
      <c r="P352" s="55"/>
      <c r="Q352" s="84"/>
    </row>
    <row r="353" spans="1:43" ht="12.75">
      <c r="A353" s="4"/>
      <c r="B353" s="13"/>
      <c r="C353" s="13"/>
      <c r="D353" s="115" t="s">
        <v>754</v>
      </c>
      <c r="E353" s="4" t="s">
        <v>751</v>
      </c>
      <c r="F353" s="4" t="s">
        <v>751</v>
      </c>
      <c r="G353" s="4"/>
      <c r="H353" s="34"/>
      <c r="I353" s="54"/>
      <c r="J353" s="54"/>
      <c r="L353" s="4" t="s">
        <v>751</v>
      </c>
      <c r="M353" s="4"/>
      <c r="N353" s="34">
        <f>SUM(N354:N355)</f>
        <v>66396</v>
      </c>
      <c r="O353" s="54"/>
      <c r="P353" s="54">
        <f>P354</f>
        <v>0</v>
      </c>
      <c r="AE353" s="26"/>
      <c r="AO353" s="34"/>
      <c r="AP353" s="34"/>
      <c r="AQ353" s="34"/>
    </row>
    <row r="354" spans="1:17" s="64" customFormat="1" ht="12.75">
      <c r="A354" s="116" t="s">
        <v>879</v>
      </c>
      <c r="B354" s="47"/>
      <c r="C354" s="47"/>
      <c r="D354" s="100" t="s">
        <v>760</v>
      </c>
      <c r="E354" s="99" t="s">
        <v>733</v>
      </c>
      <c r="F354" s="49"/>
      <c r="G354" s="47"/>
      <c r="H354" s="70"/>
      <c r="I354" s="56"/>
      <c r="J354" s="56"/>
      <c r="K354"/>
      <c r="L354" s="102">
        <v>1</v>
      </c>
      <c r="M354" s="69">
        <v>48104</v>
      </c>
      <c r="N354" s="69">
        <f>L354*M354</f>
        <v>48104</v>
      </c>
      <c r="O354" s="55"/>
      <c r="P354" s="55"/>
      <c r="Q354" s="84"/>
    </row>
    <row r="355" spans="1:17" s="64" customFormat="1" ht="12.75">
      <c r="A355" s="116" t="s">
        <v>880</v>
      </c>
      <c r="B355" s="47"/>
      <c r="C355" s="47"/>
      <c r="D355" s="100" t="s">
        <v>792</v>
      </c>
      <c r="E355" s="99" t="s">
        <v>733</v>
      </c>
      <c r="F355" s="49"/>
      <c r="G355" s="47"/>
      <c r="H355" s="70"/>
      <c r="I355" s="56"/>
      <c r="J355" s="56"/>
      <c r="K355"/>
      <c r="L355" s="102">
        <v>1</v>
      </c>
      <c r="M355" s="69">
        <v>18292</v>
      </c>
      <c r="N355" s="69">
        <f>L355*M355</f>
        <v>18292</v>
      </c>
      <c r="O355" s="55"/>
      <c r="P355" s="55"/>
      <c r="Q355" s="84"/>
    </row>
    <row r="356" spans="1:16" ht="12.75">
      <c r="A356" s="7"/>
      <c r="B356" s="14" t="s">
        <v>793</v>
      </c>
      <c r="C356" s="14"/>
      <c r="D356" s="14" t="s">
        <v>808</v>
      </c>
      <c r="E356" s="7" t="s">
        <v>6</v>
      </c>
      <c r="F356" s="7" t="s">
        <v>6</v>
      </c>
      <c r="G356" s="7"/>
      <c r="H356" s="35">
        <v>0</v>
      </c>
      <c r="I356" s="59"/>
      <c r="J356" s="59">
        <v>0</v>
      </c>
      <c r="L356" s="7" t="s">
        <v>6</v>
      </c>
      <c r="M356" s="7"/>
      <c r="N356" s="35">
        <f>N357+N366+N383</f>
        <v>464189.6311075</v>
      </c>
      <c r="O356" s="59"/>
      <c r="P356" s="59">
        <f>P357+P366</f>
        <v>86.549095</v>
      </c>
    </row>
    <row r="357" spans="1:43" ht="12.75">
      <c r="A357" s="4"/>
      <c r="B357" s="13" t="s">
        <v>793</v>
      </c>
      <c r="C357" s="13" t="s">
        <v>7</v>
      </c>
      <c r="D357" s="13" t="s">
        <v>794</v>
      </c>
      <c r="E357" s="4" t="s">
        <v>6</v>
      </c>
      <c r="F357" s="4" t="s">
        <v>6</v>
      </c>
      <c r="G357" s="4"/>
      <c r="H357" s="34">
        <f>SUM(H358:H365)</f>
        <v>0</v>
      </c>
      <c r="I357" s="54"/>
      <c r="J357" s="34">
        <f>SUM(J358:J365)</f>
        <v>0</v>
      </c>
      <c r="L357" s="4" t="s">
        <v>6</v>
      </c>
      <c r="M357" s="4"/>
      <c r="N357" s="34">
        <f>SUM(N358:N365)</f>
        <v>165361.8</v>
      </c>
      <c r="O357" s="54"/>
      <c r="P357" s="54">
        <f>SUM(P358:P365)</f>
        <v>0</v>
      </c>
      <c r="AE357" s="26" t="s">
        <v>157</v>
      </c>
      <c r="AO357" s="34" t="e">
        <f>SUM(#REF!)</f>
        <v>#REF!</v>
      </c>
      <c r="AP357" s="34" t="e">
        <f>SUM(#REF!)</f>
        <v>#REF!</v>
      </c>
      <c r="AQ357" s="34" t="e">
        <f>SUM(#REF!)</f>
        <v>#REF!</v>
      </c>
    </row>
    <row r="358" spans="1:16" ht="12.75">
      <c r="A358" s="5" t="s">
        <v>828</v>
      </c>
      <c r="B358" s="47"/>
      <c r="C358" s="41" t="s">
        <v>795</v>
      </c>
      <c r="D358" s="100" t="s">
        <v>796</v>
      </c>
      <c r="E358" s="41" t="s">
        <v>629</v>
      </c>
      <c r="F358" s="44"/>
      <c r="G358" s="45"/>
      <c r="H358" s="69"/>
      <c r="I358" s="55"/>
      <c r="J358" s="55"/>
      <c r="L358" s="102">
        <v>200</v>
      </c>
      <c r="M358" s="45">
        <v>45</v>
      </c>
      <c r="N358" s="69">
        <f>L358*M358</f>
        <v>9000</v>
      </c>
      <c r="O358" s="55">
        <v>0</v>
      </c>
      <c r="P358" s="55">
        <f aca="true" t="shared" si="5" ref="P358:P365">L358*O358</f>
        <v>0</v>
      </c>
    </row>
    <row r="359" spans="1:16" ht="12.75">
      <c r="A359" s="5" t="s">
        <v>829</v>
      </c>
      <c r="B359" s="47"/>
      <c r="C359" s="41" t="s">
        <v>797</v>
      </c>
      <c r="D359" s="100" t="s">
        <v>800</v>
      </c>
      <c r="E359" s="41" t="s">
        <v>629</v>
      </c>
      <c r="F359" s="44"/>
      <c r="G359" s="45"/>
      <c r="H359" s="69"/>
      <c r="I359" s="55"/>
      <c r="J359" s="55"/>
      <c r="L359" s="102">
        <v>200</v>
      </c>
      <c r="M359" s="45">
        <v>72</v>
      </c>
      <c r="N359" s="69">
        <f>L359*M359</f>
        <v>14400</v>
      </c>
      <c r="O359" s="55">
        <v>0</v>
      </c>
      <c r="P359" s="55">
        <f t="shared" si="5"/>
        <v>0</v>
      </c>
    </row>
    <row r="360" spans="1:16" ht="12.75">
      <c r="A360" s="5" t="s">
        <v>830</v>
      </c>
      <c r="B360" s="47"/>
      <c r="C360" s="41" t="s">
        <v>798</v>
      </c>
      <c r="D360" s="100" t="s">
        <v>867</v>
      </c>
      <c r="E360" s="41" t="s">
        <v>629</v>
      </c>
      <c r="F360" s="44"/>
      <c r="G360" s="45"/>
      <c r="H360" s="69"/>
      <c r="I360" s="55"/>
      <c r="J360" s="55"/>
      <c r="L360" s="102">
        <v>326</v>
      </c>
      <c r="M360" s="45">
        <v>102</v>
      </c>
      <c r="N360" s="69">
        <f>L360*M360</f>
        <v>33252</v>
      </c>
      <c r="O360" s="55">
        <v>0</v>
      </c>
      <c r="P360" s="55">
        <f t="shared" si="5"/>
        <v>0</v>
      </c>
    </row>
    <row r="361" spans="1:16" ht="12.75">
      <c r="A361" s="5" t="s">
        <v>831</v>
      </c>
      <c r="B361" s="47"/>
      <c r="C361" s="41" t="s">
        <v>799</v>
      </c>
      <c r="D361" s="100" t="s">
        <v>801</v>
      </c>
      <c r="E361" s="41" t="s">
        <v>632</v>
      </c>
      <c r="F361" s="44"/>
      <c r="G361" s="45"/>
      <c r="H361" s="69"/>
      <c r="I361" s="55"/>
      <c r="J361" s="55"/>
      <c r="L361" s="102">
        <v>252</v>
      </c>
      <c r="M361" s="45">
        <v>360</v>
      </c>
      <c r="N361" s="69">
        <f>L361*M361</f>
        <v>90720</v>
      </c>
      <c r="O361" s="55">
        <v>0</v>
      </c>
      <c r="P361" s="55">
        <f t="shared" si="5"/>
        <v>0</v>
      </c>
    </row>
    <row r="362" spans="1:16" ht="12.75">
      <c r="A362" s="5" t="s">
        <v>832</v>
      </c>
      <c r="B362" s="47"/>
      <c r="C362" s="41" t="s">
        <v>802</v>
      </c>
      <c r="D362" s="100" t="s">
        <v>803</v>
      </c>
      <c r="E362" s="41" t="s">
        <v>629</v>
      </c>
      <c r="F362" s="44"/>
      <c r="G362" s="45"/>
      <c r="H362" s="69"/>
      <c r="I362" s="55"/>
      <c r="J362" s="55"/>
      <c r="L362" s="102">
        <v>45</v>
      </c>
      <c r="M362" s="45">
        <v>174</v>
      </c>
      <c r="N362" s="69">
        <f>L362*M362</f>
        <v>7830</v>
      </c>
      <c r="O362" s="55">
        <v>0</v>
      </c>
      <c r="P362" s="55">
        <f t="shared" si="5"/>
        <v>0</v>
      </c>
    </row>
    <row r="363" spans="1:16" ht="12.75">
      <c r="A363" s="5" t="s">
        <v>833</v>
      </c>
      <c r="B363" s="47"/>
      <c r="C363" s="41" t="s">
        <v>797</v>
      </c>
      <c r="D363" s="100" t="s">
        <v>800</v>
      </c>
      <c r="E363" s="41" t="s">
        <v>629</v>
      </c>
      <c r="F363" s="44"/>
      <c r="G363" s="45"/>
      <c r="H363" s="69"/>
      <c r="I363" s="55"/>
      <c r="J363" s="55"/>
      <c r="L363" s="102">
        <f>L362</f>
        <v>45</v>
      </c>
      <c r="M363" s="45">
        <v>72</v>
      </c>
      <c r="N363" s="69">
        <f aca="true" t="shared" si="6" ref="N363:N382">L363*M363</f>
        <v>3240</v>
      </c>
      <c r="O363" s="55">
        <v>0</v>
      </c>
      <c r="P363" s="55">
        <f t="shared" si="5"/>
        <v>0</v>
      </c>
    </row>
    <row r="364" spans="1:16" ht="12.75">
      <c r="A364" s="5" t="s">
        <v>834</v>
      </c>
      <c r="B364" s="47"/>
      <c r="C364" s="41" t="s">
        <v>804</v>
      </c>
      <c r="D364" s="100" t="s">
        <v>805</v>
      </c>
      <c r="E364" s="41" t="s">
        <v>629</v>
      </c>
      <c r="F364" s="44"/>
      <c r="G364" s="45"/>
      <c r="H364" s="69"/>
      <c r="I364" s="55"/>
      <c r="J364" s="55"/>
      <c r="L364" s="102">
        <f>L362</f>
        <v>45</v>
      </c>
      <c r="M364" s="45">
        <v>25</v>
      </c>
      <c r="N364" s="69">
        <f t="shared" si="6"/>
        <v>1125</v>
      </c>
      <c r="O364" s="55">
        <v>0</v>
      </c>
      <c r="P364" s="55">
        <f t="shared" si="5"/>
        <v>0</v>
      </c>
    </row>
    <row r="365" spans="1:16" ht="12.75">
      <c r="A365" s="5" t="s">
        <v>835</v>
      </c>
      <c r="B365" s="47"/>
      <c r="C365" s="41" t="s">
        <v>806</v>
      </c>
      <c r="D365" s="100" t="s">
        <v>807</v>
      </c>
      <c r="E365" s="41" t="s">
        <v>630</v>
      </c>
      <c r="F365" s="44"/>
      <c r="G365" s="45"/>
      <c r="H365" s="69"/>
      <c r="I365" s="55"/>
      <c r="J365" s="55"/>
      <c r="L365" s="102">
        <v>219.5</v>
      </c>
      <c r="M365" s="45">
        <v>26.4</v>
      </c>
      <c r="N365" s="69">
        <f t="shared" si="6"/>
        <v>5794.799999999999</v>
      </c>
      <c r="O365" s="56">
        <v>0</v>
      </c>
      <c r="P365" s="55">
        <f t="shared" si="5"/>
        <v>0</v>
      </c>
    </row>
    <row r="366" spans="1:43" ht="12.75">
      <c r="A366" s="4"/>
      <c r="B366" s="13" t="s">
        <v>793</v>
      </c>
      <c r="C366" s="13" t="s">
        <v>11</v>
      </c>
      <c r="D366" s="13" t="s">
        <v>809</v>
      </c>
      <c r="E366" s="4" t="s">
        <v>6</v>
      </c>
      <c r="F366" s="4" t="s">
        <v>6</v>
      </c>
      <c r="G366" s="4"/>
      <c r="H366" s="34">
        <f>SUM(H367:H382)</f>
        <v>0</v>
      </c>
      <c r="I366" s="54"/>
      <c r="J366" s="34">
        <f>SUM(J367:J382)</f>
        <v>0</v>
      </c>
      <c r="L366" s="4" t="s">
        <v>6</v>
      </c>
      <c r="M366" s="4"/>
      <c r="N366" s="34">
        <f>SUM(N367:N382)</f>
        <v>294630.2</v>
      </c>
      <c r="O366" s="54"/>
      <c r="P366" s="54">
        <f>SUM(P367:P382)</f>
        <v>86.549095</v>
      </c>
      <c r="AE366" s="26" t="s">
        <v>157</v>
      </c>
      <c r="AO366" s="34" t="e">
        <f>SUM(#REF!)</f>
        <v>#REF!</v>
      </c>
      <c r="AP366" s="34" t="e">
        <f>SUM(#REF!)</f>
        <v>#REF!</v>
      </c>
      <c r="AQ366" s="34" t="e">
        <f>SUM(#REF!)</f>
        <v>#REF!</v>
      </c>
    </row>
    <row r="367" spans="1:16" ht="12.75">
      <c r="A367" s="5" t="s">
        <v>836</v>
      </c>
      <c r="B367" s="47"/>
      <c r="C367" s="41" t="s">
        <v>812</v>
      </c>
      <c r="D367" s="100" t="s">
        <v>813</v>
      </c>
      <c r="E367" s="41" t="s">
        <v>630</v>
      </c>
      <c r="F367" s="44"/>
      <c r="G367" s="45"/>
      <c r="H367" s="69"/>
      <c r="I367" s="55"/>
      <c r="J367" s="55"/>
      <c r="L367" s="102">
        <f>153.5+66</f>
        <v>219.5</v>
      </c>
      <c r="M367" s="69">
        <v>142.5</v>
      </c>
      <c r="N367" s="69">
        <f t="shared" si="6"/>
        <v>31278.75</v>
      </c>
      <c r="O367" s="56">
        <v>0</v>
      </c>
      <c r="P367" s="55">
        <f aca="true" t="shared" si="7" ref="P367:P382">L367*O367</f>
        <v>0</v>
      </c>
    </row>
    <row r="368" spans="1:16" ht="12.75">
      <c r="A368" s="5" t="s">
        <v>837</v>
      </c>
      <c r="B368" s="47"/>
      <c r="C368" s="41" t="s">
        <v>856</v>
      </c>
      <c r="D368" s="100" t="s">
        <v>857</v>
      </c>
      <c r="E368" s="41" t="s">
        <v>630</v>
      </c>
      <c r="F368" s="44"/>
      <c r="G368" s="45"/>
      <c r="H368" s="69"/>
      <c r="I368" s="55"/>
      <c r="J368" s="55"/>
      <c r="L368" s="102">
        <v>148.5</v>
      </c>
      <c r="M368" s="69">
        <v>190</v>
      </c>
      <c r="N368" s="69">
        <f t="shared" si="6"/>
        <v>28215</v>
      </c>
      <c r="O368" s="56">
        <v>0</v>
      </c>
      <c r="P368" s="55">
        <f t="shared" si="7"/>
        <v>0</v>
      </c>
    </row>
    <row r="369" spans="1:16" ht="12.75">
      <c r="A369" s="5" t="s">
        <v>838</v>
      </c>
      <c r="B369" s="47"/>
      <c r="C369" s="41" t="s">
        <v>814</v>
      </c>
      <c r="D369" s="100" t="s">
        <v>815</v>
      </c>
      <c r="E369" s="41" t="s">
        <v>630</v>
      </c>
      <c r="F369" s="44"/>
      <c r="G369" s="45"/>
      <c r="H369" s="69"/>
      <c r="I369" s="55"/>
      <c r="J369" s="55"/>
      <c r="L369" s="102">
        <v>153.5</v>
      </c>
      <c r="M369" s="69">
        <v>138</v>
      </c>
      <c r="N369" s="69">
        <f t="shared" si="6"/>
        <v>21183</v>
      </c>
      <c r="O369" s="56">
        <v>0</v>
      </c>
      <c r="P369" s="55">
        <f t="shared" si="7"/>
        <v>0</v>
      </c>
    </row>
    <row r="370" spans="1:16" ht="12.75">
      <c r="A370" s="5" t="s">
        <v>839</v>
      </c>
      <c r="B370" s="47"/>
      <c r="C370" s="41" t="s">
        <v>816</v>
      </c>
      <c r="D370" s="100" t="s">
        <v>853</v>
      </c>
      <c r="E370" s="41" t="s">
        <v>630</v>
      </c>
      <c r="F370" s="44"/>
      <c r="G370" s="45"/>
      <c r="H370" s="69"/>
      <c r="I370" s="55"/>
      <c r="J370" s="55"/>
      <c r="L370" s="102">
        <v>148.5</v>
      </c>
      <c r="M370" s="69">
        <v>261</v>
      </c>
      <c r="N370" s="69">
        <f t="shared" si="6"/>
        <v>38758.5</v>
      </c>
      <c r="O370" s="56">
        <v>0</v>
      </c>
      <c r="P370" s="55">
        <f t="shared" si="7"/>
        <v>0</v>
      </c>
    </row>
    <row r="371" spans="1:16" ht="12.75">
      <c r="A371" s="5" t="s">
        <v>840</v>
      </c>
      <c r="B371" s="47"/>
      <c r="C371" s="41" t="s">
        <v>817</v>
      </c>
      <c r="D371" s="100" t="s">
        <v>818</v>
      </c>
      <c r="E371" s="41" t="s">
        <v>630</v>
      </c>
      <c r="F371" s="44"/>
      <c r="G371" s="45"/>
      <c r="H371" s="69"/>
      <c r="I371" s="55"/>
      <c r="J371" s="55"/>
      <c r="L371" s="102">
        <v>18.5</v>
      </c>
      <c r="M371" s="69">
        <v>555</v>
      </c>
      <c r="N371" s="69">
        <f t="shared" si="6"/>
        <v>10267.5</v>
      </c>
      <c r="O371" s="56">
        <v>0.612</v>
      </c>
      <c r="P371" s="55">
        <f t="shared" si="7"/>
        <v>11.322</v>
      </c>
    </row>
    <row r="372" spans="1:16" ht="12.75">
      <c r="A372" s="5" t="s">
        <v>841</v>
      </c>
      <c r="B372" s="47"/>
      <c r="C372" s="41" t="s">
        <v>820</v>
      </c>
      <c r="D372" s="100" t="s">
        <v>854</v>
      </c>
      <c r="E372" s="41" t="s">
        <v>630</v>
      </c>
      <c r="F372" s="44"/>
      <c r="G372" s="45"/>
      <c r="H372" s="69"/>
      <c r="I372" s="55"/>
      <c r="J372" s="55"/>
      <c r="L372" s="102">
        <v>66</v>
      </c>
      <c r="M372" s="69">
        <v>225</v>
      </c>
      <c r="N372" s="69">
        <f t="shared" si="6"/>
        <v>14850</v>
      </c>
      <c r="O372" s="56">
        <v>0.08425</v>
      </c>
      <c r="P372" s="55">
        <f t="shared" si="7"/>
        <v>5.5605</v>
      </c>
    </row>
    <row r="373" spans="1:16" ht="12.75">
      <c r="A373" s="5" t="s">
        <v>842</v>
      </c>
      <c r="B373" s="47"/>
      <c r="C373" s="41" t="s">
        <v>821</v>
      </c>
      <c r="D373" s="100" t="s">
        <v>825</v>
      </c>
      <c r="E373" s="41" t="s">
        <v>630</v>
      </c>
      <c r="F373" s="44"/>
      <c r="G373" s="45"/>
      <c r="H373" s="69"/>
      <c r="I373" s="55"/>
      <c r="J373" s="55"/>
      <c r="L373" s="102">
        <v>69.3</v>
      </c>
      <c r="M373" s="69">
        <v>214</v>
      </c>
      <c r="N373" s="69">
        <f t="shared" si="6"/>
        <v>14830.199999999999</v>
      </c>
      <c r="O373" s="56">
        <v>0.131</v>
      </c>
      <c r="P373" s="55">
        <f t="shared" si="7"/>
        <v>9.0783</v>
      </c>
    </row>
    <row r="374" spans="1:16" ht="12.75">
      <c r="A374" s="5" t="s">
        <v>843</v>
      </c>
      <c r="B374" s="47"/>
      <c r="C374" s="41" t="s">
        <v>822</v>
      </c>
      <c r="D374" s="100" t="s">
        <v>855</v>
      </c>
      <c r="E374" s="41" t="s">
        <v>630</v>
      </c>
      <c r="F374" s="44"/>
      <c r="G374" s="45"/>
      <c r="H374" s="69"/>
      <c r="I374" s="55"/>
      <c r="J374" s="55"/>
      <c r="L374" s="102">
        <v>153.5</v>
      </c>
      <c r="M374" s="69">
        <v>260</v>
      </c>
      <c r="N374" s="69">
        <f t="shared" si="6"/>
        <v>39910</v>
      </c>
      <c r="O374" s="56">
        <v>0.10362</v>
      </c>
      <c r="P374" s="55">
        <f t="shared" si="7"/>
        <v>15.90567</v>
      </c>
    </row>
    <row r="375" spans="1:16" ht="12.75">
      <c r="A375" s="5" t="s">
        <v>844</v>
      </c>
      <c r="B375" s="47"/>
      <c r="C375" s="41" t="s">
        <v>823</v>
      </c>
      <c r="D375" s="100" t="s">
        <v>826</v>
      </c>
      <c r="E375" s="41" t="s">
        <v>630</v>
      </c>
      <c r="F375" s="44"/>
      <c r="G375" s="45"/>
      <c r="H375" s="69"/>
      <c r="I375" s="55"/>
      <c r="J375" s="55"/>
      <c r="L375" s="102">
        <v>146</v>
      </c>
      <c r="M375" s="69">
        <v>318</v>
      </c>
      <c r="N375" s="69">
        <f t="shared" si="6"/>
        <v>46428</v>
      </c>
      <c r="O375" s="56">
        <v>0.176</v>
      </c>
      <c r="P375" s="55">
        <f t="shared" si="7"/>
        <v>25.695999999999998</v>
      </c>
    </row>
    <row r="376" spans="1:16" ht="12.75">
      <c r="A376" s="5" t="s">
        <v>845</v>
      </c>
      <c r="B376" s="47"/>
      <c r="C376" s="41" t="s">
        <v>824</v>
      </c>
      <c r="D376" s="100" t="s">
        <v>827</v>
      </c>
      <c r="E376" s="41" t="s">
        <v>630</v>
      </c>
      <c r="F376" s="44"/>
      <c r="G376" s="45"/>
      <c r="H376" s="69"/>
      <c r="I376" s="55"/>
      <c r="J376" s="55"/>
      <c r="L376" s="102">
        <v>15</v>
      </c>
      <c r="M376" s="69">
        <v>380</v>
      </c>
      <c r="N376" s="69">
        <f t="shared" si="6"/>
        <v>5700</v>
      </c>
      <c r="O376" s="56">
        <v>0.176</v>
      </c>
      <c r="P376" s="55">
        <f t="shared" si="7"/>
        <v>2.6399999999999997</v>
      </c>
    </row>
    <row r="377" spans="1:16" ht="12.75">
      <c r="A377" s="5" t="s">
        <v>846</v>
      </c>
      <c r="B377" s="47"/>
      <c r="C377" s="41" t="s">
        <v>858</v>
      </c>
      <c r="D377" s="100" t="s">
        <v>862</v>
      </c>
      <c r="E377" s="41" t="s">
        <v>631</v>
      </c>
      <c r="F377" s="44"/>
      <c r="G377" s="45"/>
      <c r="H377" s="69"/>
      <c r="I377" s="55"/>
      <c r="J377" s="55"/>
      <c r="L377" s="102">
        <v>33</v>
      </c>
      <c r="M377" s="69">
        <v>288</v>
      </c>
      <c r="N377" s="69">
        <f t="shared" si="6"/>
        <v>9504</v>
      </c>
      <c r="O377" s="56">
        <v>0.1554</v>
      </c>
      <c r="P377" s="55">
        <f t="shared" si="7"/>
        <v>5.1282000000000005</v>
      </c>
    </row>
    <row r="378" spans="1:16" ht="12.75">
      <c r="A378" s="5" t="s">
        <v>847</v>
      </c>
      <c r="B378" s="47"/>
      <c r="C378" s="41" t="s">
        <v>859</v>
      </c>
      <c r="D378" s="100" t="s">
        <v>864</v>
      </c>
      <c r="E378" s="41" t="s">
        <v>631</v>
      </c>
      <c r="F378" s="44"/>
      <c r="G378" s="45"/>
      <c r="H378" s="69"/>
      <c r="I378" s="55"/>
      <c r="J378" s="55"/>
      <c r="L378" s="102">
        <v>35</v>
      </c>
      <c r="M378" s="69">
        <v>158</v>
      </c>
      <c r="N378" s="69">
        <f t="shared" si="6"/>
        <v>5530</v>
      </c>
      <c r="O378" s="56">
        <v>0.08</v>
      </c>
      <c r="P378" s="55">
        <f t="shared" si="7"/>
        <v>2.8000000000000003</v>
      </c>
    </row>
    <row r="379" spans="1:16" ht="12.75">
      <c r="A379" s="5" t="s">
        <v>848</v>
      </c>
      <c r="B379" s="47"/>
      <c r="C379" s="41" t="s">
        <v>861</v>
      </c>
      <c r="D379" s="100" t="s">
        <v>863</v>
      </c>
      <c r="E379" s="41" t="s">
        <v>631</v>
      </c>
      <c r="F379" s="44"/>
      <c r="G379" s="45"/>
      <c r="H379" s="69"/>
      <c r="I379" s="55"/>
      <c r="J379" s="55"/>
      <c r="L379" s="102">
        <v>61.5</v>
      </c>
      <c r="M379" s="69">
        <v>209.5</v>
      </c>
      <c r="N379" s="69">
        <f t="shared" si="6"/>
        <v>12884.25</v>
      </c>
      <c r="O379" s="56">
        <v>0.10095</v>
      </c>
      <c r="P379" s="55">
        <f t="shared" si="7"/>
        <v>6.208425</v>
      </c>
    </row>
    <row r="380" spans="1:16" ht="12.75">
      <c r="A380" s="5" t="s">
        <v>849</v>
      </c>
      <c r="B380" s="47"/>
      <c r="C380" s="41" t="s">
        <v>860</v>
      </c>
      <c r="D380" s="100" t="s">
        <v>865</v>
      </c>
      <c r="E380" s="41" t="s">
        <v>631</v>
      </c>
      <c r="F380" s="44"/>
      <c r="G380" s="45"/>
      <c r="H380" s="69"/>
      <c r="I380" s="55"/>
      <c r="J380" s="55"/>
      <c r="L380" s="102">
        <v>35</v>
      </c>
      <c r="M380" s="69">
        <v>69</v>
      </c>
      <c r="N380" s="69">
        <f t="shared" si="6"/>
        <v>2415</v>
      </c>
      <c r="O380" s="56">
        <v>0.022</v>
      </c>
      <c r="P380" s="55">
        <f t="shared" si="7"/>
        <v>0.7699999999999999</v>
      </c>
    </row>
    <row r="381" spans="1:16" ht="12.75">
      <c r="A381" s="5" t="s">
        <v>850</v>
      </c>
      <c r="B381" s="47"/>
      <c r="C381" s="41" t="s">
        <v>859</v>
      </c>
      <c r="D381" s="100" t="s">
        <v>866</v>
      </c>
      <c r="E381" s="41" t="s">
        <v>631</v>
      </c>
      <c r="F381" s="44"/>
      <c r="G381" s="45"/>
      <c r="H381" s="69"/>
      <c r="I381" s="55"/>
      <c r="J381" s="55"/>
      <c r="L381" s="102">
        <v>30</v>
      </c>
      <c r="M381" s="69">
        <v>113</v>
      </c>
      <c r="N381" s="69">
        <f t="shared" si="6"/>
        <v>3390</v>
      </c>
      <c r="O381" s="56">
        <v>0.048</v>
      </c>
      <c r="P381" s="55">
        <f t="shared" si="7"/>
        <v>1.44</v>
      </c>
    </row>
    <row r="382" spans="1:16" ht="12.75">
      <c r="A382" s="5" t="s">
        <v>851</v>
      </c>
      <c r="B382" s="47"/>
      <c r="C382" s="41"/>
      <c r="D382" s="100" t="s">
        <v>819</v>
      </c>
      <c r="E382" s="41" t="s">
        <v>631</v>
      </c>
      <c r="F382" s="44"/>
      <c r="G382" s="45"/>
      <c r="H382" s="69"/>
      <c r="I382" s="55"/>
      <c r="J382" s="55"/>
      <c r="L382" s="102">
        <v>102</v>
      </c>
      <c r="M382" s="45">
        <v>93</v>
      </c>
      <c r="N382" s="69">
        <f t="shared" si="6"/>
        <v>9486</v>
      </c>
      <c r="O382" s="56">
        <v>0</v>
      </c>
      <c r="P382" s="55">
        <f t="shared" si="7"/>
        <v>0</v>
      </c>
    </row>
    <row r="383" spans="1:43" ht="12.75">
      <c r="A383" s="4"/>
      <c r="B383" s="13" t="s">
        <v>793</v>
      </c>
      <c r="C383" s="13" t="s">
        <v>252</v>
      </c>
      <c r="D383" s="13" t="s">
        <v>497</v>
      </c>
      <c r="E383" s="4" t="s">
        <v>6</v>
      </c>
      <c r="F383" s="4" t="s">
        <v>6</v>
      </c>
      <c r="G383" s="4"/>
      <c r="H383" s="34">
        <f>SUM(H384:H384)</f>
        <v>0</v>
      </c>
      <c r="I383" s="54"/>
      <c r="J383" s="54">
        <f>SUM(J384:J384)</f>
        <v>0</v>
      </c>
      <c r="L383" s="4" t="s">
        <v>6</v>
      </c>
      <c r="M383" s="4"/>
      <c r="N383" s="34">
        <f>SUM(N384:N384)</f>
        <v>4197.631107499999</v>
      </c>
      <c r="O383" s="54"/>
      <c r="P383" s="54">
        <f>SUM(P384:P384)</f>
        <v>0</v>
      </c>
      <c r="AE383" s="26" t="s">
        <v>157</v>
      </c>
      <c r="AO383" s="34">
        <f>SUM(AF384:AF384)</f>
        <v>0</v>
      </c>
      <c r="AP383" s="34">
        <f>SUM(AG384:AG384)</f>
        <v>0</v>
      </c>
      <c r="AQ383" s="34">
        <f>SUM(AH384:AH384)</f>
        <v>0</v>
      </c>
    </row>
    <row r="384" spans="1:58" ht="12.75">
      <c r="A384" s="5" t="s">
        <v>852</v>
      </c>
      <c r="B384" s="41"/>
      <c r="C384" s="41" t="s">
        <v>810</v>
      </c>
      <c r="D384" s="41" t="s">
        <v>811</v>
      </c>
      <c r="E384" s="41" t="s">
        <v>632</v>
      </c>
      <c r="F384" s="44"/>
      <c r="G384" s="45"/>
      <c r="H384" s="69"/>
      <c r="I384" s="55"/>
      <c r="J384" s="55"/>
      <c r="L384" s="113">
        <f>P356</f>
        <v>86.549095</v>
      </c>
      <c r="M384" s="45">
        <v>48.5</v>
      </c>
      <c r="N384" s="69">
        <f>L384*M384</f>
        <v>4197.631107499999</v>
      </c>
      <c r="O384" s="55">
        <v>0</v>
      </c>
      <c r="P384" s="55">
        <f>L384*O384</f>
        <v>0</v>
      </c>
      <c r="V384" s="31">
        <f>IF(AM384="5",BF384,0)</f>
        <v>0</v>
      </c>
      <c r="X384" s="31">
        <f>IF(AM384="1",BD384,0)</f>
        <v>0</v>
      </c>
      <c r="Y384" s="31">
        <f>IF(AM384="1",BE384,0)</f>
        <v>0</v>
      </c>
      <c r="Z384" s="31">
        <f>IF(AM384="7",BD384,0)</f>
        <v>0</v>
      </c>
      <c r="AA384" s="31">
        <f>IF(AM384="7",BE384,0)</f>
        <v>0</v>
      </c>
      <c r="AB384" s="31">
        <f>IF(AM384="2",BD384,0)</f>
        <v>0</v>
      </c>
      <c r="AC384" s="31">
        <f>IF(AM384="2",BE384,0)</f>
        <v>0</v>
      </c>
      <c r="AD384" s="31">
        <f>IF(AM384="0",BF384,0)</f>
        <v>0</v>
      </c>
      <c r="AE384" s="26" t="s">
        <v>157</v>
      </c>
      <c r="AF384" s="19">
        <f>IF(AJ384=0,H384,0)</f>
        <v>0</v>
      </c>
      <c r="AG384" s="19">
        <f>IF(AJ384=15,H384,0)</f>
        <v>0</v>
      </c>
      <c r="AH384" s="19">
        <f>IF(AJ384=21,H384,0)</f>
        <v>0</v>
      </c>
      <c r="AJ384" s="31">
        <v>21</v>
      </c>
      <c r="AK384" s="31">
        <f>G384*0</f>
        <v>0</v>
      </c>
      <c r="AL384" s="31">
        <f>G384*(1-0)</f>
        <v>0</v>
      </c>
      <c r="AM384" s="27" t="s">
        <v>11</v>
      </c>
      <c r="AR384" s="31">
        <f>AS384+AT384</f>
        <v>0</v>
      </c>
      <c r="AS384" s="31">
        <f>F384*AK384</f>
        <v>0</v>
      </c>
      <c r="AT384" s="31">
        <f>F384*AL384</f>
        <v>0</v>
      </c>
      <c r="AU384" s="32" t="s">
        <v>674</v>
      </c>
      <c r="AV384" s="32" t="s">
        <v>689</v>
      </c>
      <c r="AW384" s="26" t="s">
        <v>698</v>
      </c>
      <c r="AY384" s="31">
        <f>AS384+AT384</f>
        <v>0</v>
      </c>
      <c r="AZ384" s="31">
        <f>G384/(100-BA384)*100</f>
        <v>0</v>
      </c>
      <c r="BA384" s="31">
        <v>0</v>
      </c>
      <c r="BB384" s="31">
        <f>J384</f>
        <v>0</v>
      </c>
      <c r="BD384" s="19">
        <f>F384*AK384</f>
        <v>0</v>
      </c>
      <c r="BE384" s="19">
        <f>F384*AL384</f>
        <v>0</v>
      </c>
      <c r="BF384" s="19">
        <f>F384*G384</f>
        <v>0</v>
      </c>
    </row>
    <row r="385" spans="1:16" ht="12.75">
      <c r="A385" s="7"/>
      <c r="B385" s="14" t="s">
        <v>158</v>
      </c>
      <c r="C385" s="14"/>
      <c r="D385" s="14" t="s">
        <v>570</v>
      </c>
      <c r="E385" s="7" t="s">
        <v>6</v>
      </c>
      <c r="F385" s="7" t="s">
        <v>6</v>
      </c>
      <c r="G385" s="7"/>
      <c r="H385" s="35">
        <f>H386+H396+H409+H420+H437+H440+H460+H466+H477+H480+H483</f>
        <v>2143654.027</v>
      </c>
      <c r="I385" s="59"/>
      <c r="J385" s="59">
        <f>J386+J396+J409+J420+J437+J440+J460+J466+J477+J480+J483</f>
        <v>631.1305049700001</v>
      </c>
      <c r="L385" s="7" t="s">
        <v>6</v>
      </c>
      <c r="M385" s="7"/>
      <c r="N385" s="35">
        <f>N386+N396+N409+N420+N437+N440+N460+N466+N477+N480+N483</f>
        <v>344796.34783</v>
      </c>
      <c r="O385" s="59"/>
      <c r="P385" s="59">
        <f>P386+P396+P409+P420+P437+P440+P460+P466+P477+P480</f>
        <v>50.624899600000006</v>
      </c>
    </row>
    <row r="386" spans="1:43" ht="12.75">
      <c r="A386" s="4"/>
      <c r="B386" s="13" t="s">
        <v>158</v>
      </c>
      <c r="C386" s="13" t="s">
        <v>18</v>
      </c>
      <c r="D386" s="13" t="s">
        <v>306</v>
      </c>
      <c r="E386" s="4" t="s">
        <v>6</v>
      </c>
      <c r="F386" s="4" t="s">
        <v>6</v>
      </c>
      <c r="G386" s="4"/>
      <c r="H386" s="34">
        <f>SUM(H387:H393)</f>
        <v>46535.50000000001</v>
      </c>
      <c r="I386" s="54"/>
      <c r="J386" s="54">
        <f>SUM(J387:J393)</f>
        <v>0</v>
      </c>
      <c r="L386" s="4" t="s">
        <v>6</v>
      </c>
      <c r="M386" s="4"/>
      <c r="N386" s="34">
        <f>SUM(N387:N393)</f>
        <v>26596</v>
      </c>
      <c r="O386" s="54"/>
      <c r="P386" s="54">
        <f>SUM(P387:P393)</f>
        <v>0</v>
      </c>
      <c r="AE386" s="26" t="s">
        <v>158</v>
      </c>
      <c r="AO386" s="34">
        <f>SUM(AF387:AF393)</f>
        <v>0</v>
      </c>
      <c r="AP386" s="34">
        <f>SUM(AG387:AG393)</f>
        <v>0</v>
      </c>
      <c r="AQ386" s="34">
        <f>SUM(AH387:AH393)</f>
        <v>46535.50000000001</v>
      </c>
    </row>
    <row r="387" spans="1:58" ht="12.75">
      <c r="A387" s="5" t="s">
        <v>132</v>
      </c>
      <c r="B387" s="5" t="s">
        <v>158</v>
      </c>
      <c r="C387" s="5" t="s">
        <v>161</v>
      </c>
      <c r="D387" s="5" t="s">
        <v>307</v>
      </c>
      <c r="E387" s="5" t="s">
        <v>629</v>
      </c>
      <c r="F387" s="37">
        <v>33.862</v>
      </c>
      <c r="G387" s="19">
        <v>105</v>
      </c>
      <c r="H387" s="19">
        <f>F387*G387</f>
        <v>3555.51</v>
      </c>
      <c r="I387" s="60">
        <v>0</v>
      </c>
      <c r="J387" s="60">
        <f>F387*I387</f>
        <v>0</v>
      </c>
      <c r="L387" s="94">
        <v>0</v>
      </c>
      <c r="M387" s="19">
        <v>105</v>
      </c>
      <c r="N387" s="19">
        <f>L387*M387</f>
        <v>0</v>
      </c>
      <c r="O387" s="60">
        <v>0</v>
      </c>
      <c r="P387" s="60">
        <f>L387*O387</f>
        <v>0</v>
      </c>
      <c r="V387" s="31">
        <f>IF(AM387="5",BF387,0)</f>
        <v>0</v>
      </c>
      <c r="X387" s="31">
        <f>IF(AM387="1",BD387,0)</f>
        <v>0</v>
      </c>
      <c r="Y387" s="31">
        <f>IF(AM387="1",BE387,0)</f>
        <v>3555.51</v>
      </c>
      <c r="Z387" s="31">
        <f>IF(AM387="7",BD387,0)</f>
        <v>0</v>
      </c>
      <c r="AA387" s="31">
        <f>IF(AM387="7",BE387,0)</f>
        <v>0</v>
      </c>
      <c r="AB387" s="31">
        <f>IF(AM387="2",BD387,0)</f>
        <v>0</v>
      </c>
      <c r="AC387" s="31">
        <f>IF(AM387="2",BE387,0)</f>
        <v>0</v>
      </c>
      <c r="AD387" s="31">
        <f>IF(AM387="0",BF387,0)</f>
        <v>0</v>
      </c>
      <c r="AE387" s="26" t="s">
        <v>158</v>
      </c>
      <c r="AF387" s="19">
        <f>IF(AJ387=0,H387,0)</f>
        <v>0</v>
      </c>
      <c r="AG387" s="19">
        <f>IF(AJ387=15,H387,0)</f>
        <v>0</v>
      </c>
      <c r="AH387" s="19">
        <f>IF(AJ387=21,H387,0)</f>
        <v>3555.51</v>
      </c>
      <c r="AJ387" s="31">
        <v>21</v>
      </c>
      <c r="AK387" s="31">
        <f>G387*0</f>
        <v>0</v>
      </c>
      <c r="AL387" s="31">
        <f>G387*(1-0)</f>
        <v>105</v>
      </c>
      <c r="AM387" s="27" t="s">
        <v>7</v>
      </c>
      <c r="AR387" s="31">
        <f>AS387+AT387</f>
        <v>3555.51</v>
      </c>
      <c r="AS387" s="31">
        <f>F387*AK387</f>
        <v>0</v>
      </c>
      <c r="AT387" s="31">
        <f>F387*AL387</f>
        <v>3555.51</v>
      </c>
      <c r="AU387" s="32" t="s">
        <v>658</v>
      </c>
      <c r="AV387" s="32" t="s">
        <v>694</v>
      </c>
      <c r="AW387" s="26" t="s">
        <v>699</v>
      </c>
      <c r="AY387" s="31">
        <f>AS387+AT387</f>
        <v>3555.51</v>
      </c>
      <c r="AZ387" s="31">
        <f>G387/(100-BA387)*100</f>
        <v>105</v>
      </c>
      <c r="BA387" s="31">
        <v>0</v>
      </c>
      <c r="BB387" s="31">
        <f>J387</f>
        <v>0</v>
      </c>
      <c r="BD387" s="19">
        <f>F387*AK387</f>
        <v>0</v>
      </c>
      <c r="BE387" s="19">
        <f>F387*AL387</f>
        <v>3555.51</v>
      </c>
      <c r="BF387" s="19">
        <f>F387*G387</f>
        <v>3555.51</v>
      </c>
    </row>
    <row r="388" spans="4:16" ht="12.75">
      <c r="D388" s="16" t="s">
        <v>571</v>
      </c>
      <c r="F388" s="38">
        <v>28.78</v>
      </c>
      <c r="H388" s="73"/>
      <c r="I388" s="61"/>
      <c r="J388" s="61"/>
      <c r="L388" s="38"/>
      <c r="N388" s="73"/>
      <c r="O388" s="61"/>
      <c r="P388" s="61"/>
    </row>
    <row r="389" spans="4:16" ht="12.75">
      <c r="D389" s="16" t="s">
        <v>572</v>
      </c>
      <c r="F389" s="38">
        <v>5.082</v>
      </c>
      <c r="H389" s="73"/>
      <c r="I389" s="61"/>
      <c r="J389" s="61"/>
      <c r="L389" s="38"/>
      <c r="N389" s="73"/>
      <c r="O389" s="61"/>
      <c r="P389" s="61"/>
    </row>
    <row r="390" spans="1:58" ht="12.75">
      <c r="A390" s="5" t="s">
        <v>133</v>
      </c>
      <c r="B390" s="5" t="s">
        <v>158</v>
      </c>
      <c r="C390" s="5" t="s">
        <v>162</v>
      </c>
      <c r="D390" s="5" t="s">
        <v>309</v>
      </c>
      <c r="E390" s="5" t="s">
        <v>629</v>
      </c>
      <c r="F390" s="37">
        <v>352.295</v>
      </c>
      <c r="G390" s="19">
        <v>102</v>
      </c>
      <c r="H390" s="19">
        <f>F390*G390</f>
        <v>35934.090000000004</v>
      </c>
      <c r="I390" s="60">
        <v>0</v>
      </c>
      <c r="J390" s="60">
        <f>F390*I390</f>
        <v>0</v>
      </c>
      <c r="L390" s="94">
        <v>218</v>
      </c>
      <c r="M390" s="19">
        <v>102</v>
      </c>
      <c r="N390" s="19">
        <f>L390*M390</f>
        <v>22236</v>
      </c>
      <c r="O390" s="60">
        <v>0</v>
      </c>
      <c r="P390" s="60">
        <f>L390*O390</f>
        <v>0</v>
      </c>
      <c r="V390" s="31">
        <f>IF(AM390="5",BF390,0)</f>
        <v>0</v>
      </c>
      <c r="X390" s="31">
        <f>IF(AM390="1",BD390,0)</f>
        <v>0</v>
      </c>
      <c r="Y390" s="31">
        <f>IF(AM390="1",BE390,0)</f>
        <v>35934.090000000004</v>
      </c>
      <c r="Z390" s="31">
        <f>IF(AM390="7",BD390,0)</f>
        <v>0</v>
      </c>
      <c r="AA390" s="31">
        <f>IF(AM390="7",BE390,0)</f>
        <v>0</v>
      </c>
      <c r="AB390" s="31">
        <f>IF(AM390="2",BD390,0)</f>
        <v>0</v>
      </c>
      <c r="AC390" s="31">
        <f>IF(AM390="2",BE390,0)</f>
        <v>0</v>
      </c>
      <c r="AD390" s="31">
        <f>IF(AM390="0",BF390,0)</f>
        <v>0</v>
      </c>
      <c r="AE390" s="26" t="s">
        <v>158</v>
      </c>
      <c r="AF390" s="19">
        <f>IF(AJ390=0,H390,0)</f>
        <v>0</v>
      </c>
      <c r="AG390" s="19">
        <f>IF(AJ390=15,H390,0)</f>
        <v>0</v>
      </c>
      <c r="AH390" s="19">
        <f>IF(AJ390=21,H390,0)</f>
        <v>35934.090000000004</v>
      </c>
      <c r="AJ390" s="31">
        <v>21</v>
      </c>
      <c r="AK390" s="31">
        <f>G390*0</f>
        <v>0</v>
      </c>
      <c r="AL390" s="31">
        <f>G390*(1-0)</f>
        <v>102</v>
      </c>
      <c r="AM390" s="27" t="s">
        <v>7</v>
      </c>
      <c r="AR390" s="31">
        <f>AS390+AT390</f>
        <v>35934.090000000004</v>
      </c>
      <c r="AS390" s="31">
        <f>F390*AK390</f>
        <v>0</v>
      </c>
      <c r="AT390" s="31">
        <f>F390*AL390</f>
        <v>35934.090000000004</v>
      </c>
      <c r="AU390" s="32" t="s">
        <v>658</v>
      </c>
      <c r="AV390" s="32" t="s">
        <v>694</v>
      </c>
      <c r="AW390" s="26" t="s">
        <v>699</v>
      </c>
      <c r="AY390" s="31">
        <f>AS390+AT390</f>
        <v>35934.090000000004</v>
      </c>
      <c r="AZ390" s="31">
        <f>G390/(100-BA390)*100</f>
        <v>102</v>
      </c>
      <c r="BA390" s="31">
        <v>0</v>
      </c>
      <c r="BB390" s="31">
        <f>J390</f>
        <v>0</v>
      </c>
      <c r="BD390" s="19">
        <f>F390*AK390</f>
        <v>0</v>
      </c>
      <c r="BE390" s="19">
        <f>F390*AL390</f>
        <v>35934.090000000004</v>
      </c>
      <c r="BF390" s="19">
        <f>F390*G390</f>
        <v>35934.090000000004</v>
      </c>
    </row>
    <row r="391" spans="4:16" ht="12.75">
      <c r="D391" s="16" t="s">
        <v>573</v>
      </c>
      <c r="F391" s="38">
        <v>247.661</v>
      </c>
      <c r="H391" s="73"/>
      <c r="I391" s="61"/>
      <c r="J391" s="61"/>
      <c r="L391" s="38"/>
      <c r="N391" s="73"/>
      <c r="O391" s="61"/>
      <c r="P391" s="61"/>
    </row>
    <row r="392" spans="4:16" ht="12.75">
      <c r="D392" s="16" t="s">
        <v>574</v>
      </c>
      <c r="F392" s="38">
        <v>104.634</v>
      </c>
      <c r="H392" s="73"/>
      <c r="I392" s="61"/>
      <c r="J392" s="61"/>
      <c r="L392" s="38"/>
      <c r="N392" s="73"/>
      <c r="O392" s="61"/>
      <c r="P392" s="61"/>
    </row>
    <row r="393" spans="1:58" ht="12.75">
      <c r="A393" s="5" t="s">
        <v>134</v>
      </c>
      <c r="B393" s="5" t="s">
        <v>158</v>
      </c>
      <c r="C393" s="5" t="s">
        <v>163</v>
      </c>
      <c r="D393" s="5" t="s">
        <v>311</v>
      </c>
      <c r="E393" s="5" t="s">
        <v>629</v>
      </c>
      <c r="F393" s="37">
        <v>352.295</v>
      </c>
      <c r="G393" s="19">
        <v>20</v>
      </c>
      <c r="H393" s="19">
        <f>F393*G393</f>
        <v>7045.900000000001</v>
      </c>
      <c r="I393" s="60">
        <v>0</v>
      </c>
      <c r="J393" s="60">
        <f>F393*I393</f>
        <v>0</v>
      </c>
      <c r="L393" s="94">
        <v>218</v>
      </c>
      <c r="M393" s="19">
        <v>20</v>
      </c>
      <c r="N393" s="19">
        <f>L393*M393</f>
        <v>4360</v>
      </c>
      <c r="O393" s="60">
        <v>0</v>
      </c>
      <c r="P393" s="60">
        <f>L393*O393</f>
        <v>0</v>
      </c>
      <c r="V393" s="31">
        <f>IF(AM393="5",BF393,0)</f>
        <v>0</v>
      </c>
      <c r="X393" s="31">
        <f>IF(AM393="1",BD393,0)</f>
        <v>0</v>
      </c>
      <c r="Y393" s="31">
        <f>IF(AM393="1",BE393,0)</f>
        <v>7045.900000000001</v>
      </c>
      <c r="Z393" s="31">
        <f>IF(AM393="7",BD393,0)</f>
        <v>0</v>
      </c>
      <c r="AA393" s="31">
        <f>IF(AM393="7",BE393,0)</f>
        <v>0</v>
      </c>
      <c r="AB393" s="31">
        <f>IF(AM393="2",BD393,0)</f>
        <v>0</v>
      </c>
      <c r="AC393" s="31">
        <f>IF(AM393="2",BE393,0)</f>
        <v>0</v>
      </c>
      <c r="AD393" s="31">
        <f>IF(AM393="0",BF393,0)</f>
        <v>0</v>
      </c>
      <c r="AE393" s="26" t="s">
        <v>158</v>
      </c>
      <c r="AF393" s="19">
        <f>IF(AJ393=0,H393,0)</f>
        <v>0</v>
      </c>
      <c r="AG393" s="19">
        <f>IF(AJ393=15,H393,0)</f>
        <v>0</v>
      </c>
      <c r="AH393" s="19">
        <f>IF(AJ393=21,H393,0)</f>
        <v>7045.900000000001</v>
      </c>
      <c r="AJ393" s="31">
        <v>21</v>
      </c>
      <c r="AK393" s="31">
        <f>G393*0</f>
        <v>0</v>
      </c>
      <c r="AL393" s="31">
        <f>G393*(1-0)</f>
        <v>20</v>
      </c>
      <c r="AM393" s="27" t="s">
        <v>7</v>
      </c>
      <c r="AR393" s="31">
        <f>AS393+AT393</f>
        <v>7045.900000000001</v>
      </c>
      <c r="AS393" s="31">
        <f>F393*AK393</f>
        <v>0</v>
      </c>
      <c r="AT393" s="31">
        <f>F393*AL393</f>
        <v>7045.900000000001</v>
      </c>
      <c r="AU393" s="32" t="s">
        <v>658</v>
      </c>
      <c r="AV393" s="32" t="s">
        <v>694</v>
      </c>
      <c r="AW393" s="26" t="s">
        <v>699</v>
      </c>
      <c r="AY393" s="31">
        <f>AS393+AT393</f>
        <v>7045.900000000001</v>
      </c>
      <c r="AZ393" s="31">
        <f>G393/(100-BA393)*100</f>
        <v>20</v>
      </c>
      <c r="BA393" s="31">
        <v>0</v>
      </c>
      <c r="BB393" s="31">
        <f>J393</f>
        <v>0</v>
      </c>
      <c r="BD393" s="19">
        <f>F393*AK393</f>
        <v>0</v>
      </c>
      <c r="BE393" s="19">
        <f>F393*AL393</f>
        <v>7045.900000000001</v>
      </c>
      <c r="BF393" s="19">
        <f>F393*G393</f>
        <v>7045.900000000001</v>
      </c>
    </row>
    <row r="394" spans="4:16" ht="12.75">
      <c r="D394" s="16" t="s">
        <v>573</v>
      </c>
      <c r="F394" s="38">
        <v>247.661</v>
      </c>
      <c r="I394" s="61"/>
      <c r="J394" s="61"/>
      <c r="L394" s="38"/>
      <c r="O394" s="61"/>
      <c r="P394" s="61"/>
    </row>
    <row r="395" spans="4:16" ht="12.75">
      <c r="D395" s="16" t="s">
        <v>574</v>
      </c>
      <c r="F395" s="38">
        <v>104.634</v>
      </c>
      <c r="I395" s="61"/>
      <c r="J395" s="61"/>
      <c r="L395" s="38"/>
      <c r="O395" s="61"/>
      <c r="P395" s="61"/>
    </row>
    <row r="396" spans="1:43" ht="12.75">
      <c r="A396" s="4"/>
      <c r="B396" s="13" t="s">
        <v>158</v>
      </c>
      <c r="C396" s="13" t="s">
        <v>19</v>
      </c>
      <c r="D396" s="13" t="s">
        <v>312</v>
      </c>
      <c r="E396" s="4" t="s">
        <v>6</v>
      </c>
      <c r="F396" s="4" t="s">
        <v>6</v>
      </c>
      <c r="G396" s="4"/>
      <c r="H396" s="34">
        <f>SUM(H397:H405)</f>
        <v>56781.098999999995</v>
      </c>
      <c r="I396" s="54"/>
      <c r="J396" s="54">
        <f>SUM(J397:J405)</f>
        <v>0</v>
      </c>
      <c r="L396" s="4" t="s">
        <v>6</v>
      </c>
      <c r="M396" s="4"/>
      <c r="N396" s="34">
        <f>SUM(N397:N405)</f>
        <v>19871.5</v>
      </c>
      <c r="O396" s="54"/>
      <c r="P396" s="54">
        <f>SUM(P397:P405)</f>
        <v>0</v>
      </c>
      <c r="AE396" s="26" t="s">
        <v>158</v>
      </c>
      <c r="AO396" s="34">
        <f>SUM(AF397:AF405)</f>
        <v>0</v>
      </c>
      <c r="AP396" s="34">
        <f>SUM(AG397:AG405)</f>
        <v>0</v>
      </c>
      <c r="AQ396" s="34">
        <f>SUM(AH397:AH405)</f>
        <v>56781.098999999995</v>
      </c>
    </row>
    <row r="397" spans="1:58" ht="12.75">
      <c r="A397" s="5" t="s">
        <v>135</v>
      </c>
      <c r="B397" s="5" t="s">
        <v>158</v>
      </c>
      <c r="C397" s="5" t="s">
        <v>168</v>
      </c>
      <c r="D397" s="5" t="s">
        <v>323</v>
      </c>
      <c r="E397" s="5" t="s">
        <v>629</v>
      </c>
      <c r="F397" s="37">
        <v>147.021</v>
      </c>
      <c r="G397" s="19">
        <v>320</v>
      </c>
      <c r="H397" s="19">
        <f>F397*G397</f>
        <v>47046.719999999994</v>
      </c>
      <c r="I397" s="60">
        <v>0</v>
      </c>
      <c r="J397" s="60">
        <f>F397*I397</f>
        <v>0</v>
      </c>
      <c r="L397" s="94">
        <v>56.5</v>
      </c>
      <c r="M397" s="19">
        <v>320</v>
      </c>
      <c r="N397" s="19">
        <f>L397*M397</f>
        <v>18080</v>
      </c>
      <c r="O397" s="60">
        <v>0</v>
      </c>
      <c r="P397" s="60">
        <f>L397*O397</f>
        <v>0</v>
      </c>
      <c r="V397" s="31">
        <f>IF(AM397="5",BF397,0)</f>
        <v>0</v>
      </c>
      <c r="X397" s="31">
        <f>IF(AM397="1",BD397,0)</f>
        <v>0</v>
      </c>
      <c r="Y397" s="31">
        <f>IF(AM397="1",BE397,0)</f>
        <v>47046.719999999994</v>
      </c>
      <c r="Z397" s="31">
        <f>IF(AM397="7",BD397,0)</f>
        <v>0</v>
      </c>
      <c r="AA397" s="31">
        <f>IF(AM397="7",BE397,0)</f>
        <v>0</v>
      </c>
      <c r="AB397" s="31">
        <f>IF(AM397="2",BD397,0)</f>
        <v>0</v>
      </c>
      <c r="AC397" s="31">
        <f>IF(AM397="2",BE397,0)</f>
        <v>0</v>
      </c>
      <c r="AD397" s="31">
        <f>IF(AM397="0",BF397,0)</f>
        <v>0</v>
      </c>
      <c r="AE397" s="26" t="s">
        <v>158</v>
      </c>
      <c r="AF397" s="19">
        <f>IF(AJ397=0,H397,0)</f>
        <v>0</v>
      </c>
      <c r="AG397" s="19">
        <f>IF(AJ397=15,H397,0)</f>
        <v>0</v>
      </c>
      <c r="AH397" s="19">
        <f>IF(AJ397=21,H397,0)</f>
        <v>47046.719999999994</v>
      </c>
      <c r="AJ397" s="31">
        <v>21</v>
      </c>
      <c r="AK397" s="31">
        <f>G397*0</f>
        <v>0</v>
      </c>
      <c r="AL397" s="31">
        <f>G397*(1-0)</f>
        <v>320</v>
      </c>
      <c r="AM397" s="27" t="s">
        <v>7</v>
      </c>
      <c r="AR397" s="31">
        <f>AS397+AT397</f>
        <v>47046.719999999994</v>
      </c>
      <c r="AS397" s="31">
        <f>F397*AK397</f>
        <v>0</v>
      </c>
      <c r="AT397" s="31">
        <f>F397*AL397</f>
        <v>47046.719999999994</v>
      </c>
      <c r="AU397" s="32" t="s">
        <v>659</v>
      </c>
      <c r="AV397" s="32" t="s">
        <v>694</v>
      </c>
      <c r="AW397" s="26" t="s">
        <v>699</v>
      </c>
      <c r="AY397" s="31">
        <f>AS397+AT397</f>
        <v>47046.719999999994</v>
      </c>
      <c r="AZ397" s="31">
        <f>G397/(100-BA397)*100</f>
        <v>320</v>
      </c>
      <c r="BA397" s="31">
        <v>0</v>
      </c>
      <c r="BB397" s="31">
        <f>J397</f>
        <v>0</v>
      </c>
      <c r="BD397" s="19">
        <f>F397*AK397</f>
        <v>0</v>
      </c>
      <c r="BE397" s="19">
        <f>F397*AL397</f>
        <v>47046.719999999994</v>
      </c>
      <c r="BF397" s="19">
        <f>F397*G397</f>
        <v>47046.719999999994</v>
      </c>
    </row>
    <row r="398" spans="4:16" ht="12.75">
      <c r="D398" s="16" t="s">
        <v>575</v>
      </c>
      <c r="F398" s="38">
        <v>60.458</v>
      </c>
      <c r="H398" s="73"/>
      <c r="I398" s="61"/>
      <c r="J398" s="61"/>
      <c r="L398" s="38"/>
      <c r="N398" s="73"/>
      <c r="O398" s="61"/>
      <c r="P398" s="61"/>
    </row>
    <row r="399" spans="4:16" ht="12.75">
      <c r="D399" s="16" t="s">
        <v>576</v>
      </c>
      <c r="F399" s="38">
        <v>70.792</v>
      </c>
      <c r="H399" s="73"/>
      <c r="I399" s="61"/>
      <c r="J399" s="61"/>
      <c r="L399" s="38"/>
      <c r="N399" s="73"/>
      <c r="O399" s="61"/>
      <c r="P399" s="61"/>
    </row>
    <row r="400" spans="4:16" ht="12.75">
      <c r="D400" s="16" t="s">
        <v>577</v>
      </c>
      <c r="F400" s="38">
        <v>15.771</v>
      </c>
      <c r="H400" s="73"/>
      <c r="I400" s="61"/>
      <c r="J400" s="61"/>
      <c r="L400" s="38"/>
      <c r="N400" s="73"/>
      <c r="O400" s="61"/>
      <c r="P400" s="61"/>
    </row>
    <row r="401" spans="1:58" ht="12.75">
      <c r="A401" s="5" t="s">
        <v>136</v>
      </c>
      <c r="B401" s="5" t="s">
        <v>158</v>
      </c>
      <c r="C401" s="5" t="s">
        <v>169</v>
      </c>
      <c r="D401" s="5" t="s">
        <v>326</v>
      </c>
      <c r="E401" s="5" t="s">
        <v>629</v>
      </c>
      <c r="F401" s="37">
        <v>154.759</v>
      </c>
      <c r="G401" s="19">
        <v>25</v>
      </c>
      <c r="H401" s="19">
        <f>F401*G401</f>
        <v>3868.9749999999995</v>
      </c>
      <c r="I401" s="60">
        <v>0</v>
      </c>
      <c r="J401" s="60">
        <f>F401*I401</f>
        <v>0</v>
      </c>
      <c r="L401" s="94">
        <v>56.5</v>
      </c>
      <c r="M401" s="19">
        <v>25</v>
      </c>
      <c r="N401" s="19">
        <f>L401*M401</f>
        <v>1412.5</v>
      </c>
      <c r="O401" s="60">
        <v>0</v>
      </c>
      <c r="P401" s="60">
        <f>L401*O401</f>
        <v>0</v>
      </c>
      <c r="V401" s="31">
        <f>IF(AM401="5",BF401,0)</f>
        <v>0</v>
      </c>
      <c r="X401" s="31">
        <f>IF(AM401="1",BD401,0)</f>
        <v>0</v>
      </c>
      <c r="Y401" s="31">
        <f>IF(AM401="1",BE401,0)</f>
        <v>3868.9749999999995</v>
      </c>
      <c r="Z401" s="31">
        <f>IF(AM401="7",BD401,0)</f>
        <v>0</v>
      </c>
      <c r="AA401" s="31">
        <f>IF(AM401="7",BE401,0)</f>
        <v>0</v>
      </c>
      <c r="AB401" s="31">
        <f>IF(AM401="2",BD401,0)</f>
        <v>0</v>
      </c>
      <c r="AC401" s="31">
        <f>IF(AM401="2",BE401,0)</f>
        <v>0</v>
      </c>
      <c r="AD401" s="31">
        <f>IF(AM401="0",BF401,0)</f>
        <v>0</v>
      </c>
      <c r="AE401" s="26" t="s">
        <v>158</v>
      </c>
      <c r="AF401" s="19">
        <f>IF(AJ401=0,H401,0)</f>
        <v>0</v>
      </c>
      <c r="AG401" s="19">
        <f>IF(AJ401=15,H401,0)</f>
        <v>0</v>
      </c>
      <c r="AH401" s="19">
        <f>IF(AJ401=21,H401,0)</f>
        <v>3868.9749999999995</v>
      </c>
      <c r="AJ401" s="31">
        <v>21</v>
      </c>
      <c r="AK401" s="31">
        <f>G401*0</f>
        <v>0</v>
      </c>
      <c r="AL401" s="31">
        <f>G401*(1-0)</f>
        <v>25</v>
      </c>
      <c r="AM401" s="27" t="s">
        <v>7</v>
      </c>
      <c r="AR401" s="31">
        <f>AS401+AT401</f>
        <v>3868.9749999999995</v>
      </c>
      <c r="AS401" s="31">
        <f>F401*AK401</f>
        <v>0</v>
      </c>
      <c r="AT401" s="31">
        <f>F401*AL401</f>
        <v>3868.9749999999995</v>
      </c>
      <c r="AU401" s="32" t="s">
        <v>659</v>
      </c>
      <c r="AV401" s="32" t="s">
        <v>694</v>
      </c>
      <c r="AW401" s="26" t="s">
        <v>699</v>
      </c>
      <c r="AY401" s="31">
        <f>AS401+AT401</f>
        <v>3868.9749999999995</v>
      </c>
      <c r="AZ401" s="31">
        <f>G401/(100-BA401)*100</f>
        <v>25</v>
      </c>
      <c r="BA401" s="31">
        <v>0</v>
      </c>
      <c r="BB401" s="31">
        <f>J401</f>
        <v>0</v>
      </c>
      <c r="BD401" s="19">
        <f>F401*AK401</f>
        <v>0</v>
      </c>
      <c r="BE401" s="19">
        <f>F401*AL401</f>
        <v>3868.9749999999995</v>
      </c>
      <c r="BF401" s="19">
        <f>F401*G401</f>
        <v>3868.9749999999995</v>
      </c>
    </row>
    <row r="402" spans="4:16" ht="12.75">
      <c r="D402" s="16" t="s">
        <v>578</v>
      </c>
      <c r="F402" s="38">
        <v>63.64</v>
      </c>
      <c r="H402" s="73"/>
      <c r="I402" s="61"/>
      <c r="J402" s="61"/>
      <c r="L402" s="38"/>
      <c r="N402" s="73"/>
      <c r="O402" s="61"/>
      <c r="P402" s="61"/>
    </row>
    <row r="403" spans="4:16" ht="12.75">
      <c r="D403" s="16" t="s">
        <v>579</v>
      </c>
      <c r="F403" s="38">
        <v>74.518</v>
      </c>
      <c r="H403" s="73"/>
      <c r="I403" s="61"/>
      <c r="J403" s="61"/>
      <c r="L403" s="38"/>
      <c r="N403" s="73"/>
      <c r="O403" s="61"/>
      <c r="P403" s="61"/>
    </row>
    <row r="404" spans="4:16" ht="12.75">
      <c r="D404" s="16" t="s">
        <v>580</v>
      </c>
      <c r="F404" s="38">
        <v>16.601</v>
      </c>
      <c r="H404" s="73"/>
      <c r="I404" s="61"/>
      <c r="J404" s="61"/>
      <c r="L404" s="38"/>
      <c r="N404" s="73"/>
      <c r="O404" s="61"/>
      <c r="P404" s="61"/>
    </row>
    <row r="405" spans="1:58" ht="12.75">
      <c r="A405" s="5" t="s">
        <v>137</v>
      </c>
      <c r="B405" s="5" t="s">
        <v>158</v>
      </c>
      <c r="C405" s="5" t="s">
        <v>170</v>
      </c>
      <c r="D405" s="5" t="s">
        <v>329</v>
      </c>
      <c r="E405" s="5" t="s">
        <v>629</v>
      </c>
      <c r="F405" s="37">
        <v>7.738</v>
      </c>
      <c r="G405" s="19">
        <v>758</v>
      </c>
      <c r="H405" s="19">
        <f>F405*G405</f>
        <v>5865.404</v>
      </c>
      <c r="I405" s="60">
        <v>0</v>
      </c>
      <c r="J405" s="60">
        <f>F405*I405</f>
        <v>0</v>
      </c>
      <c r="L405" s="94">
        <v>0.5</v>
      </c>
      <c r="M405" s="19">
        <v>758</v>
      </c>
      <c r="N405" s="19">
        <f>L405*M405</f>
        <v>379</v>
      </c>
      <c r="O405" s="60">
        <v>0</v>
      </c>
      <c r="P405" s="60">
        <f>L405*O405</f>
        <v>0</v>
      </c>
      <c r="V405" s="31">
        <f>IF(AM405="5",BF405,0)</f>
        <v>0</v>
      </c>
      <c r="X405" s="31">
        <f>IF(AM405="1",BD405,0)</f>
        <v>0</v>
      </c>
      <c r="Y405" s="31">
        <f>IF(AM405="1",BE405,0)</f>
        <v>5865.404</v>
      </c>
      <c r="Z405" s="31">
        <f>IF(AM405="7",BD405,0)</f>
        <v>0</v>
      </c>
      <c r="AA405" s="31">
        <f>IF(AM405="7",BE405,0)</f>
        <v>0</v>
      </c>
      <c r="AB405" s="31">
        <f>IF(AM405="2",BD405,0)</f>
        <v>0</v>
      </c>
      <c r="AC405" s="31">
        <f>IF(AM405="2",BE405,0)</f>
        <v>0</v>
      </c>
      <c r="AD405" s="31">
        <f>IF(AM405="0",BF405,0)</f>
        <v>0</v>
      </c>
      <c r="AE405" s="26" t="s">
        <v>158</v>
      </c>
      <c r="AF405" s="19">
        <f>IF(AJ405=0,H405,0)</f>
        <v>0</v>
      </c>
      <c r="AG405" s="19">
        <f>IF(AJ405=15,H405,0)</f>
        <v>0</v>
      </c>
      <c r="AH405" s="19">
        <f>IF(AJ405=21,H405,0)</f>
        <v>5865.404</v>
      </c>
      <c r="AJ405" s="31">
        <v>21</v>
      </c>
      <c r="AK405" s="31">
        <f>G405*0</f>
        <v>0</v>
      </c>
      <c r="AL405" s="31">
        <f>G405*(1-0)</f>
        <v>758</v>
      </c>
      <c r="AM405" s="27" t="s">
        <v>7</v>
      </c>
      <c r="AR405" s="31">
        <f>AS405+AT405</f>
        <v>5865.404</v>
      </c>
      <c r="AS405" s="31">
        <f>F405*AK405</f>
        <v>0</v>
      </c>
      <c r="AT405" s="31">
        <f>F405*AL405</f>
        <v>5865.404</v>
      </c>
      <c r="AU405" s="32" t="s">
        <v>659</v>
      </c>
      <c r="AV405" s="32" t="s">
        <v>694</v>
      </c>
      <c r="AW405" s="26" t="s">
        <v>699</v>
      </c>
      <c r="AY405" s="31">
        <f>AS405+AT405</f>
        <v>5865.404</v>
      </c>
      <c r="AZ405" s="31">
        <f>G405/(100-BA405)*100</f>
        <v>758</v>
      </c>
      <c r="BA405" s="31">
        <v>0</v>
      </c>
      <c r="BB405" s="31">
        <f>J405</f>
        <v>0</v>
      </c>
      <c r="BD405" s="19">
        <f>F405*AK405</f>
        <v>0</v>
      </c>
      <c r="BE405" s="19">
        <f>F405*AL405</f>
        <v>5865.404</v>
      </c>
      <c r="BF405" s="19">
        <f>F405*G405</f>
        <v>5865.404</v>
      </c>
    </row>
    <row r="406" spans="4:16" ht="12.75">
      <c r="D406" s="16" t="s">
        <v>581</v>
      </c>
      <c r="F406" s="38">
        <v>3.182</v>
      </c>
      <c r="I406" s="61"/>
      <c r="J406" s="61"/>
      <c r="L406" s="38"/>
      <c r="O406" s="61"/>
      <c r="P406" s="61"/>
    </row>
    <row r="407" spans="4:16" ht="12.75">
      <c r="D407" s="16" t="s">
        <v>582</v>
      </c>
      <c r="F407" s="38">
        <v>3.726</v>
      </c>
      <c r="I407" s="61"/>
      <c r="J407" s="61"/>
      <c r="L407" s="38"/>
      <c r="O407" s="61"/>
      <c r="P407" s="61"/>
    </row>
    <row r="408" spans="4:16" ht="12.75">
      <c r="D408" s="16" t="s">
        <v>583</v>
      </c>
      <c r="F408" s="38">
        <v>0.83</v>
      </c>
      <c r="I408" s="61"/>
      <c r="J408" s="61"/>
      <c r="L408" s="38"/>
      <c r="O408" s="61"/>
      <c r="P408" s="61"/>
    </row>
    <row r="409" spans="1:43" ht="12.75">
      <c r="A409" s="4"/>
      <c r="B409" s="13" t="s">
        <v>158</v>
      </c>
      <c r="C409" s="13" t="s">
        <v>22</v>
      </c>
      <c r="D409" s="13" t="s">
        <v>331</v>
      </c>
      <c r="E409" s="4" t="s">
        <v>6</v>
      </c>
      <c r="F409" s="4" t="s">
        <v>6</v>
      </c>
      <c r="G409" s="4"/>
      <c r="H409" s="34">
        <f>SUM(H410:H418)</f>
        <v>130334.143</v>
      </c>
      <c r="I409" s="54"/>
      <c r="J409" s="54">
        <f>SUM(J410:J418)</f>
        <v>0</v>
      </c>
      <c r="L409" s="4" t="s">
        <v>6</v>
      </c>
      <c r="M409" s="4"/>
      <c r="N409" s="34">
        <f>SUM(N410:N418)</f>
        <v>30107</v>
      </c>
      <c r="O409" s="54"/>
      <c r="P409" s="54">
        <f>SUM(P410:P418)</f>
        <v>0</v>
      </c>
      <c r="AE409" s="26" t="s">
        <v>158</v>
      </c>
      <c r="AO409" s="34">
        <f>SUM(AF410:AF418)</f>
        <v>0</v>
      </c>
      <c r="AP409" s="34">
        <f>SUM(AG410:AG418)</f>
        <v>0</v>
      </c>
      <c r="AQ409" s="34">
        <f>SUM(AH410:AH418)</f>
        <v>130334.143</v>
      </c>
    </row>
    <row r="410" spans="1:58" ht="12.75">
      <c r="A410" s="5" t="s">
        <v>138</v>
      </c>
      <c r="B410" s="5" t="s">
        <v>158</v>
      </c>
      <c r="C410" s="5" t="s">
        <v>171</v>
      </c>
      <c r="D410" s="5" t="s">
        <v>332</v>
      </c>
      <c r="E410" s="5" t="s">
        <v>629</v>
      </c>
      <c r="F410" s="37">
        <v>739.267</v>
      </c>
      <c r="G410" s="19">
        <v>35</v>
      </c>
      <c r="H410" s="19">
        <f>F410*G410</f>
        <v>25874.345</v>
      </c>
      <c r="I410" s="60">
        <v>0</v>
      </c>
      <c r="J410" s="60">
        <f>F410*I410</f>
        <v>0</v>
      </c>
      <c r="L410" s="94">
        <f>L390+L397+L405</f>
        <v>275</v>
      </c>
      <c r="M410" s="19">
        <v>35</v>
      </c>
      <c r="N410" s="19">
        <f>L410*M410</f>
        <v>9625</v>
      </c>
      <c r="O410" s="60">
        <v>0</v>
      </c>
      <c r="P410" s="60">
        <f>L410*O410</f>
        <v>0</v>
      </c>
      <c r="V410" s="31">
        <f>IF(AM410="5",BF410,0)</f>
        <v>0</v>
      </c>
      <c r="X410" s="31">
        <f>IF(AM410="1",BD410,0)</f>
        <v>0</v>
      </c>
      <c r="Y410" s="31">
        <f>IF(AM410="1",BE410,0)</f>
        <v>25874.345</v>
      </c>
      <c r="Z410" s="31">
        <f>IF(AM410="7",BD410,0)</f>
        <v>0</v>
      </c>
      <c r="AA410" s="31">
        <f>IF(AM410="7",BE410,0)</f>
        <v>0</v>
      </c>
      <c r="AB410" s="31">
        <f>IF(AM410="2",BD410,0)</f>
        <v>0</v>
      </c>
      <c r="AC410" s="31">
        <f>IF(AM410="2",BE410,0)</f>
        <v>0</v>
      </c>
      <c r="AD410" s="31">
        <f>IF(AM410="0",BF410,0)</f>
        <v>0</v>
      </c>
      <c r="AE410" s="26" t="s">
        <v>158</v>
      </c>
      <c r="AF410" s="19">
        <f>IF(AJ410=0,H410,0)</f>
        <v>0</v>
      </c>
      <c r="AG410" s="19">
        <f>IF(AJ410=15,H410,0)</f>
        <v>0</v>
      </c>
      <c r="AH410" s="19">
        <f>IF(AJ410=21,H410,0)</f>
        <v>25874.345</v>
      </c>
      <c r="AJ410" s="31">
        <v>21</v>
      </c>
      <c r="AK410" s="31">
        <f>G410*0</f>
        <v>0</v>
      </c>
      <c r="AL410" s="31">
        <f>G410*(1-0)</f>
        <v>35</v>
      </c>
      <c r="AM410" s="27" t="s">
        <v>7</v>
      </c>
      <c r="AR410" s="31">
        <f>AS410+AT410</f>
        <v>25874.345</v>
      </c>
      <c r="AS410" s="31">
        <f>F410*AK410</f>
        <v>0</v>
      </c>
      <c r="AT410" s="31">
        <f>F410*AL410</f>
        <v>25874.345</v>
      </c>
      <c r="AU410" s="32" t="s">
        <v>660</v>
      </c>
      <c r="AV410" s="32" t="s">
        <v>694</v>
      </c>
      <c r="AW410" s="26" t="s">
        <v>699</v>
      </c>
      <c r="AY410" s="31">
        <f>AS410+AT410</f>
        <v>25874.345</v>
      </c>
      <c r="AZ410" s="31">
        <f>G410/(100-BA410)*100</f>
        <v>35</v>
      </c>
      <c r="BA410" s="31">
        <v>0</v>
      </c>
      <c r="BB410" s="31">
        <f>J410</f>
        <v>0</v>
      </c>
      <c r="BD410" s="19">
        <f>F410*AK410</f>
        <v>0</v>
      </c>
      <c r="BE410" s="19">
        <f>F410*AL410</f>
        <v>25874.345</v>
      </c>
      <c r="BF410" s="19">
        <f>F410*G410</f>
        <v>25874.345</v>
      </c>
    </row>
    <row r="411" spans="4:16" ht="12.75">
      <c r="D411" s="16" t="s">
        <v>584</v>
      </c>
      <c r="F411" s="38">
        <v>739.267</v>
      </c>
      <c r="H411" s="73"/>
      <c r="I411" s="61"/>
      <c r="J411" s="61"/>
      <c r="L411" s="38"/>
      <c r="N411" s="73"/>
      <c r="O411" s="61"/>
      <c r="P411" s="61"/>
    </row>
    <row r="412" spans="1:58" ht="12.75">
      <c r="A412" s="5" t="s">
        <v>139</v>
      </c>
      <c r="B412" s="5" t="s">
        <v>158</v>
      </c>
      <c r="C412" s="5" t="s">
        <v>172</v>
      </c>
      <c r="D412" s="5" t="s">
        <v>334</v>
      </c>
      <c r="E412" s="5" t="s">
        <v>629</v>
      </c>
      <c r="F412" s="37">
        <v>1014.108</v>
      </c>
      <c r="G412" s="19">
        <v>32</v>
      </c>
      <c r="H412" s="19">
        <f>F412*G412</f>
        <v>32451.456</v>
      </c>
      <c r="I412" s="60">
        <v>0</v>
      </c>
      <c r="J412" s="60">
        <f>F412*I412</f>
        <v>0</v>
      </c>
      <c r="L412" s="94">
        <v>0</v>
      </c>
      <c r="M412" s="19">
        <v>32</v>
      </c>
      <c r="N412" s="19">
        <f>L412*M412</f>
        <v>0</v>
      </c>
      <c r="O412" s="60">
        <v>0</v>
      </c>
      <c r="P412" s="60">
        <f>L412*O412</f>
        <v>0</v>
      </c>
      <c r="V412" s="31">
        <f>IF(AM412="5",BF412,0)</f>
        <v>0</v>
      </c>
      <c r="X412" s="31">
        <f>IF(AM412="1",BD412,0)</f>
        <v>0</v>
      </c>
      <c r="Y412" s="31">
        <f>IF(AM412="1",BE412,0)</f>
        <v>32451.456</v>
      </c>
      <c r="Z412" s="31">
        <f>IF(AM412="7",BD412,0)</f>
        <v>0</v>
      </c>
      <c r="AA412" s="31">
        <f>IF(AM412="7",BE412,0)</f>
        <v>0</v>
      </c>
      <c r="AB412" s="31">
        <f>IF(AM412="2",BD412,0)</f>
        <v>0</v>
      </c>
      <c r="AC412" s="31">
        <f>IF(AM412="2",BE412,0)</f>
        <v>0</v>
      </c>
      <c r="AD412" s="31">
        <f>IF(AM412="0",BF412,0)</f>
        <v>0</v>
      </c>
      <c r="AE412" s="26" t="s">
        <v>158</v>
      </c>
      <c r="AF412" s="19">
        <f>IF(AJ412=0,H412,0)</f>
        <v>0</v>
      </c>
      <c r="AG412" s="19">
        <f>IF(AJ412=15,H412,0)</f>
        <v>0</v>
      </c>
      <c r="AH412" s="19">
        <f>IF(AJ412=21,H412,0)</f>
        <v>32451.456</v>
      </c>
      <c r="AJ412" s="31">
        <v>21</v>
      </c>
      <c r="AK412" s="31">
        <f>G412*0</f>
        <v>0</v>
      </c>
      <c r="AL412" s="31">
        <f>G412*(1-0)</f>
        <v>32</v>
      </c>
      <c r="AM412" s="27" t="s">
        <v>7</v>
      </c>
      <c r="AR412" s="31">
        <f>AS412+AT412</f>
        <v>32451.456</v>
      </c>
      <c r="AS412" s="31">
        <f>F412*AK412</f>
        <v>0</v>
      </c>
      <c r="AT412" s="31">
        <f>F412*AL412</f>
        <v>32451.456</v>
      </c>
      <c r="AU412" s="32" t="s">
        <v>660</v>
      </c>
      <c r="AV412" s="32" t="s">
        <v>694</v>
      </c>
      <c r="AW412" s="26" t="s">
        <v>699</v>
      </c>
      <c r="AY412" s="31">
        <f>AS412+AT412</f>
        <v>32451.456</v>
      </c>
      <c r="AZ412" s="31">
        <f>G412/(100-BA412)*100</f>
        <v>32</v>
      </c>
      <c r="BA412" s="31">
        <v>0</v>
      </c>
      <c r="BB412" s="31">
        <f>J412</f>
        <v>0</v>
      </c>
      <c r="BD412" s="19">
        <f>F412*AK412</f>
        <v>0</v>
      </c>
      <c r="BE412" s="19">
        <f>F412*AL412</f>
        <v>32451.456</v>
      </c>
      <c r="BF412" s="19">
        <f>F412*G412</f>
        <v>32451.456</v>
      </c>
    </row>
    <row r="413" spans="4:16" ht="12.75">
      <c r="D413" s="16" t="s">
        <v>585</v>
      </c>
      <c r="F413" s="38">
        <v>1014.108</v>
      </c>
      <c r="H413" s="73"/>
      <c r="I413" s="61"/>
      <c r="J413" s="61"/>
      <c r="L413" s="38"/>
      <c r="N413" s="73"/>
      <c r="O413" s="61"/>
      <c r="P413" s="61"/>
    </row>
    <row r="414" spans="1:58" ht="12.75">
      <c r="A414" s="95" t="s">
        <v>711</v>
      </c>
      <c r="B414" s="5"/>
      <c r="C414" s="95" t="s">
        <v>713</v>
      </c>
      <c r="D414" s="96" t="s">
        <v>714</v>
      </c>
      <c r="E414" s="5" t="s">
        <v>629</v>
      </c>
      <c r="F414" s="37"/>
      <c r="G414" s="19"/>
      <c r="H414" s="19"/>
      <c r="I414" s="60"/>
      <c r="J414" s="60"/>
      <c r="L414" s="97">
        <f>L421</f>
        <v>154</v>
      </c>
      <c r="M414" s="19">
        <v>98</v>
      </c>
      <c r="N414" s="19">
        <f>L414*M414</f>
        <v>15092</v>
      </c>
      <c r="O414" s="60">
        <v>0</v>
      </c>
      <c r="P414" s="60">
        <f>L414*O414</f>
        <v>0</v>
      </c>
      <c r="V414" s="31">
        <f>IF(AM414="5",BF414,0)</f>
        <v>0</v>
      </c>
      <c r="X414" s="31">
        <f>IF(AM414="1",BD414,0)</f>
        <v>0</v>
      </c>
      <c r="Y414" s="31">
        <f>IF(AM414="1",BE414,0)</f>
        <v>0</v>
      </c>
      <c r="Z414" s="31">
        <f>IF(AM414="7",BD414,0)</f>
        <v>0</v>
      </c>
      <c r="AA414" s="31">
        <f>IF(AM414="7",BE414,0)</f>
        <v>0</v>
      </c>
      <c r="AB414" s="31">
        <f>IF(AM414="2",BD414,0)</f>
        <v>0</v>
      </c>
      <c r="AC414" s="31">
        <f>IF(AM414="2",BE414,0)</f>
        <v>0</v>
      </c>
      <c r="AD414" s="31">
        <f>IF(AM414="0",BF414,0)</f>
        <v>0</v>
      </c>
      <c r="AE414" s="26" t="s">
        <v>158</v>
      </c>
      <c r="AF414" s="19">
        <f>IF(AJ414=0,H414,0)</f>
        <v>0</v>
      </c>
      <c r="AG414" s="19">
        <f>IF(AJ414=15,H414,0)</f>
        <v>0</v>
      </c>
      <c r="AH414" s="19">
        <f>IF(AJ414=21,H414,0)</f>
        <v>0</v>
      </c>
      <c r="AJ414" s="31">
        <v>21</v>
      </c>
      <c r="AK414" s="31">
        <f>G414*0</f>
        <v>0</v>
      </c>
      <c r="AL414" s="31">
        <f>G414*(1-0)</f>
        <v>0</v>
      </c>
      <c r="AM414" s="27" t="s">
        <v>7</v>
      </c>
      <c r="AR414" s="31">
        <f>AS414+AT414</f>
        <v>0</v>
      </c>
      <c r="AS414" s="31">
        <f>F414*AK414</f>
        <v>0</v>
      </c>
      <c r="AT414" s="31">
        <f>F414*AL414</f>
        <v>0</v>
      </c>
      <c r="AU414" s="32" t="s">
        <v>660</v>
      </c>
      <c r="AV414" s="32" t="s">
        <v>694</v>
      </c>
      <c r="AW414" s="26" t="s">
        <v>699</v>
      </c>
      <c r="AY414" s="31">
        <f>AS414+AT414</f>
        <v>0</v>
      </c>
      <c r="AZ414" s="31">
        <f>G414/(100-BA414)*100</f>
        <v>0</v>
      </c>
      <c r="BA414" s="31">
        <v>0</v>
      </c>
      <c r="BB414" s="31">
        <f>J414</f>
        <v>0</v>
      </c>
      <c r="BD414" s="19">
        <f>F414*AK414</f>
        <v>0</v>
      </c>
      <c r="BE414" s="19">
        <f>F414*AL414</f>
        <v>0</v>
      </c>
      <c r="BF414" s="19">
        <f>F414*G414</f>
        <v>0</v>
      </c>
    </row>
    <row r="415" spans="1:58" ht="12.75">
      <c r="A415" s="95" t="s">
        <v>712</v>
      </c>
      <c r="B415" s="5"/>
      <c r="C415" s="5" t="s">
        <v>171</v>
      </c>
      <c r="D415" s="96" t="s">
        <v>332</v>
      </c>
      <c r="E415" s="5" t="s">
        <v>629</v>
      </c>
      <c r="F415" s="37"/>
      <c r="G415" s="19"/>
      <c r="H415" s="19"/>
      <c r="I415" s="60"/>
      <c r="J415" s="60"/>
      <c r="L415" s="97">
        <f>L414</f>
        <v>154</v>
      </c>
      <c r="M415" s="19">
        <v>35</v>
      </c>
      <c r="N415" s="19">
        <f>L415*M415</f>
        <v>5390</v>
      </c>
      <c r="O415" s="60">
        <v>0</v>
      </c>
      <c r="P415" s="60">
        <f>L415*O415</f>
        <v>0</v>
      </c>
      <c r="V415" s="31">
        <f>IF(AM415="5",BF415,0)</f>
        <v>0</v>
      </c>
      <c r="X415" s="31">
        <f>IF(AM415="1",BD415,0)</f>
        <v>0</v>
      </c>
      <c r="Y415" s="31">
        <f>IF(AM415="1",BE415,0)</f>
        <v>0</v>
      </c>
      <c r="Z415" s="31">
        <f>IF(AM415="7",BD415,0)</f>
        <v>0</v>
      </c>
      <c r="AA415" s="31">
        <f>IF(AM415="7",BE415,0)</f>
        <v>0</v>
      </c>
      <c r="AB415" s="31">
        <f>IF(AM415="2",BD415,0)</f>
        <v>0</v>
      </c>
      <c r="AC415" s="31">
        <f>IF(AM415="2",BE415,0)</f>
        <v>0</v>
      </c>
      <c r="AD415" s="31">
        <f>IF(AM415="0",BF415,0)</f>
        <v>0</v>
      </c>
      <c r="AE415" s="26" t="s">
        <v>158</v>
      </c>
      <c r="AF415" s="19">
        <f>IF(AJ415=0,H415,0)</f>
        <v>0</v>
      </c>
      <c r="AG415" s="19">
        <f>IF(AJ415=15,H415,0)</f>
        <v>0</v>
      </c>
      <c r="AH415" s="19">
        <f>IF(AJ415=21,H415,0)</f>
        <v>0</v>
      </c>
      <c r="AJ415" s="31">
        <v>21</v>
      </c>
      <c r="AK415" s="31">
        <f>G415*0</f>
        <v>0</v>
      </c>
      <c r="AL415" s="31">
        <f>G415*(1-0)</f>
        <v>0</v>
      </c>
      <c r="AM415" s="27" t="s">
        <v>7</v>
      </c>
      <c r="AR415" s="31">
        <f>AS415+AT415</f>
        <v>0</v>
      </c>
      <c r="AS415" s="31">
        <f>F415*AK415</f>
        <v>0</v>
      </c>
      <c r="AT415" s="31">
        <f>F415*AL415</f>
        <v>0</v>
      </c>
      <c r="AU415" s="32" t="s">
        <v>660</v>
      </c>
      <c r="AV415" s="32" t="s">
        <v>694</v>
      </c>
      <c r="AW415" s="26" t="s">
        <v>699</v>
      </c>
      <c r="AY415" s="31">
        <f>AS415+AT415</f>
        <v>0</v>
      </c>
      <c r="AZ415" s="31">
        <f>G415/(100-BA415)*100</f>
        <v>0</v>
      </c>
      <c r="BA415" s="31">
        <v>0</v>
      </c>
      <c r="BB415" s="31">
        <f>J415</f>
        <v>0</v>
      </c>
      <c r="BD415" s="19">
        <f>F415*AK415</f>
        <v>0</v>
      </c>
      <c r="BE415" s="19">
        <f>F415*AL415</f>
        <v>0</v>
      </c>
      <c r="BF415" s="19">
        <f>F415*G415</f>
        <v>0</v>
      </c>
    </row>
    <row r="416" spans="1:58" ht="12.75">
      <c r="A416" s="5" t="s">
        <v>140</v>
      </c>
      <c r="B416" s="5" t="s">
        <v>158</v>
      </c>
      <c r="C416" s="5" t="s">
        <v>173</v>
      </c>
      <c r="D416" s="5" t="s">
        <v>336</v>
      </c>
      <c r="E416" s="5" t="s">
        <v>629</v>
      </c>
      <c r="F416" s="37">
        <v>274.841</v>
      </c>
      <c r="G416" s="19">
        <v>142</v>
      </c>
      <c r="H416" s="19">
        <f>F416*G416</f>
        <v>39027.422</v>
      </c>
      <c r="I416" s="60">
        <v>0</v>
      </c>
      <c r="J416" s="60">
        <f>F416*I416</f>
        <v>0</v>
      </c>
      <c r="L416" s="94">
        <v>0</v>
      </c>
      <c r="M416" s="19">
        <v>142</v>
      </c>
      <c r="N416" s="19">
        <f>L416*M416</f>
        <v>0</v>
      </c>
      <c r="O416" s="60">
        <v>0</v>
      </c>
      <c r="P416" s="60">
        <f>L416*O416</f>
        <v>0</v>
      </c>
      <c r="V416" s="31">
        <f>IF(AM416="5",BF416,0)</f>
        <v>0</v>
      </c>
      <c r="X416" s="31">
        <f>IF(AM416="1",BD416,0)</f>
        <v>0</v>
      </c>
      <c r="Y416" s="31">
        <f>IF(AM416="1",BE416,0)</f>
        <v>39027.422</v>
      </c>
      <c r="Z416" s="31">
        <f>IF(AM416="7",BD416,0)</f>
        <v>0</v>
      </c>
      <c r="AA416" s="31">
        <f>IF(AM416="7",BE416,0)</f>
        <v>0</v>
      </c>
      <c r="AB416" s="31">
        <f>IF(AM416="2",BD416,0)</f>
        <v>0</v>
      </c>
      <c r="AC416" s="31">
        <f>IF(AM416="2",BE416,0)</f>
        <v>0</v>
      </c>
      <c r="AD416" s="31">
        <f>IF(AM416="0",BF416,0)</f>
        <v>0</v>
      </c>
      <c r="AE416" s="26" t="s">
        <v>158</v>
      </c>
      <c r="AF416" s="19">
        <f>IF(AJ416=0,H416,0)</f>
        <v>0</v>
      </c>
      <c r="AG416" s="19">
        <f>IF(AJ416=15,H416,0)</f>
        <v>0</v>
      </c>
      <c r="AH416" s="19">
        <f>IF(AJ416=21,H416,0)</f>
        <v>39027.422</v>
      </c>
      <c r="AJ416" s="31">
        <v>21</v>
      </c>
      <c r="AK416" s="31">
        <f>G416*0</f>
        <v>0</v>
      </c>
      <c r="AL416" s="31">
        <f>G416*(1-0)</f>
        <v>142</v>
      </c>
      <c r="AM416" s="27" t="s">
        <v>7</v>
      </c>
      <c r="AR416" s="31">
        <f>AS416+AT416</f>
        <v>39027.422</v>
      </c>
      <c r="AS416" s="31">
        <f>F416*AK416</f>
        <v>0</v>
      </c>
      <c r="AT416" s="31">
        <f>F416*AL416</f>
        <v>39027.422</v>
      </c>
      <c r="AU416" s="32" t="s">
        <v>660</v>
      </c>
      <c r="AV416" s="32" t="s">
        <v>694</v>
      </c>
      <c r="AW416" s="26" t="s">
        <v>699</v>
      </c>
      <c r="AY416" s="31">
        <f>AS416+AT416</f>
        <v>39027.422</v>
      </c>
      <c r="AZ416" s="31">
        <f>G416/(100-BA416)*100</f>
        <v>142</v>
      </c>
      <c r="BA416" s="31">
        <v>0</v>
      </c>
      <c r="BB416" s="31">
        <f>J416</f>
        <v>0</v>
      </c>
      <c r="BD416" s="19">
        <f>F416*AK416</f>
        <v>0</v>
      </c>
      <c r="BE416" s="19">
        <f>F416*AL416</f>
        <v>39027.422</v>
      </c>
      <c r="BF416" s="19">
        <f>F416*G416</f>
        <v>39027.422</v>
      </c>
    </row>
    <row r="417" spans="4:16" ht="12.75">
      <c r="D417" s="16" t="s">
        <v>586</v>
      </c>
      <c r="F417" s="38">
        <v>274.841</v>
      </c>
      <c r="H417" s="73"/>
      <c r="I417" s="61"/>
      <c r="J417" s="61"/>
      <c r="L417" s="38"/>
      <c r="N417" s="73"/>
      <c r="O417" s="61"/>
      <c r="P417" s="61"/>
    </row>
    <row r="418" spans="1:58" ht="12.75">
      <c r="A418" s="5" t="s">
        <v>141</v>
      </c>
      <c r="B418" s="5" t="s">
        <v>158</v>
      </c>
      <c r="C418" s="5" t="s">
        <v>174</v>
      </c>
      <c r="D418" s="5" t="s">
        <v>338</v>
      </c>
      <c r="E418" s="5" t="s">
        <v>629</v>
      </c>
      <c r="F418" s="37">
        <v>2748.41</v>
      </c>
      <c r="G418" s="19">
        <v>12</v>
      </c>
      <c r="H418" s="19">
        <f>F418*G418</f>
        <v>32980.92</v>
      </c>
      <c r="I418" s="60">
        <v>0</v>
      </c>
      <c r="J418" s="60">
        <f>F418*I418</f>
        <v>0</v>
      </c>
      <c r="L418" s="94">
        <v>0</v>
      </c>
      <c r="M418" s="19">
        <v>12</v>
      </c>
      <c r="N418" s="19">
        <f>L418*M418</f>
        <v>0</v>
      </c>
      <c r="O418" s="60">
        <v>0</v>
      </c>
      <c r="P418" s="60">
        <f>L418*O418</f>
        <v>0</v>
      </c>
      <c r="V418" s="31">
        <f>IF(AM418="5",BF418,0)</f>
        <v>0</v>
      </c>
      <c r="X418" s="31">
        <f>IF(AM418="1",BD418,0)</f>
        <v>0</v>
      </c>
      <c r="Y418" s="31">
        <f>IF(AM418="1",BE418,0)</f>
        <v>32980.92</v>
      </c>
      <c r="Z418" s="31">
        <f>IF(AM418="7",BD418,0)</f>
        <v>0</v>
      </c>
      <c r="AA418" s="31">
        <f>IF(AM418="7",BE418,0)</f>
        <v>0</v>
      </c>
      <c r="AB418" s="31">
        <f>IF(AM418="2",BD418,0)</f>
        <v>0</v>
      </c>
      <c r="AC418" s="31">
        <f>IF(AM418="2",BE418,0)</f>
        <v>0</v>
      </c>
      <c r="AD418" s="31">
        <f>IF(AM418="0",BF418,0)</f>
        <v>0</v>
      </c>
      <c r="AE418" s="26" t="s">
        <v>158</v>
      </c>
      <c r="AF418" s="19">
        <f>IF(AJ418=0,H418,0)</f>
        <v>0</v>
      </c>
      <c r="AG418" s="19">
        <f>IF(AJ418=15,H418,0)</f>
        <v>0</v>
      </c>
      <c r="AH418" s="19">
        <f>IF(AJ418=21,H418,0)</f>
        <v>32980.92</v>
      </c>
      <c r="AJ418" s="31">
        <v>21</v>
      </c>
      <c r="AK418" s="31">
        <f>G418*0</f>
        <v>0</v>
      </c>
      <c r="AL418" s="31">
        <f>G418*(1-0)</f>
        <v>12</v>
      </c>
      <c r="AM418" s="27" t="s">
        <v>7</v>
      </c>
      <c r="AR418" s="31">
        <f>AS418+AT418</f>
        <v>32980.92</v>
      </c>
      <c r="AS418" s="31">
        <f>F418*AK418</f>
        <v>0</v>
      </c>
      <c r="AT418" s="31">
        <f>F418*AL418</f>
        <v>32980.92</v>
      </c>
      <c r="AU418" s="32" t="s">
        <v>660</v>
      </c>
      <c r="AV418" s="32" t="s">
        <v>694</v>
      </c>
      <c r="AW418" s="26" t="s">
        <v>699</v>
      </c>
      <c r="AY418" s="31">
        <f>AS418+AT418</f>
        <v>32980.92</v>
      </c>
      <c r="AZ418" s="31">
        <f>G418/(100-BA418)*100</f>
        <v>12</v>
      </c>
      <c r="BA418" s="31">
        <v>0</v>
      </c>
      <c r="BB418" s="31">
        <f>J418</f>
        <v>0</v>
      </c>
      <c r="BD418" s="19">
        <f>F418*AK418</f>
        <v>0</v>
      </c>
      <c r="BE418" s="19">
        <f>F418*AL418</f>
        <v>32980.92</v>
      </c>
      <c r="BF418" s="19">
        <f>F418*G418</f>
        <v>32980.92</v>
      </c>
    </row>
    <row r="419" spans="4:16" ht="12.75">
      <c r="D419" s="16" t="s">
        <v>587</v>
      </c>
      <c r="F419" s="38">
        <v>2748.41</v>
      </c>
      <c r="I419" s="61"/>
      <c r="J419" s="61"/>
      <c r="L419" s="38"/>
      <c r="O419" s="61"/>
      <c r="P419" s="61"/>
    </row>
    <row r="420" spans="1:43" ht="12.75">
      <c r="A420" s="4"/>
      <c r="B420" s="13" t="s">
        <v>158</v>
      </c>
      <c r="C420" s="13" t="s">
        <v>23</v>
      </c>
      <c r="D420" s="13" t="s">
        <v>340</v>
      </c>
      <c r="E420" s="4" t="s">
        <v>6</v>
      </c>
      <c r="F420" s="4" t="s">
        <v>6</v>
      </c>
      <c r="G420" s="4"/>
      <c r="H420" s="34">
        <f>SUM(H421:H433)</f>
        <v>73268.207</v>
      </c>
      <c r="I420" s="54"/>
      <c r="J420" s="54">
        <f>SUM(J421:J433)</f>
        <v>0</v>
      </c>
      <c r="L420" s="4" t="s">
        <v>6</v>
      </c>
      <c r="M420" s="4"/>
      <c r="N420" s="34">
        <f>SUM(N421:N436)</f>
        <v>42970</v>
      </c>
      <c r="O420" s="54"/>
      <c r="P420" s="54">
        <f>SUM(P421:P436)</f>
        <v>0</v>
      </c>
      <c r="AE420" s="26" t="s">
        <v>158</v>
      </c>
      <c r="AO420" s="34">
        <f>SUM(AF421:AF433)</f>
        <v>0</v>
      </c>
      <c r="AP420" s="34">
        <f>SUM(AG421:AG433)</f>
        <v>0</v>
      </c>
      <c r="AQ420" s="34">
        <f>SUM(AH421:AH433)</f>
        <v>73268.207</v>
      </c>
    </row>
    <row r="421" spans="1:58" ht="12.75">
      <c r="A421" s="5" t="s">
        <v>142</v>
      </c>
      <c r="B421" s="5" t="s">
        <v>158</v>
      </c>
      <c r="C421" s="5" t="s">
        <v>176</v>
      </c>
      <c r="D421" s="5" t="s">
        <v>344</v>
      </c>
      <c r="E421" s="5" t="s">
        <v>629</v>
      </c>
      <c r="F421" s="37">
        <v>232.213</v>
      </c>
      <c r="G421" s="19">
        <v>140</v>
      </c>
      <c r="H421" s="19">
        <f>F421*G421</f>
        <v>32509.82</v>
      </c>
      <c r="I421" s="60">
        <v>0</v>
      </c>
      <c r="J421" s="60">
        <f>F421*I421</f>
        <v>0</v>
      </c>
      <c r="L421" s="97">
        <v>154</v>
      </c>
      <c r="M421" s="19">
        <v>140</v>
      </c>
      <c r="N421" s="19">
        <f>L421*M421</f>
        <v>21560</v>
      </c>
      <c r="O421" s="60">
        <v>0</v>
      </c>
      <c r="P421" s="60">
        <f>L421*O421</f>
        <v>0</v>
      </c>
      <c r="V421" s="31">
        <f>IF(AM421="5",BF421,0)</f>
        <v>0</v>
      </c>
      <c r="X421" s="31">
        <f>IF(AM421="1",BD421,0)</f>
        <v>0</v>
      </c>
      <c r="Y421" s="31">
        <f>IF(AM421="1",BE421,0)</f>
        <v>32509.82</v>
      </c>
      <c r="Z421" s="31">
        <f>IF(AM421="7",BD421,0)</f>
        <v>0</v>
      </c>
      <c r="AA421" s="31">
        <f>IF(AM421="7",BE421,0)</f>
        <v>0</v>
      </c>
      <c r="AB421" s="31">
        <f>IF(AM421="2",BD421,0)</f>
        <v>0</v>
      </c>
      <c r="AC421" s="31">
        <f>IF(AM421="2",BE421,0)</f>
        <v>0</v>
      </c>
      <c r="AD421" s="31">
        <f>IF(AM421="0",BF421,0)</f>
        <v>0</v>
      </c>
      <c r="AE421" s="26" t="s">
        <v>158</v>
      </c>
      <c r="AF421" s="19">
        <f>IF(AJ421=0,H421,0)</f>
        <v>0</v>
      </c>
      <c r="AG421" s="19">
        <f>IF(AJ421=15,H421,0)</f>
        <v>0</v>
      </c>
      <c r="AH421" s="19">
        <f>IF(AJ421=21,H421,0)</f>
        <v>32509.82</v>
      </c>
      <c r="AJ421" s="31">
        <v>21</v>
      </c>
      <c r="AK421" s="31">
        <f>G421*0</f>
        <v>0</v>
      </c>
      <c r="AL421" s="31">
        <f>G421*(1-0)</f>
        <v>140</v>
      </c>
      <c r="AM421" s="27" t="s">
        <v>7</v>
      </c>
      <c r="AR421" s="31">
        <f>AS421+AT421</f>
        <v>32509.82</v>
      </c>
      <c r="AS421" s="31">
        <f>F421*AK421</f>
        <v>0</v>
      </c>
      <c r="AT421" s="31">
        <f>F421*AL421</f>
        <v>32509.82</v>
      </c>
      <c r="AU421" s="32" t="s">
        <v>661</v>
      </c>
      <c r="AV421" s="32" t="s">
        <v>694</v>
      </c>
      <c r="AW421" s="26" t="s">
        <v>699</v>
      </c>
      <c r="AY421" s="31">
        <f>AS421+AT421</f>
        <v>32509.82</v>
      </c>
      <c r="AZ421" s="31">
        <f>G421/(100-BA421)*100</f>
        <v>140</v>
      </c>
      <c r="BA421" s="31">
        <v>0</v>
      </c>
      <c r="BB421" s="31">
        <f>J421</f>
        <v>0</v>
      </c>
      <c r="BD421" s="19">
        <f>F421*AK421</f>
        <v>0</v>
      </c>
      <c r="BE421" s="19">
        <f>F421*AL421</f>
        <v>32509.82</v>
      </c>
      <c r="BF421" s="19">
        <f>F421*G421</f>
        <v>32509.82</v>
      </c>
    </row>
    <row r="422" spans="4:16" ht="12.75">
      <c r="D422" s="16" t="s">
        <v>588</v>
      </c>
      <c r="F422" s="38">
        <v>105.25</v>
      </c>
      <c r="H422" s="73"/>
      <c r="I422" s="61"/>
      <c r="J422" s="61"/>
      <c r="L422" s="38"/>
      <c r="N422" s="73"/>
      <c r="O422" s="61"/>
      <c r="P422" s="61"/>
    </row>
    <row r="423" spans="4:16" ht="12.75">
      <c r="D423" s="16" t="s">
        <v>589</v>
      </c>
      <c r="F423" s="38">
        <v>61.023</v>
      </c>
      <c r="H423" s="73"/>
      <c r="I423" s="61"/>
      <c r="J423" s="61"/>
      <c r="L423" s="38"/>
      <c r="N423" s="73"/>
      <c r="O423" s="61"/>
      <c r="P423" s="61"/>
    </row>
    <row r="424" spans="4:16" ht="12.75">
      <c r="D424" s="16" t="s">
        <v>590</v>
      </c>
      <c r="F424" s="38">
        <v>43.959</v>
      </c>
      <c r="H424" s="73"/>
      <c r="I424" s="61"/>
      <c r="J424" s="61"/>
      <c r="L424" s="38"/>
      <c r="N424" s="73"/>
      <c r="O424" s="61"/>
      <c r="P424" s="61"/>
    </row>
    <row r="425" spans="4:16" ht="12.75">
      <c r="D425" s="16" t="s">
        <v>591</v>
      </c>
      <c r="F425" s="38">
        <v>17.571</v>
      </c>
      <c r="H425" s="73"/>
      <c r="I425" s="61"/>
      <c r="J425" s="61"/>
      <c r="L425" s="38"/>
      <c r="N425" s="73"/>
      <c r="O425" s="61"/>
      <c r="P425" s="61"/>
    </row>
    <row r="426" spans="4:16" ht="12.75">
      <c r="D426" s="16" t="s">
        <v>592</v>
      </c>
      <c r="F426" s="38">
        <v>4.41</v>
      </c>
      <c r="H426" s="73"/>
      <c r="I426" s="61"/>
      <c r="J426" s="61"/>
      <c r="L426" s="38"/>
      <c r="N426" s="73"/>
      <c r="O426" s="61"/>
      <c r="P426" s="61"/>
    </row>
    <row r="427" spans="1:58" ht="12.75">
      <c r="A427" s="5" t="s">
        <v>143</v>
      </c>
      <c r="B427" s="5" t="s">
        <v>158</v>
      </c>
      <c r="C427" s="5" t="s">
        <v>177</v>
      </c>
      <c r="D427" s="5" t="s">
        <v>348</v>
      </c>
      <c r="E427" s="5" t="s">
        <v>629</v>
      </c>
      <c r="F427" s="37">
        <v>232.213</v>
      </c>
      <c r="G427" s="19">
        <v>24</v>
      </c>
      <c r="H427" s="19">
        <f>F427*G427</f>
        <v>5573.112</v>
      </c>
      <c r="I427" s="60">
        <v>0</v>
      </c>
      <c r="J427" s="60">
        <f>F427*I427</f>
        <v>0</v>
      </c>
      <c r="L427" s="94">
        <v>0</v>
      </c>
      <c r="M427" s="19">
        <v>24</v>
      </c>
      <c r="N427" s="19">
        <f>L427*M427</f>
        <v>0</v>
      </c>
      <c r="O427" s="60">
        <v>0</v>
      </c>
      <c r="P427" s="60">
        <f>L427*O427</f>
        <v>0</v>
      </c>
      <c r="V427" s="31">
        <f>IF(AM427="5",BF427,0)</f>
        <v>0</v>
      </c>
      <c r="X427" s="31">
        <f>IF(AM427="1",BD427,0)</f>
        <v>0</v>
      </c>
      <c r="Y427" s="31">
        <f>IF(AM427="1",BE427,0)</f>
        <v>5573.112</v>
      </c>
      <c r="Z427" s="31">
        <f>IF(AM427="7",BD427,0)</f>
        <v>0</v>
      </c>
      <c r="AA427" s="31">
        <f>IF(AM427="7",BE427,0)</f>
        <v>0</v>
      </c>
      <c r="AB427" s="31">
        <f>IF(AM427="2",BD427,0)</f>
        <v>0</v>
      </c>
      <c r="AC427" s="31">
        <f>IF(AM427="2",BE427,0)</f>
        <v>0</v>
      </c>
      <c r="AD427" s="31">
        <f>IF(AM427="0",BF427,0)</f>
        <v>0</v>
      </c>
      <c r="AE427" s="26" t="s">
        <v>158</v>
      </c>
      <c r="AF427" s="19">
        <f>IF(AJ427=0,H427,0)</f>
        <v>0</v>
      </c>
      <c r="AG427" s="19">
        <f>IF(AJ427=15,H427,0)</f>
        <v>0</v>
      </c>
      <c r="AH427" s="19">
        <f>IF(AJ427=21,H427,0)</f>
        <v>5573.112</v>
      </c>
      <c r="AJ427" s="31">
        <v>21</v>
      </c>
      <c r="AK427" s="31">
        <f>G427*0</f>
        <v>0</v>
      </c>
      <c r="AL427" s="31">
        <f>G427*(1-0)</f>
        <v>24</v>
      </c>
      <c r="AM427" s="27" t="s">
        <v>7</v>
      </c>
      <c r="AR427" s="31">
        <f>AS427+AT427</f>
        <v>5573.112</v>
      </c>
      <c r="AS427" s="31">
        <f>F427*AK427</f>
        <v>0</v>
      </c>
      <c r="AT427" s="31">
        <f>F427*AL427</f>
        <v>5573.112</v>
      </c>
      <c r="AU427" s="32" t="s">
        <v>661</v>
      </c>
      <c r="AV427" s="32" t="s">
        <v>694</v>
      </c>
      <c r="AW427" s="26" t="s">
        <v>699</v>
      </c>
      <c r="AY427" s="31">
        <f>AS427+AT427</f>
        <v>5573.112</v>
      </c>
      <c r="AZ427" s="31">
        <f>G427/(100-BA427)*100</f>
        <v>24</v>
      </c>
      <c r="BA427" s="31">
        <v>0</v>
      </c>
      <c r="BB427" s="31">
        <f>J427</f>
        <v>0</v>
      </c>
      <c r="BD427" s="19">
        <f>F427*AK427</f>
        <v>0</v>
      </c>
      <c r="BE427" s="19">
        <f>F427*AL427</f>
        <v>5573.112</v>
      </c>
      <c r="BF427" s="19">
        <f>F427*G427</f>
        <v>5573.112</v>
      </c>
    </row>
    <row r="428" spans="4:16" ht="12.75">
      <c r="D428" s="16" t="s">
        <v>588</v>
      </c>
      <c r="F428" s="38">
        <v>105.25</v>
      </c>
      <c r="H428" s="73"/>
      <c r="I428" s="61"/>
      <c r="J428" s="61"/>
      <c r="L428" s="38"/>
      <c r="N428" s="73"/>
      <c r="O428" s="61"/>
      <c r="P428" s="61"/>
    </row>
    <row r="429" spans="4:16" ht="12.75">
      <c r="D429" s="16" t="s">
        <v>589</v>
      </c>
      <c r="F429" s="38">
        <v>61.023</v>
      </c>
      <c r="H429" s="73"/>
      <c r="I429" s="61"/>
      <c r="J429" s="61"/>
      <c r="L429" s="38"/>
      <c r="N429" s="73"/>
      <c r="O429" s="61"/>
      <c r="P429" s="61"/>
    </row>
    <row r="430" spans="4:16" ht="12.75">
      <c r="D430" s="16" t="s">
        <v>590</v>
      </c>
      <c r="F430" s="38">
        <v>43.959</v>
      </c>
      <c r="H430" s="73"/>
      <c r="I430" s="61"/>
      <c r="J430" s="61"/>
      <c r="L430" s="38"/>
      <c r="N430" s="73"/>
      <c r="O430" s="61"/>
      <c r="P430" s="61"/>
    </row>
    <row r="431" spans="4:16" ht="12.75">
      <c r="D431" s="16" t="s">
        <v>591</v>
      </c>
      <c r="F431" s="38">
        <v>17.571</v>
      </c>
      <c r="H431" s="73"/>
      <c r="I431" s="61"/>
      <c r="J431" s="61"/>
      <c r="L431" s="38"/>
      <c r="N431" s="73"/>
      <c r="O431" s="61"/>
      <c r="P431" s="61"/>
    </row>
    <row r="432" spans="4:16" ht="12.75">
      <c r="D432" s="16" t="s">
        <v>592</v>
      </c>
      <c r="F432" s="38">
        <v>4.41</v>
      </c>
      <c r="H432" s="73"/>
      <c r="I432" s="61"/>
      <c r="J432" s="61"/>
      <c r="L432" s="38"/>
      <c r="N432" s="73"/>
      <c r="O432" s="61"/>
      <c r="P432" s="61"/>
    </row>
    <row r="433" spans="1:58" ht="12.75">
      <c r="A433" s="5" t="s">
        <v>144</v>
      </c>
      <c r="B433" s="5" t="s">
        <v>158</v>
      </c>
      <c r="C433" s="5" t="s">
        <v>175</v>
      </c>
      <c r="D433" s="5" t="s">
        <v>341</v>
      </c>
      <c r="E433" s="5" t="s">
        <v>629</v>
      </c>
      <c r="F433" s="37">
        <v>781.895</v>
      </c>
      <c r="G433" s="19">
        <v>45</v>
      </c>
      <c r="H433" s="19">
        <f>F433*G433</f>
        <v>35185.275</v>
      </c>
      <c r="I433" s="60">
        <v>0</v>
      </c>
      <c r="J433" s="60">
        <f>F433*I433</f>
        <v>0</v>
      </c>
      <c r="L433" s="94">
        <f>L410</f>
        <v>275</v>
      </c>
      <c r="M433" s="19">
        <v>45</v>
      </c>
      <c r="N433" s="19">
        <f>L433*M433</f>
        <v>12375</v>
      </c>
      <c r="O433" s="60">
        <v>0</v>
      </c>
      <c r="P433" s="60">
        <f>L433*O433</f>
        <v>0</v>
      </c>
      <c r="V433" s="31">
        <f>IF(AM433="5",BF433,0)</f>
        <v>0</v>
      </c>
      <c r="X433" s="31">
        <f>IF(AM433="1",BD433,0)</f>
        <v>0</v>
      </c>
      <c r="Y433" s="31">
        <f>IF(AM433="1",BE433,0)</f>
        <v>35185.275</v>
      </c>
      <c r="Z433" s="31">
        <f>IF(AM433="7",BD433,0)</f>
        <v>0</v>
      </c>
      <c r="AA433" s="31">
        <f>IF(AM433="7",BE433,0)</f>
        <v>0</v>
      </c>
      <c r="AB433" s="31">
        <f>IF(AM433="2",BD433,0)</f>
        <v>0</v>
      </c>
      <c r="AC433" s="31">
        <f>IF(AM433="2",BE433,0)</f>
        <v>0</v>
      </c>
      <c r="AD433" s="31">
        <f>IF(AM433="0",BF433,0)</f>
        <v>0</v>
      </c>
      <c r="AE433" s="26" t="s">
        <v>158</v>
      </c>
      <c r="AF433" s="19">
        <f>IF(AJ433=0,H433,0)</f>
        <v>0</v>
      </c>
      <c r="AG433" s="19">
        <f>IF(AJ433=15,H433,0)</f>
        <v>0</v>
      </c>
      <c r="AH433" s="19">
        <f>IF(AJ433=21,H433,0)</f>
        <v>35185.275</v>
      </c>
      <c r="AJ433" s="31">
        <v>21</v>
      </c>
      <c r="AK433" s="31">
        <f>G433*0</f>
        <v>0</v>
      </c>
      <c r="AL433" s="31">
        <f>G433*(1-0)</f>
        <v>45</v>
      </c>
      <c r="AM433" s="27" t="s">
        <v>7</v>
      </c>
      <c r="AR433" s="31">
        <f>AS433+AT433</f>
        <v>35185.275</v>
      </c>
      <c r="AS433" s="31">
        <f>F433*AK433</f>
        <v>0</v>
      </c>
      <c r="AT433" s="31">
        <f>F433*AL433</f>
        <v>35185.275</v>
      </c>
      <c r="AU433" s="32" t="s">
        <v>661</v>
      </c>
      <c r="AV433" s="32" t="s">
        <v>694</v>
      </c>
      <c r="AW433" s="26" t="s">
        <v>699</v>
      </c>
      <c r="AY433" s="31">
        <f>AS433+AT433</f>
        <v>35185.275</v>
      </c>
      <c r="AZ433" s="31">
        <f>G433/(100-BA433)*100</f>
        <v>45</v>
      </c>
      <c r="BA433" s="31">
        <v>0</v>
      </c>
      <c r="BB433" s="31">
        <f>J433</f>
        <v>0</v>
      </c>
      <c r="BD433" s="19">
        <f>F433*AK433</f>
        <v>0</v>
      </c>
      <c r="BE433" s="19">
        <f>F433*AL433</f>
        <v>35185.275</v>
      </c>
      <c r="BF433" s="19">
        <f>F433*G433</f>
        <v>35185.275</v>
      </c>
    </row>
    <row r="434" spans="4:16" ht="12.75">
      <c r="D434" s="16" t="s">
        <v>593</v>
      </c>
      <c r="F434" s="38">
        <v>507.054</v>
      </c>
      <c r="H434" s="73"/>
      <c r="I434" s="61"/>
      <c r="J434" s="61"/>
      <c r="L434" s="38"/>
      <c r="N434" s="73"/>
      <c r="O434" s="61"/>
      <c r="P434" s="61"/>
    </row>
    <row r="435" spans="4:16" ht="12.75">
      <c r="D435" s="16" t="s">
        <v>594</v>
      </c>
      <c r="F435" s="38">
        <v>274.841</v>
      </c>
      <c r="I435" s="61"/>
      <c r="J435" s="61"/>
      <c r="L435" s="38"/>
      <c r="O435" s="61"/>
      <c r="P435" s="61"/>
    </row>
    <row r="436" spans="1:16" ht="12.75">
      <c r="A436" s="63" t="s">
        <v>721</v>
      </c>
      <c r="C436" s="98">
        <v>182151111</v>
      </c>
      <c r="D436" s="96" t="s">
        <v>722</v>
      </c>
      <c r="E436" s="63" t="s">
        <v>630</v>
      </c>
      <c r="F436" s="38"/>
      <c r="I436" s="61"/>
      <c r="J436" s="61"/>
      <c r="L436" s="97">
        <v>130</v>
      </c>
      <c r="M436" s="19">
        <v>69.5</v>
      </c>
      <c r="N436" s="19">
        <f>L436*M436</f>
        <v>9035</v>
      </c>
      <c r="O436" s="60">
        <v>0</v>
      </c>
      <c r="P436" s="60">
        <f>L436*O436</f>
        <v>0</v>
      </c>
    </row>
    <row r="437" spans="1:43" ht="12.75">
      <c r="A437" s="4"/>
      <c r="B437" s="13" t="s">
        <v>158</v>
      </c>
      <c r="C437" s="13" t="s">
        <v>25</v>
      </c>
      <c r="D437" s="13" t="s">
        <v>349</v>
      </c>
      <c r="E437" s="4" t="s">
        <v>6</v>
      </c>
      <c r="F437" s="4" t="s">
        <v>6</v>
      </c>
      <c r="G437" s="4"/>
      <c r="H437" s="34">
        <f>SUM(H438:H438)</f>
        <v>49471.380000000005</v>
      </c>
      <c r="I437" s="54"/>
      <c r="J437" s="54">
        <f>SUM(J438:J438)</f>
        <v>0</v>
      </c>
      <c r="L437" s="4" t="s">
        <v>6</v>
      </c>
      <c r="M437" s="4"/>
      <c r="N437" s="34">
        <f>SUM(N438:N438)</f>
        <v>0</v>
      </c>
      <c r="O437" s="54"/>
      <c r="P437" s="54">
        <f>SUM(P438:P438)</f>
        <v>0</v>
      </c>
      <c r="AE437" s="26" t="s">
        <v>158</v>
      </c>
      <c r="AO437" s="34">
        <f>SUM(AF438:AF438)</f>
        <v>0</v>
      </c>
      <c r="AP437" s="34">
        <f>SUM(AG438:AG438)</f>
        <v>0</v>
      </c>
      <c r="AQ437" s="34">
        <f>SUM(AH438:AH438)</f>
        <v>49471.380000000005</v>
      </c>
    </row>
    <row r="438" spans="1:58" ht="12.75">
      <c r="A438" s="5" t="s">
        <v>145</v>
      </c>
      <c r="B438" s="5" t="s">
        <v>158</v>
      </c>
      <c r="C438" s="5" t="s">
        <v>178</v>
      </c>
      <c r="D438" s="5" t="s">
        <v>350</v>
      </c>
      <c r="E438" s="5" t="s">
        <v>629</v>
      </c>
      <c r="F438" s="37">
        <v>274.841</v>
      </c>
      <c r="G438" s="19">
        <v>180</v>
      </c>
      <c r="H438" s="19">
        <f>F438*G438</f>
        <v>49471.380000000005</v>
      </c>
      <c r="I438" s="60">
        <v>0</v>
      </c>
      <c r="J438" s="60">
        <f>F438*I438</f>
        <v>0</v>
      </c>
      <c r="L438" s="94">
        <v>0</v>
      </c>
      <c r="M438" s="19">
        <v>180</v>
      </c>
      <c r="N438" s="19">
        <f>L438*M438</f>
        <v>0</v>
      </c>
      <c r="O438" s="60">
        <v>0</v>
      </c>
      <c r="P438" s="60">
        <f>L438*O438</f>
        <v>0</v>
      </c>
      <c r="V438" s="31">
        <f>IF(AM438="5",BF438,0)</f>
        <v>0</v>
      </c>
      <c r="X438" s="31">
        <f>IF(AM438="1",BD438,0)</f>
        <v>0</v>
      </c>
      <c r="Y438" s="31">
        <f>IF(AM438="1",BE438,0)</f>
        <v>49471.380000000005</v>
      </c>
      <c r="Z438" s="31">
        <f>IF(AM438="7",BD438,0)</f>
        <v>0</v>
      </c>
      <c r="AA438" s="31">
        <f>IF(AM438="7",BE438,0)</f>
        <v>0</v>
      </c>
      <c r="AB438" s="31">
        <f>IF(AM438="2",BD438,0)</f>
        <v>0</v>
      </c>
      <c r="AC438" s="31">
        <f>IF(AM438="2",BE438,0)</f>
        <v>0</v>
      </c>
      <c r="AD438" s="31">
        <f>IF(AM438="0",BF438,0)</f>
        <v>0</v>
      </c>
      <c r="AE438" s="26" t="s">
        <v>158</v>
      </c>
      <c r="AF438" s="19">
        <f>IF(AJ438=0,H438,0)</f>
        <v>0</v>
      </c>
      <c r="AG438" s="19">
        <f>IF(AJ438=15,H438,0)</f>
        <v>0</v>
      </c>
      <c r="AH438" s="19">
        <f>IF(AJ438=21,H438,0)</f>
        <v>49471.380000000005</v>
      </c>
      <c r="AJ438" s="31">
        <v>21</v>
      </c>
      <c r="AK438" s="31">
        <f>G438*0</f>
        <v>0</v>
      </c>
      <c r="AL438" s="31">
        <f>G438*(1-0)</f>
        <v>180</v>
      </c>
      <c r="AM438" s="27" t="s">
        <v>7</v>
      </c>
      <c r="AR438" s="31">
        <f>AS438+AT438</f>
        <v>49471.380000000005</v>
      </c>
      <c r="AS438" s="31">
        <f>F438*AK438</f>
        <v>0</v>
      </c>
      <c r="AT438" s="31">
        <f>F438*AL438</f>
        <v>49471.380000000005</v>
      </c>
      <c r="AU438" s="32" t="s">
        <v>662</v>
      </c>
      <c r="AV438" s="32" t="s">
        <v>694</v>
      </c>
      <c r="AW438" s="26" t="s">
        <v>699</v>
      </c>
      <c r="AY438" s="31">
        <f>AS438+AT438</f>
        <v>49471.380000000005</v>
      </c>
      <c r="AZ438" s="31">
        <f>G438/(100-BA438)*100</f>
        <v>180</v>
      </c>
      <c r="BA438" s="31">
        <v>0</v>
      </c>
      <c r="BB438" s="31">
        <f>J438</f>
        <v>0</v>
      </c>
      <c r="BD438" s="19">
        <f>F438*AK438</f>
        <v>0</v>
      </c>
      <c r="BE438" s="19">
        <f>F438*AL438</f>
        <v>49471.380000000005</v>
      </c>
      <c r="BF438" s="19">
        <f>F438*G438</f>
        <v>49471.380000000005</v>
      </c>
    </row>
    <row r="439" spans="4:16" ht="12.75">
      <c r="D439" s="16" t="s">
        <v>586</v>
      </c>
      <c r="F439" s="38">
        <v>274.841</v>
      </c>
      <c r="I439" s="61"/>
      <c r="J439" s="61"/>
      <c r="L439" s="38"/>
      <c r="O439" s="61"/>
      <c r="P439" s="61"/>
    </row>
    <row r="440" spans="1:43" ht="12.75">
      <c r="A440" s="4"/>
      <c r="B440" s="13" t="s">
        <v>158</v>
      </c>
      <c r="C440" s="13" t="s">
        <v>27</v>
      </c>
      <c r="D440" s="13" t="s">
        <v>351</v>
      </c>
      <c r="E440" s="4" t="s">
        <v>6</v>
      </c>
      <c r="F440" s="4" t="s">
        <v>6</v>
      </c>
      <c r="G440" s="4"/>
      <c r="H440" s="34">
        <f>SUM(H441:H456)</f>
        <v>63906.363</v>
      </c>
      <c r="I440" s="54"/>
      <c r="J440" s="54">
        <f>SUM(J441:J456)</f>
        <v>0.05212926000000001</v>
      </c>
      <c r="L440" s="4" t="s">
        <v>6</v>
      </c>
      <c r="M440" s="4"/>
      <c r="N440" s="34">
        <f>SUM(N441:N459)</f>
        <v>21011.5</v>
      </c>
      <c r="O440" s="54"/>
      <c r="P440" s="54">
        <f>SUM(P441:P459)</f>
        <v>0.0755</v>
      </c>
      <c r="AE440" s="26" t="s">
        <v>158</v>
      </c>
      <c r="AO440" s="34">
        <f>SUM(AF441:AF456)</f>
        <v>0</v>
      </c>
      <c r="AP440" s="34">
        <f>SUM(AG441:AG456)</f>
        <v>0</v>
      </c>
      <c r="AQ440" s="34">
        <f>SUM(AH441:AH456)</f>
        <v>63906.363</v>
      </c>
    </row>
    <row r="441" spans="1:58" ht="12.75">
      <c r="A441" s="5" t="s">
        <v>146</v>
      </c>
      <c r="B441" s="5" t="s">
        <v>158</v>
      </c>
      <c r="C441" s="5" t="s">
        <v>179</v>
      </c>
      <c r="D441" s="5" t="s">
        <v>352</v>
      </c>
      <c r="E441" s="5" t="s">
        <v>630</v>
      </c>
      <c r="F441" s="37">
        <v>721.411</v>
      </c>
      <c r="G441" s="19">
        <v>29.5</v>
      </c>
      <c r="H441" s="19">
        <f>F441*G441</f>
        <v>21281.624499999998</v>
      </c>
      <c r="I441" s="60">
        <v>0</v>
      </c>
      <c r="J441" s="60">
        <f>F441*I441</f>
        <v>0</v>
      </c>
      <c r="L441" s="94">
        <v>136</v>
      </c>
      <c r="M441" s="19">
        <v>29.5</v>
      </c>
      <c r="N441" s="19">
        <f>L441*M441</f>
        <v>4012</v>
      </c>
      <c r="O441" s="60">
        <v>0</v>
      </c>
      <c r="P441" s="60">
        <f>L441*O441</f>
        <v>0</v>
      </c>
      <c r="V441" s="31">
        <f>IF(AM441="5",BF441,0)</f>
        <v>0</v>
      </c>
      <c r="X441" s="31">
        <f>IF(AM441="1",BD441,0)</f>
        <v>0</v>
      </c>
      <c r="Y441" s="31">
        <f>IF(AM441="1",BE441,0)</f>
        <v>21281.624499999998</v>
      </c>
      <c r="Z441" s="31">
        <f>IF(AM441="7",BD441,0)</f>
        <v>0</v>
      </c>
      <c r="AA441" s="31">
        <f>IF(AM441="7",BE441,0)</f>
        <v>0</v>
      </c>
      <c r="AB441" s="31">
        <f>IF(AM441="2",BD441,0)</f>
        <v>0</v>
      </c>
      <c r="AC441" s="31">
        <f>IF(AM441="2",BE441,0)</f>
        <v>0</v>
      </c>
      <c r="AD441" s="31">
        <f>IF(AM441="0",BF441,0)</f>
        <v>0</v>
      </c>
      <c r="AE441" s="26" t="s">
        <v>158</v>
      </c>
      <c r="AF441" s="19">
        <f>IF(AJ441=0,H441,0)</f>
        <v>0</v>
      </c>
      <c r="AG441" s="19">
        <f>IF(AJ441=15,H441,0)</f>
        <v>0</v>
      </c>
      <c r="AH441" s="19">
        <f>IF(AJ441=21,H441,0)</f>
        <v>21281.624499999998</v>
      </c>
      <c r="AJ441" s="31">
        <v>21</v>
      </c>
      <c r="AK441" s="31">
        <f>G441*0</f>
        <v>0</v>
      </c>
      <c r="AL441" s="31">
        <f>G441*(1-0)</f>
        <v>29.5</v>
      </c>
      <c r="AM441" s="27" t="s">
        <v>7</v>
      </c>
      <c r="AR441" s="31">
        <f>AS441+AT441</f>
        <v>21281.624499999998</v>
      </c>
      <c r="AS441" s="31">
        <f>F441*AK441</f>
        <v>0</v>
      </c>
      <c r="AT441" s="31">
        <f>F441*AL441</f>
        <v>21281.624499999998</v>
      </c>
      <c r="AU441" s="32" t="s">
        <v>663</v>
      </c>
      <c r="AV441" s="32" t="s">
        <v>695</v>
      </c>
      <c r="AW441" s="26" t="s">
        <v>699</v>
      </c>
      <c r="AY441" s="31">
        <f>AS441+AT441</f>
        <v>21281.624499999998</v>
      </c>
      <c r="AZ441" s="31">
        <f>G441/(100-BA441)*100</f>
        <v>29.5</v>
      </c>
      <c r="BA441" s="31">
        <v>0</v>
      </c>
      <c r="BB441" s="31">
        <f>J441</f>
        <v>0</v>
      </c>
      <c r="BD441" s="19">
        <f>F441*AK441</f>
        <v>0</v>
      </c>
      <c r="BE441" s="19">
        <f>F441*AL441</f>
        <v>21281.624499999998</v>
      </c>
      <c r="BF441" s="19">
        <f>F441*G441</f>
        <v>21281.624499999998</v>
      </c>
    </row>
    <row r="442" spans="4:16" ht="12.75">
      <c r="D442" s="16" t="s">
        <v>595</v>
      </c>
      <c r="F442" s="38">
        <v>122.935</v>
      </c>
      <c r="H442" s="73"/>
      <c r="I442" s="61"/>
      <c r="J442" s="61"/>
      <c r="L442" s="38"/>
      <c r="N442" s="73"/>
      <c r="O442" s="61"/>
      <c r="P442" s="61"/>
    </row>
    <row r="443" spans="4:16" ht="12.75">
      <c r="D443" s="16" t="s">
        <v>596</v>
      </c>
      <c r="F443" s="38">
        <v>17.943</v>
      </c>
      <c r="H443" s="73"/>
      <c r="I443" s="61"/>
      <c r="J443" s="61"/>
      <c r="L443" s="38"/>
      <c r="N443" s="73"/>
      <c r="O443" s="61"/>
      <c r="P443" s="61"/>
    </row>
    <row r="444" spans="4:16" ht="12.75">
      <c r="D444" s="16" t="s">
        <v>597</v>
      </c>
      <c r="F444" s="38">
        <v>580.533</v>
      </c>
      <c r="H444" s="73"/>
      <c r="I444" s="61"/>
      <c r="J444" s="61"/>
      <c r="L444" s="38"/>
      <c r="N444" s="73"/>
      <c r="O444" s="61"/>
      <c r="P444" s="61"/>
    </row>
    <row r="445" spans="1:58" ht="12.75">
      <c r="A445" s="5" t="s">
        <v>147</v>
      </c>
      <c r="B445" s="5" t="s">
        <v>158</v>
      </c>
      <c r="C445" s="5" t="s">
        <v>181</v>
      </c>
      <c r="D445" s="5" t="s">
        <v>356</v>
      </c>
      <c r="E445" s="5" t="s">
        <v>630</v>
      </c>
      <c r="F445" s="37">
        <v>289.607</v>
      </c>
      <c r="G445" s="19">
        <v>26.5</v>
      </c>
      <c r="H445" s="19">
        <f>F445*G445</f>
        <v>7674.585500000001</v>
      </c>
      <c r="I445" s="60">
        <v>0.00018</v>
      </c>
      <c r="J445" s="60">
        <f>F445*I445</f>
        <v>0.05212926000000001</v>
      </c>
      <c r="L445" s="94">
        <v>75</v>
      </c>
      <c r="M445" s="19">
        <v>26.5</v>
      </c>
      <c r="N445" s="19">
        <f>L445*M445</f>
        <v>1987.5</v>
      </c>
      <c r="O445" s="60">
        <v>0.00018</v>
      </c>
      <c r="P445" s="60">
        <f>L445*O445</f>
        <v>0.013500000000000002</v>
      </c>
      <c r="V445" s="31">
        <f>IF(AM445="5",BF445,0)</f>
        <v>0</v>
      </c>
      <c r="X445" s="31">
        <f>IF(AM445="1",BD445,0)</f>
        <v>702.190721641553</v>
      </c>
      <c r="Y445" s="31">
        <f>IF(AM445="1",BE445,0)</f>
        <v>6972.394778358448</v>
      </c>
      <c r="Z445" s="31">
        <f>IF(AM445="7",BD445,0)</f>
        <v>0</v>
      </c>
      <c r="AA445" s="31">
        <f>IF(AM445="7",BE445,0)</f>
        <v>0</v>
      </c>
      <c r="AB445" s="31">
        <f>IF(AM445="2",BD445,0)</f>
        <v>0</v>
      </c>
      <c r="AC445" s="31">
        <f>IF(AM445="2",BE445,0)</f>
        <v>0</v>
      </c>
      <c r="AD445" s="31">
        <f>IF(AM445="0",BF445,0)</f>
        <v>0</v>
      </c>
      <c r="AE445" s="26" t="s">
        <v>158</v>
      </c>
      <c r="AF445" s="19">
        <f>IF(AJ445=0,H445,0)</f>
        <v>0</v>
      </c>
      <c r="AG445" s="19">
        <f>IF(AJ445=15,H445,0)</f>
        <v>0</v>
      </c>
      <c r="AH445" s="19">
        <f>IF(AJ445=21,H445,0)</f>
        <v>7674.585500000001</v>
      </c>
      <c r="AJ445" s="31">
        <v>21</v>
      </c>
      <c r="AK445" s="31">
        <f>G445*0.0914955891287618</f>
        <v>2.4246331119121876</v>
      </c>
      <c r="AL445" s="31">
        <f>G445*(1-0.0914955891287618)</f>
        <v>24.075366888087814</v>
      </c>
      <c r="AM445" s="27" t="s">
        <v>7</v>
      </c>
      <c r="AR445" s="31">
        <f>AS445+AT445</f>
        <v>7674.585500000001</v>
      </c>
      <c r="AS445" s="31">
        <f>F445*AK445</f>
        <v>702.190721641553</v>
      </c>
      <c r="AT445" s="31">
        <f>F445*AL445</f>
        <v>6972.394778358448</v>
      </c>
      <c r="AU445" s="32" t="s">
        <v>663</v>
      </c>
      <c r="AV445" s="32" t="s">
        <v>695</v>
      </c>
      <c r="AW445" s="26" t="s">
        <v>699</v>
      </c>
      <c r="AY445" s="31">
        <f>AS445+AT445</f>
        <v>7674.585500000001</v>
      </c>
      <c r="AZ445" s="31">
        <f>G445/(100-BA445)*100</f>
        <v>26.5</v>
      </c>
      <c r="BA445" s="31">
        <v>0</v>
      </c>
      <c r="BB445" s="31">
        <f>J445</f>
        <v>0.05212926000000001</v>
      </c>
      <c r="BD445" s="19">
        <f>F445*AK445</f>
        <v>702.190721641553</v>
      </c>
      <c r="BE445" s="19">
        <f>F445*AL445</f>
        <v>6972.394778358448</v>
      </c>
      <c r="BF445" s="19">
        <f>F445*G445</f>
        <v>7674.585500000001</v>
      </c>
    </row>
    <row r="446" spans="4:16" ht="12.75">
      <c r="D446" s="16" t="s">
        <v>598</v>
      </c>
      <c r="F446" s="38">
        <v>45.256</v>
      </c>
      <c r="H446" s="73"/>
      <c r="I446" s="61"/>
      <c r="J446" s="61"/>
      <c r="L446" s="38"/>
      <c r="N446" s="73"/>
      <c r="O446" s="61"/>
      <c r="P446" s="61"/>
    </row>
    <row r="447" spans="4:16" ht="12.75">
      <c r="D447" s="16" t="s">
        <v>599</v>
      </c>
      <c r="F447" s="38">
        <v>223.23</v>
      </c>
      <c r="H447" s="73"/>
      <c r="I447" s="61"/>
      <c r="J447" s="61"/>
      <c r="L447" s="38"/>
      <c r="N447" s="73"/>
      <c r="O447" s="61"/>
      <c r="P447" s="61"/>
    </row>
    <row r="448" spans="4:16" ht="12.75">
      <c r="D448" s="16" t="s">
        <v>600</v>
      </c>
      <c r="F448" s="38">
        <v>21.121</v>
      </c>
      <c r="H448" s="73"/>
      <c r="I448" s="61"/>
      <c r="J448" s="61"/>
      <c r="L448" s="38"/>
      <c r="N448" s="73"/>
      <c r="O448" s="61"/>
      <c r="P448" s="61"/>
    </row>
    <row r="449" spans="1:58" ht="12.75">
      <c r="A449" s="6" t="s">
        <v>148</v>
      </c>
      <c r="B449" s="6" t="s">
        <v>158</v>
      </c>
      <c r="C449" s="6" t="s">
        <v>182</v>
      </c>
      <c r="D449" s="6" t="s">
        <v>359</v>
      </c>
      <c r="E449" s="6" t="s">
        <v>630</v>
      </c>
      <c r="F449" s="39">
        <v>318.567</v>
      </c>
      <c r="G449" s="20">
        <v>61</v>
      </c>
      <c r="H449" s="20">
        <f>F449*G449</f>
        <v>19432.587</v>
      </c>
      <c r="I449" s="62">
        <v>0</v>
      </c>
      <c r="J449" s="62">
        <f>F449*I449</f>
        <v>0</v>
      </c>
      <c r="L449" s="94">
        <v>82.5</v>
      </c>
      <c r="M449" s="20">
        <v>61</v>
      </c>
      <c r="N449" s="20">
        <f>L449*M449</f>
        <v>5032.5</v>
      </c>
      <c r="O449" s="62">
        <v>0</v>
      </c>
      <c r="P449" s="62">
        <f>L449*O449</f>
        <v>0</v>
      </c>
      <c r="V449" s="31">
        <f>IF(AM449="5",BF449,0)</f>
        <v>0</v>
      </c>
      <c r="X449" s="31">
        <f>IF(AM449="1",BD449,0)</f>
        <v>19432.587</v>
      </c>
      <c r="Y449" s="31">
        <f>IF(AM449="1",BE449,0)</f>
        <v>0</v>
      </c>
      <c r="Z449" s="31">
        <f>IF(AM449="7",BD449,0)</f>
        <v>0</v>
      </c>
      <c r="AA449" s="31">
        <f>IF(AM449="7",BE449,0)</f>
        <v>0</v>
      </c>
      <c r="AB449" s="31">
        <f>IF(AM449="2",BD449,0)</f>
        <v>0</v>
      </c>
      <c r="AC449" s="31">
        <f>IF(AM449="2",BE449,0)</f>
        <v>0</v>
      </c>
      <c r="AD449" s="31">
        <f>IF(AM449="0",BF449,0)</f>
        <v>0</v>
      </c>
      <c r="AE449" s="26" t="s">
        <v>158</v>
      </c>
      <c r="AF449" s="20">
        <f>IF(AJ449=0,H449,0)</f>
        <v>0</v>
      </c>
      <c r="AG449" s="20">
        <f>IF(AJ449=15,H449,0)</f>
        <v>0</v>
      </c>
      <c r="AH449" s="20">
        <f>IF(AJ449=21,H449,0)</f>
        <v>19432.587</v>
      </c>
      <c r="AJ449" s="31">
        <v>21</v>
      </c>
      <c r="AK449" s="31">
        <f>G449*1</f>
        <v>61</v>
      </c>
      <c r="AL449" s="31">
        <f>G449*(1-1)</f>
        <v>0</v>
      </c>
      <c r="AM449" s="28" t="s">
        <v>7</v>
      </c>
      <c r="AR449" s="31">
        <f>AS449+AT449</f>
        <v>19432.587</v>
      </c>
      <c r="AS449" s="31">
        <f>F449*AK449</f>
        <v>19432.587</v>
      </c>
      <c r="AT449" s="31">
        <f>F449*AL449</f>
        <v>0</v>
      </c>
      <c r="AU449" s="32" t="s">
        <v>663</v>
      </c>
      <c r="AV449" s="32" t="s">
        <v>695</v>
      </c>
      <c r="AW449" s="26" t="s">
        <v>699</v>
      </c>
      <c r="AY449" s="31">
        <f>AS449+AT449</f>
        <v>19432.587</v>
      </c>
      <c r="AZ449" s="31">
        <f>G449/(100-BA449)*100</f>
        <v>61</v>
      </c>
      <c r="BA449" s="31">
        <v>0</v>
      </c>
      <c r="BB449" s="31">
        <f>J449</f>
        <v>0</v>
      </c>
      <c r="BD449" s="20">
        <f>F449*AK449</f>
        <v>19432.587</v>
      </c>
      <c r="BE449" s="20">
        <f>F449*AL449</f>
        <v>0</v>
      </c>
      <c r="BF449" s="20">
        <f>F449*G449</f>
        <v>19432.587</v>
      </c>
    </row>
    <row r="450" spans="4:16" ht="12.75">
      <c r="D450" s="16" t="s">
        <v>601</v>
      </c>
      <c r="F450" s="38">
        <v>49.781</v>
      </c>
      <c r="H450" s="73"/>
      <c r="I450" s="61"/>
      <c r="J450" s="61"/>
      <c r="L450" s="38"/>
      <c r="N450" s="73"/>
      <c r="O450" s="61"/>
      <c r="P450" s="61"/>
    </row>
    <row r="451" spans="4:16" ht="12.75">
      <c r="D451" s="16" t="s">
        <v>602</v>
      </c>
      <c r="F451" s="38">
        <v>245.553</v>
      </c>
      <c r="H451" s="73"/>
      <c r="I451" s="61"/>
      <c r="J451" s="61"/>
      <c r="L451" s="38"/>
      <c r="N451" s="73"/>
      <c r="O451" s="61"/>
      <c r="P451" s="61"/>
    </row>
    <row r="452" spans="4:16" ht="12.75">
      <c r="D452" s="16" t="s">
        <v>603</v>
      </c>
      <c r="F452" s="38">
        <v>23.233</v>
      </c>
      <c r="H452" s="73"/>
      <c r="I452" s="61"/>
      <c r="J452" s="61"/>
      <c r="L452" s="38"/>
      <c r="N452" s="73"/>
      <c r="O452" s="61"/>
      <c r="P452" s="61"/>
    </row>
    <row r="453" spans="1:58" ht="12.75">
      <c r="A453" s="5" t="s">
        <v>149</v>
      </c>
      <c r="B453" s="5" t="s">
        <v>158</v>
      </c>
      <c r="C453" s="5" t="s">
        <v>183</v>
      </c>
      <c r="D453" s="5" t="s">
        <v>362</v>
      </c>
      <c r="E453" s="5" t="s">
        <v>631</v>
      </c>
      <c r="F453" s="37">
        <v>80.07</v>
      </c>
      <c r="G453" s="19">
        <v>20</v>
      </c>
      <c r="H453" s="19">
        <f>F453*G453</f>
        <v>1601.3999999999999</v>
      </c>
      <c r="I453" s="60">
        <v>0</v>
      </c>
      <c r="J453" s="60">
        <f>F453*I453</f>
        <v>0</v>
      </c>
      <c r="L453" s="94">
        <v>62</v>
      </c>
      <c r="M453" s="19">
        <v>20</v>
      </c>
      <c r="N453" s="19">
        <f>L453*M453</f>
        <v>1240</v>
      </c>
      <c r="O453" s="60">
        <v>0</v>
      </c>
      <c r="P453" s="60">
        <f>L453*O453</f>
        <v>0</v>
      </c>
      <c r="V453" s="31">
        <f>IF(AM453="5",BF453,0)</f>
        <v>0</v>
      </c>
      <c r="X453" s="31">
        <f>IF(AM453="1",BD453,0)</f>
        <v>0</v>
      </c>
      <c r="Y453" s="31">
        <f>IF(AM453="1",BE453,0)</f>
        <v>1601.3999999999999</v>
      </c>
      <c r="Z453" s="31">
        <f>IF(AM453="7",BD453,0)</f>
        <v>0</v>
      </c>
      <c r="AA453" s="31">
        <f>IF(AM453="7",BE453,0)</f>
        <v>0</v>
      </c>
      <c r="AB453" s="31">
        <f>IF(AM453="2",BD453,0)</f>
        <v>0</v>
      </c>
      <c r="AC453" s="31">
        <f>IF(AM453="2",BE453,0)</f>
        <v>0</v>
      </c>
      <c r="AD453" s="31">
        <f>IF(AM453="0",BF453,0)</f>
        <v>0</v>
      </c>
      <c r="AE453" s="26" t="s">
        <v>158</v>
      </c>
      <c r="AF453" s="19">
        <f>IF(AJ453=0,H453,0)</f>
        <v>0</v>
      </c>
      <c r="AG453" s="19">
        <f>IF(AJ453=15,H453,0)</f>
        <v>0</v>
      </c>
      <c r="AH453" s="19">
        <f>IF(AJ453=21,H453,0)</f>
        <v>1601.3999999999999</v>
      </c>
      <c r="AJ453" s="31">
        <v>21</v>
      </c>
      <c r="AK453" s="31">
        <f>G453*0</f>
        <v>0</v>
      </c>
      <c r="AL453" s="31">
        <f>G453*(1-0)</f>
        <v>20</v>
      </c>
      <c r="AM453" s="27" t="s">
        <v>7</v>
      </c>
      <c r="AR453" s="31">
        <f>AS453+AT453</f>
        <v>1601.3999999999999</v>
      </c>
      <c r="AS453" s="31">
        <f>F453*AK453</f>
        <v>0</v>
      </c>
      <c r="AT453" s="31">
        <f>F453*AL453</f>
        <v>1601.3999999999999</v>
      </c>
      <c r="AU453" s="32" t="s">
        <v>663</v>
      </c>
      <c r="AV453" s="32" t="s">
        <v>695</v>
      </c>
      <c r="AW453" s="26" t="s">
        <v>699</v>
      </c>
      <c r="AY453" s="31">
        <f>AS453+AT453</f>
        <v>1601.3999999999999</v>
      </c>
      <c r="AZ453" s="31">
        <f>G453/(100-BA453)*100</f>
        <v>20</v>
      </c>
      <c r="BA453" s="31">
        <v>0</v>
      </c>
      <c r="BB453" s="31">
        <f>J453</f>
        <v>0</v>
      </c>
      <c r="BD453" s="19">
        <f>F453*AK453</f>
        <v>0</v>
      </c>
      <c r="BE453" s="19">
        <f>F453*AL453</f>
        <v>1601.3999999999999</v>
      </c>
      <c r="BF453" s="19">
        <f>F453*G453</f>
        <v>1601.3999999999999</v>
      </c>
    </row>
    <row r="454" spans="4:16" ht="12.75">
      <c r="D454" s="16" t="s">
        <v>604</v>
      </c>
      <c r="F454" s="38">
        <v>80.07</v>
      </c>
      <c r="H454" s="73"/>
      <c r="I454" s="61"/>
      <c r="J454" s="61"/>
      <c r="L454" s="38"/>
      <c r="N454" s="73"/>
      <c r="O454" s="61"/>
      <c r="P454" s="61"/>
    </row>
    <row r="455" spans="1:16" ht="12.75">
      <c r="A455" s="63" t="s">
        <v>719</v>
      </c>
      <c r="D455" s="96" t="s">
        <v>720</v>
      </c>
      <c r="E455" s="63" t="s">
        <v>631</v>
      </c>
      <c r="F455" s="38"/>
      <c r="I455" s="61"/>
      <c r="J455" s="61"/>
      <c r="L455" s="97">
        <v>68</v>
      </c>
      <c r="M455" s="19">
        <v>46</v>
      </c>
      <c r="N455" s="19">
        <f>L455*M455</f>
        <v>3128</v>
      </c>
      <c r="O455" s="60">
        <v>0.0004</v>
      </c>
      <c r="P455" s="60">
        <f>L455*O455</f>
        <v>0.027200000000000002</v>
      </c>
    </row>
    <row r="456" spans="1:58" ht="12.75">
      <c r="A456" s="6" t="s">
        <v>150</v>
      </c>
      <c r="B456" s="6" t="s">
        <v>158</v>
      </c>
      <c r="C456" s="6" t="s">
        <v>184</v>
      </c>
      <c r="D456" s="6" t="s">
        <v>364</v>
      </c>
      <c r="E456" s="6" t="s">
        <v>631</v>
      </c>
      <c r="F456" s="39">
        <v>88.077</v>
      </c>
      <c r="G456" s="20">
        <v>158</v>
      </c>
      <c r="H456" s="20">
        <f>F456*G456</f>
        <v>13916.166</v>
      </c>
      <c r="I456" s="62">
        <v>0</v>
      </c>
      <c r="J456" s="62">
        <f>F456*I456</f>
        <v>0</v>
      </c>
      <c r="L456" s="94">
        <v>0</v>
      </c>
      <c r="M456" s="19">
        <v>158</v>
      </c>
      <c r="N456" s="20">
        <f>L456*M456</f>
        <v>0</v>
      </c>
      <c r="O456" s="60">
        <v>0</v>
      </c>
      <c r="P456" s="62">
        <f>L456*O456</f>
        <v>0</v>
      </c>
      <c r="V456" s="31">
        <f>IF(AM456="5",BF456,0)</f>
        <v>0</v>
      </c>
      <c r="X456" s="31">
        <f>IF(AM456="1",BD456,0)</f>
        <v>13916.166</v>
      </c>
      <c r="Y456" s="31">
        <f>IF(AM456="1",BE456,0)</f>
        <v>0</v>
      </c>
      <c r="Z456" s="31">
        <f>IF(AM456="7",BD456,0)</f>
        <v>0</v>
      </c>
      <c r="AA456" s="31">
        <f>IF(AM456="7",BE456,0)</f>
        <v>0</v>
      </c>
      <c r="AB456" s="31">
        <f>IF(AM456="2",BD456,0)</f>
        <v>0</v>
      </c>
      <c r="AC456" s="31">
        <f>IF(AM456="2",BE456,0)</f>
        <v>0</v>
      </c>
      <c r="AD456" s="31">
        <f>IF(AM456="0",BF456,0)</f>
        <v>0</v>
      </c>
      <c r="AE456" s="26" t="s">
        <v>158</v>
      </c>
      <c r="AF456" s="20">
        <f>IF(AJ456=0,H456,0)</f>
        <v>0</v>
      </c>
      <c r="AG456" s="20">
        <f>IF(AJ456=15,H456,0)</f>
        <v>0</v>
      </c>
      <c r="AH456" s="20">
        <f>IF(AJ456=21,H456,0)</f>
        <v>13916.166</v>
      </c>
      <c r="AJ456" s="31">
        <v>21</v>
      </c>
      <c r="AK456" s="31">
        <f>G456*1</f>
        <v>158</v>
      </c>
      <c r="AL456" s="31">
        <f>G456*(1-1)</f>
        <v>0</v>
      </c>
      <c r="AM456" s="28" t="s">
        <v>7</v>
      </c>
      <c r="AR456" s="31">
        <f>AS456+AT456</f>
        <v>13916.166</v>
      </c>
      <c r="AS456" s="31">
        <f>F456*AK456</f>
        <v>13916.166</v>
      </c>
      <c r="AT456" s="31">
        <f>F456*AL456</f>
        <v>0</v>
      </c>
      <c r="AU456" s="32" t="s">
        <v>663</v>
      </c>
      <c r="AV456" s="32" t="s">
        <v>695</v>
      </c>
      <c r="AW456" s="26" t="s">
        <v>699</v>
      </c>
      <c r="AY456" s="31">
        <f>AS456+AT456</f>
        <v>13916.166</v>
      </c>
      <c r="AZ456" s="31">
        <f>G456/(100-BA456)*100</f>
        <v>158</v>
      </c>
      <c r="BA456" s="31">
        <v>0</v>
      </c>
      <c r="BB456" s="31">
        <f>J456</f>
        <v>0</v>
      </c>
      <c r="BD456" s="20">
        <f>F456*AK456</f>
        <v>13916.166</v>
      </c>
      <c r="BE456" s="20">
        <f>F456*AL456</f>
        <v>0</v>
      </c>
      <c r="BF456" s="20">
        <f>F456*G456</f>
        <v>13916.166</v>
      </c>
    </row>
    <row r="457" spans="4:16" ht="12.75">
      <c r="D457" s="16" t="s">
        <v>605</v>
      </c>
      <c r="F457" s="38">
        <v>88.077</v>
      </c>
      <c r="I457" s="61"/>
      <c r="J457" s="61"/>
      <c r="L457" s="38"/>
      <c r="M457" s="19"/>
      <c r="O457" s="60"/>
      <c r="P457" s="61"/>
    </row>
    <row r="458" spans="1:16" ht="12.75">
      <c r="A458" s="63" t="s">
        <v>715</v>
      </c>
      <c r="D458" s="96" t="s">
        <v>717</v>
      </c>
      <c r="E458" s="95" t="s">
        <v>631</v>
      </c>
      <c r="F458" s="37"/>
      <c r="G458" s="19"/>
      <c r="H458" s="19"/>
      <c r="I458" s="60"/>
      <c r="J458" s="60"/>
      <c r="L458" s="97">
        <v>26.5</v>
      </c>
      <c r="M458" s="19">
        <v>29</v>
      </c>
      <c r="N458" s="19">
        <f>L458*M458</f>
        <v>768.5</v>
      </c>
      <c r="O458" s="60">
        <v>0</v>
      </c>
      <c r="P458" s="60">
        <f>L458*O458</f>
        <v>0</v>
      </c>
    </row>
    <row r="459" spans="1:16" ht="12.75">
      <c r="A459" s="63" t="s">
        <v>716</v>
      </c>
      <c r="D459" s="96" t="s">
        <v>718</v>
      </c>
      <c r="E459" s="63" t="s">
        <v>631</v>
      </c>
      <c r="F459" s="38"/>
      <c r="I459" s="61"/>
      <c r="J459" s="61"/>
      <c r="L459" s="97">
        <v>29</v>
      </c>
      <c r="M459" s="19">
        <v>167</v>
      </c>
      <c r="N459" s="19">
        <f>L459*M459</f>
        <v>4843</v>
      </c>
      <c r="O459" s="60">
        <v>0.0012</v>
      </c>
      <c r="P459" s="60">
        <f>L459*O459</f>
        <v>0.0348</v>
      </c>
    </row>
    <row r="460" spans="1:43" ht="12.75">
      <c r="A460" s="4"/>
      <c r="B460" s="13" t="s">
        <v>158</v>
      </c>
      <c r="C460" s="13" t="s">
        <v>33</v>
      </c>
      <c r="D460" s="13" t="s">
        <v>366</v>
      </c>
      <c r="E460" s="4" t="s">
        <v>6</v>
      </c>
      <c r="F460" s="4" t="s">
        <v>6</v>
      </c>
      <c r="G460" s="4"/>
      <c r="H460" s="34">
        <f>SUM(H461:H461)</f>
        <v>43080.27</v>
      </c>
      <c r="I460" s="54"/>
      <c r="J460" s="54">
        <f>SUM(J461:J461)</f>
        <v>66.94488</v>
      </c>
      <c r="L460" s="4" t="s">
        <v>6</v>
      </c>
      <c r="M460" s="4"/>
      <c r="N460" s="34">
        <f>SUM(N461:N465)</f>
        <v>64414.3104</v>
      </c>
      <c r="O460" s="54"/>
      <c r="P460" s="54">
        <f>SUM(P462:P465)</f>
        <v>25.0736996</v>
      </c>
      <c r="AE460" s="26" t="s">
        <v>158</v>
      </c>
      <c r="AO460" s="34">
        <f>SUM(AF461:AF461)</f>
        <v>0</v>
      </c>
      <c r="AP460" s="34">
        <f>SUM(AG461:AG461)</f>
        <v>0</v>
      </c>
      <c r="AQ460" s="34">
        <f>SUM(AH461:AH461)</f>
        <v>43080.27</v>
      </c>
    </row>
    <row r="461" spans="1:58" ht="12.75">
      <c r="A461" s="5" t="s">
        <v>151</v>
      </c>
      <c r="B461" s="5" t="s">
        <v>158</v>
      </c>
      <c r="C461" s="5" t="s">
        <v>294</v>
      </c>
      <c r="D461" s="5" t="s">
        <v>606</v>
      </c>
      <c r="E461" s="5" t="s">
        <v>629</v>
      </c>
      <c r="F461" s="37">
        <v>30.993</v>
      </c>
      <c r="G461" s="19">
        <v>1390</v>
      </c>
      <c r="H461" s="19">
        <f>F461*G461</f>
        <v>43080.27</v>
      </c>
      <c r="I461" s="60">
        <v>2.16</v>
      </c>
      <c r="J461" s="60">
        <f>F461*I461</f>
        <v>66.94488</v>
      </c>
      <c r="L461" s="94">
        <v>25.3</v>
      </c>
      <c r="M461" s="19">
        <v>1390</v>
      </c>
      <c r="N461" s="19">
        <f>L461*M461</f>
        <v>35167</v>
      </c>
      <c r="O461" s="60">
        <v>2.16</v>
      </c>
      <c r="P461" s="60">
        <f>L461*O461</f>
        <v>54.648</v>
      </c>
      <c r="V461" s="31">
        <f>IF(AM461="5",BF461,0)</f>
        <v>0</v>
      </c>
      <c r="X461" s="31">
        <f>IF(AM461="1",BD461,0)</f>
        <v>28034.741793153164</v>
      </c>
      <c r="Y461" s="31">
        <f>IF(AM461="1",BE461,0)</f>
        <v>15045.528206846833</v>
      </c>
      <c r="Z461" s="31">
        <f>IF(AM461="7",BD461,0)</f>
        <v>0</v>
      </c>
      <c r="AA461" s="31">
        <f>IF(AM461="7",BE461,0)</f>
        <v>0</v>
      </c>
      <c r="AB461" s="31">
        <f>IF(AM461="2",BD461,0)</f>
        <v>0</v>
      </c>
      <c r="AC461" s="31">
        <f>IF(AM461="2",BE461,0)</f>
        <v>0</v>
      </c>
      <c r="AD461" s="31">
        <f>IF(AM461="0",BF461,0)</f>
        <v>0</v>
      </c>
      <c r="AE461" s="26" t="s">
        <v>158</v>
      </c>
      <c r="AF461" s="19">
        <f>IF(AJ461=0,H461,0)</f>
        <v>0</v>
      </c>
      <c r="AG461" s="19">
        <f>IF(AJ461=15,H461,0)</f>
        <v>0</v>
      </c>
      <c r="AH461" s="19">
        <f>IF(AJ461=21,H461,0)</f>
        <v>43080.27</v>
      </c>
      <c r="AJ461" s="31">
        <v>21</v>
      </c>
      <c r="AK461" s="31">
        <f>G461*0.650755944499725</f>
        <v>904.5507628546177</v>
      </c>
      <c r="AL461" s="31">
        <f>G461*(1-0.650755944499725)</f>
        <v>485.4492371453823</v>
      </c>
      <c r="AM461" s="27" t="s">
        <v>7</v>
      </c>
      <c r="AR461" s="31">
        <f>AS461+AT461</f>
        <v>43080.27</v>
      </c>
      <c r="AS461" s="31">
        <f>F461*AK461</f>
        <v>28034.741793153164</v>
      </c>
      <c r="AT461" s="31">
        <f>F461*AL461</f>
        <v>15045.528206846833</v>
      </c>
      <c r="AU461" s="32" t="s">
        <v>664</v>
      </c>
      <c r="AV461" s="32" t="s">
        <v>695</v>
      </c>
      <c r="AW461" s="26" t="s">
        <v>699</v>
      </c>
      <c r="AY461" s="31">
        <f>AS461+AT461</f>
        <v>43080.27</v>
      </c>
      <c r="AZ461" s="31">
        <f>G461/(100-BA461)*100</f>
        <v>1390</v>
      </c>
      <c r="BA461" s="31">
        <v>0</v>
      </c>
      <c r="BB461" s="31">
        <f>J461</f>
        <v>66.94488</v>
      </c>
      <c r="BD461" s="19">
        <f>F461*AK461</f>
        <v>28034.741793153164</v>
      </c>
      <c r="BE461" s="19">
        <f>F461*AL461</f>
        <v>15045.528206846833</v>
      </c>
      <c r="BF461" s="19">
        <f>F461*G461</f>
        <v>43080.27</v>
      </c>
    </row>
    <row r="462" spans="4:16" ht="12.75">
      <c r="D462" s="16" t="s">
        <v>607</v>
      </c>
      <c r="F462" s="38">
        <v>27.046</v>
      </c>
      <c r="I462" s="61"/>
      <c r="J462" s="61"/>
      <c r="L462" s="38"/>
      <c r="O462" s="61"/>
      <c r="P462" s="61"/>
    </row>
    <row r="463" spans="4:16" ht="12.75">
      <c r="D463" s="16" t="s">
        <v>608</v>
      </c>
      <c r="F463" s="38">
        <v>3.947</v>
      </c>
      <c r="I463" s="61"/>
      <c r="J463" s="61"/>
      <c r="L463" s="38"/>
      <c r="O463" s="61"/>
      <c r="P463" s="61"/>
    </row>
    <row r="464" spans="1:16" ht="12.75">
      <c r="A464" s="63" t="s">
        <v>723</v>
      </c>
      <c r="C464" t="s">
        <v>186</v>
      </c>
      <c r="D464" s="96" t="s">
        <v>370</v>
      </c>
      <c r="E464" s="95" t="s">
        <v>629</v>
      </c>
      <c r="F464" s="37"/>
      <c r="G464" s="19"/>
      <c r="H464" s="19"/>
      <c r="I464" s="60"/>
      <c r="J464" s="60"/>
      <c r="L464" s="97">
        <v>9.85</v>
      </c>
      <c r="M464" s="19">
        <v>2790</v>
      </c>
      <c r="N464" s="19">
        <f>L464*M464</f>
        <v>27481.5</v>
      </c>
      <c r="O464" s="60">
        <v>2.525</v>
      </c>
      <c r="P464" s="60">
        <f>L464*O464</f>
        <v>24.87125</v>
      </c>
    </row>
    <row r="465" spans="1:16" ht="12.75">
      <c r="A465" t="s">
        <v>868</v>
      </c>
      <c r="D465" s="96" t="s">
        <v>869</v>
      </c>
      <c r="E465" s="5" t="s">
        <v>630</v>
      </c>
      <c r="F465" s="37"/>
      <c r="G465" s="19"/>
      <c r="H465" s="19"/>
      <c r="I465" s="60"/>
      <c r="J465" s="60"/>
      <c r="L465" s="97">
        <v>22.4944</v>
      </c>
      <c r="M465" s="19">
        <v>78.5</v>
      </c>
      <c r="N465" s="19">
        <f>L465*M465</f>
        <v>1765.8103999999998</v>
      </c>
      <c r="O465" s="60">
        <v>0.009</v>
      </c>
      <c r="P465" s="60">
        <f>L465*O465</f>
        <v>0.20244959999999998</v>
      </c>
    </row>
    <row r="466" spans="1:43" ht="12.75">
      <c r="A466" s="4"/>
      <c r="B466" s="13" t="s">
        <v>158</v>
      </c>
      <c r="C466" s="13" t="s">
        <v>38</v>
      </c>
      <c r="D466" s="13" t="s">
        <v>609</v>
      </c>
      <c r="E466" s="4" t="s">
        <v>6</v>
      </c>
      <c r="F466" s="4" t="s">
        <v>6</v>
      </c>
      <c r="G466" s="4"/>
      <c r="H466" s="34">
        <f>SUM(H467:H467)</f>
        <v>1560390.45</v>
      </c>
      <c r="I466" s="54"/>
      <c r="J466" s="54">
        <f>SUM(J467:J467)</f>
        <v>563.3880440099999</v>
      </c>
      <c r="L466" s="4" t="s">
        <v>6</v>
      </c>
      <c r="M466" s="4"/>
      <c r="N466" s="34">
        <f>SUM(N467:N476)</f>
        <v>129991.68</v>
      </c>
      <c r="O466" s="54"/>
      <c r="P466" s="54">
        <f>SUM(P467:P476)</f>
        <v>25.2</v>
      </c>
      <c r="AE466" s="26" t="s">
        <v>158</v>
      </c>
      <c r="AO466" s="34">
        <f>SUM(AF467:AF467)</f>
        <v>0</v>
      </c>
      <c r="AP466" s="34">
        <f>SUM(AG467:AG467)</f>
        <v>0</v>
      </c>
      <c r="AQ466" s="34">
        <f>SUM(AH467:AH467)</f>
        <v>1560390.45</v>
      </c>
    </row>
    <row r="467" spans="1:58" ht="12.75">
      <c r="A467" s="5" t="s">
        <v>152</v>
      </c>
      <c r="B467" s="5" t="s">
        <v>158</v>
      </c>
      <c r="C467" s="5" t="s">
        <v>295</v>
      </c>
      <c r="D467" s="5" t="s">
        <v>610</v>
      </c>
      <c r="E467" s="5" t="s">
        <v>629</v>
      </c>
      <c r="F467" s="37">
        <v>241.921</v>
      </c>
      <c r="G467" s="19">
        <v>6450</v>
      </c>
      <c r="H467" s="19">
        <f>F467*G467</f>
        <v>1560390.45</v>
      </c>
      <c r="I467" s="60">
        <v>2.32881</v>
      </c>
      <c r="J467" s="60">
        <f>F467*I467</f>
        <v>563.3880440099999</v>
      </c>
      <c r="L467" s="94">
        <v>0</v>
      </c>
      <c r="M467" s="19">
        <v>6450</v>
      </c>
      <c r="N467" s="19">
        <f>L467*M467</f>
        <v>0</v>
      </c>
      <c r="O467" s="60">
        <v>2.32881</v>
      </c>
      <c r="P467" s="60">
        <f>L467*O467</f>
        <v>0</v>
      </c>
      <c r="V467" s="31">
        <f>IF(AM467="5",BF467,0)</f>
        <v>0</v>
      </c>
      <c r="X467" s="31">
        <f>IF(AM467="1",BD467,0)</f>
        <v>1281897.389929044</v>
      </c>
      <c r="Y467" s="31">
        <f>IF(AM467="1",BE467,0)</f>
        <v>278493.06007095583</v>
      </c>
      <c r="Z467" s="31">
        <f>IF(AM467="7",BD467,0)</f>
        <v>0</v>
      </c>
      <c r="AA467" s="31">
        <f>IF(AM467="7",BE467,0)</f>
        <v>0</v>
      </c>
      <c r="AB467" s="31">
        <f>IF(AM467="2",BD467,0)</f>
        <v>0</v>
      </c>
      <c r="AC467" s="31">
        <f>IF(AM467="2",BE467,0)</f>
        <v>0</v>
      </c>
      <c r="AD467" s="31">
        <f>IF(AM467="0",BF467,0)</f>
        <v>0</v>
      </c>
      <c r="AE467" s="26" t="s">
        <v>158</v>
      </c>
      <c r="AF467" s="19">
        <f>IF(AJ467=0,H467,0)</f>
        <v>0</v>
      </c>
      <c r="AG467" s="19">
        <f>IF(AJ467=15,H467,0)</f>
        <v>0</v>
      </c>
      <c r="AH467" s="19">
        <f>IF(AJ467=21,H467,0)</f>
        <v>1560390.45</v>
      </c>
      <c r="AJ467" s="31">
        <v>21</v>
      </c>
      <c r="AK467" s="31">
        <f>G467*0.82152347826087</f>
        <v>5298.826434782612</v>
      </c>
      <c r="AL467" s="31">
        <f>G467*(1-0.82152347826087)</f>
        <v>1151.1735652173884</v>
      </c>
      <c r="AM467" s="27" t="s">
        <v>7</v>
      </c>
      <c r="AR467" s="31">
        <f>AS467+AT467</f>
        <v>1560390.45</v>
      </c>
      <c r="AS467" s="31">
        <f>F467*AK467</f>
        <v>1281897.389929044</v>
      </c>
      <c r="AT467" s="31">
        <f>F467*AL467</f>
        <v>278493.06007095583</v>
      </c>
      <c r="AU467" s="32" t="s">
        <v>683</v>
      </c>
      <c r="AV467" s="32" t="s">
        <v>696</v>
      </c>
      <c r="AW467" s="26" t="s">
        <v>699</v>
      </c>
      <c r="AY467" s="31">
        <f>AS467+AT467</f>
        <v>1560390.45</v>
      </c>
      <c r="AZ467" s="31">
        <f>G467/(100-BA467)*100</f>
        <v>6450</v>
      </c>
      <c r="BA467" s="31">
        <v>0</v>
      </c>
      <c r="BB467" s="31">
        <f>J467</f>
        <v>563.3880440099999</v>
      </c>
      <c r="BD467" s="19">
        <f>F467*AK467</f>
        <v>1281897.389929044</v>
      </c>
      <c r="BE467" s="19">
        <f>F467*AL467</f>
        <v>278493.06007095583</v>
      </c>
      <c r="BF467" s="19">
        <f>F467*G467</f>
        <v>1560390.45</v>
      </c>
    </row>
    <row r="468" spans="4:16" ht="12.75">
      <c r="D468" s="16" t="s">
        <v>611</v>
      </c>
      <c r="F468" s="38">
        <v>41.25</v>
      </c>
      <c r="I468" s="61"/>
      <c r="J468" s="61"/>
      <c r="L468" s="38"/>
      <c r="O468" s="61"/>
      <c r="P468" s="61"/>
    </row>
    <row r="469" spans="4:16" ht="12.75">
      <c r="D469" s="16" t="s">
        <v>612</v>
      </c>
      <c r="F469" s="38">
        <v>53.438</v>
      </c>
      <c r="I469" s="61"/>
      <c r="J469" s="61"/>
      <c r="L469" s="38"/>
      <c r="O469" s="61"/>
      <c r="P469" s="61"/>
    </row>
    <row r="470" spans="4:16" ht="12.75">
      <c r="D470" s="16" t="s">
        <v>613</v>
      </c>
      <c r="F470" s="38">
        <v>37.125</v>
      </c>
      <c r="I470" s="61"/>
      <c r="J470" s="61"/>
      <c r="L470" s="38"/>
      <c r="O470" s="61"/>
      <c r="P470" s="61"/>
    </row>
    <row r="471" spans="4:16" ht="12.75">
      <c r="D471" s="16" t="s">
        <v>614</v>
      </c>
      <c r="F471" s="38">
        <v>30.938</v>
      </c>
      <c r="I471" s="61"/>
      <c r="J471" s="61"/>
      <c r="L471" s="38"/>
      <c r="O471" s="61"/>
      <c r="P471" s="61"/>
    </row>
    <row r="472" spans="4:16" ht="12.75">
      <c r="D472" s="16" t="s">
        <v>615</v>
      </c>
      <c r="F472" s="38">
        <v>54.863</v>
      </c>
      <c r="I472" s="61"/>
      <c r="J472" s="61"/>
      <c r="L472" s="38"/>
      <c r="O472" s="61"/>
      <c r="P472" s="61"/>
    </row>
    <row r="473" spans="4:16" ht="12.75">
      <c r="D473" s="16" t="s">
        <v>616</v>
      </c>
      <c r="F473" s="38">
        <v>14.661</v>
      </c>
      <c r="I473" s="61"/>
      <c r="J473" s="61"/>
      <c r="L473" s="38"/>
      <c r="O473" s="61"/>
      <c r="P473" s="61"/>
    </row>
    <row r="474" spans="4:16" ht="12.75">
      <c r="D474" s="16" t="s">
        <v>617</v>
      </c>
      <c r="F474" s="38">
        <v>6.294</v>
      </c>
      <c r="I474" s="61"/>
      <c r="J474" s="61"/>
      <c r="L474" s="38"/>
      <c r="O474" s="61"/>
      <c r="P474" s="61"/>
    </row>
    <row r="475" spans="4:16" ht="12.75">
      <c r="D475" s="16" t="s">
        <v>618</v>
      </c>
      <c r="F475" s="38">
        <v>3.352</v>
      </c>
      <c r="I475" s="61"/>
      <c r="J475" s="61"/>
      <c r="L475" s="38"/>
      <c r="O475" s="61"/>
      <c r="P475" s="61"/>
    </row>
    <row r="476" spans="1:16" ht="12.75">
      <c r="A476" s="63" t="s">
        <v>724</v>
      </c>
      <c r="D476" s="96" t="s">
        <v>871</v>
      </c>
      <c r="E476" s="95" t="s">
        <v>630</v>
      </c>
      <c r="F476" s="37"/>
      <c r="G476" s="19"/>
      <c r="H476" s="19"/>
      <c r="I476" s="60"/>
      <c r="J476" s="60"/>
      <c r="L476" s="97">
        <v>13.44</v>
      </c>
      <c r="M476" s="19">
        <v>9672</v>
      </c>
      <c r="N476" s="19">
        <f>L476*M476</f>
        <v>129991.68</v>
      </c>
      <c r="O476" s="60">
        <v>1.875</v>
      </c>
      <c r="P476" s="60">
        <f>L476*O476</f>
        <v>25.2</v>
      </c>
    </row>
    <row r="477" spans="1:43" ht="12.75">
      <c r="A477" s="4"/>
      <c r="B477" s="13" t="s">
        <v>158</v>
      </c>
      <c r="C477" s="13" t="s">
        <v>100</v>
      </c>
      <c r="D477" s="13" t="s">
        <v>470</v>
      </c>
      <c r="E477" s="4" t="s">
        <v>6</v>
      </c>
      <c r="F477" s="4" t="s">
        <v>6</v>
      </c>
      <c r="G477" s="4"/>
      <c r="H477" s="34">
        <f>SUM(H478:H478)</f>
        <v>2602.2749999999996</v>
      </c>
      <c r="I477" s="54"/>
      <c r="J477" s="54">
        <f>SUM(J478:J478)</f>
        <v>0.7358433</v>
      </c>
      <c r="L477" s="4" t="s">
        <v>6</v>
      </c>
      <c r="M477" s="4"/>
      <c r="N477" s="34">
        <f>SUM(N478:N478)</f>
        <v>975</v>
      </c>
      <c r="O477" s="54"/>
      <c r="P477" s="54">
        <f>SUM(P478:P478)</f>
        <v>0.2757</v>
      </c>
      <c r="AE477" s="26" t="s">
        <v>158</v>
      </c>
      <c r="AO477" s="34">
        <f>SUM(AF478:AF478)</f>
        <v>0</v>
      </c>
      <c r="AP477" s="34">
        <f>SUM(AG478:AG478)</f>
        <v>0</v>
      </c>
      <c r="AQ477" s="34">
        <f>SUM(AH478:AH478)</f>
        <v>2602.2749999999996</v>
      </c>
    </row>
    <row r="478" spans="1:58" ht="12.75">
      <c r="A478" s="5" t="s">
        <v>153</v>
      </c>
      <c r="B478" s="5" t="s">
        <v>158</v>
      </c>
      <c r="C478" s="5" t="s">
        <v>235</v>
      </c>
      <c r="D478" s="5" t="s">
        <v>471</v>
      </c>
      <c r="E478" s="5" t="s">
        <v>630</v>
      </c>
      <c r="F478" s="37">
        <v>40.035</v>
      </c>
      <c r="G478" s="19">
        <v>65</v>
      </c>
      <c r="H478" s="19">
        <f>F478*G478</f>
        <v>2602.2749999999996</v>
      </c>
      <c r="I478" s="60">
        <v>0.01838</v>
      </c>
      <c r="J478" s="60">
        <f>F478*I478</f>
        <v>0.7358433</v>
      </c>
      <c r="L478" s="94">
        <v>15</v>
      </c>
      <c r="M478" s="19">
        <v>65</v>
      </c>
      <c r="N478" s="19">
        <f>L478*M478</f>
        <v>975</v>
      </c>
      <c r="O478" s="60">
        <v>0.01838</v>
      </c>
      <c r="P478" s="60">
        <f>L478*O478</f>
        <v>0.2757</v>
      </c>
      <c r="V478" s="31">
        <f>IF(AM478="5",BF478,0)</f>
        <v>0</v>
      </c>
      <c r="X478" s="31">
        <f>IF(AM478="1",BD478,0)</f>
        <v>1.1634606022111789</v>
      </c>
      <c r="Y478" s="31">
        <f>IF(AM478="1",BE478,0)</f>
        <v>2601.1115393977884</v>
      </c>
      <c r="Z478" s="31">
        <f>IF(AM478="7",BD478,0)</f>
        <v>0</v>
      </c>
      <c r="AA478" s="31">
        <f>IF(AM478="7",BE478,0)</f>
        <v>0</v>
      </c>
      <c r="AB478" s="31">
        <f>IF(AM478="2",BD478,0)</f>
        <v>0</v>
      </c>
      <c r="AC478" s="31">
        <f>IF(AM478="2",BE478,0)</f>
        <v>0</v>
      </c>
      <c r="AD478" s="31">
        <f>IF(AM478="0",BF478,0)</f>
        <v>0</v>
      </c>
      <c r="AE478" s="26" t="s">
        <v>158</v>
      </c>
      <c r="AF478" s="19">
        <f>IF(AJ478=0,H478,0)</f>
        <v>0</v>
      </c>
      <c r="AG478" s="19">
        <f>IF(AJ478=15,H478,0)</f>
        <v>0</v>
      </c>
      <c r="AH478" s="19">
        <f>IF(AJ478=21,H478,0)</f>
        <v>2602.2749999999996</v>
      </c>
      <c r="AJ478" s="31">
        <v>21</v>
      </c>
      <c r="AK478" s="31">
        <f>G478*0.000447093640069239</f>
        <v>0.029061086604500536</v>
      </c>
      <c r="AL478" s="31">
        <f>G478*(1-0.000447093640069239)</f>
        <v>64.9709389133955</v>
      </c>
      <c r="AM478" s="27" t="s">
        <v>7</v>
      </c>
      <c r="AR478" s="31">
        <f>AS478+AT478</f>
        <v>2602.2749999999996</v>
      </c>
      <c r="AS478" s="31">
        <f>F478*AK478</f>
        <v>1.1634606022111789</v>
      </c>
      <c r="AT478" s="31">
        <f>F478*AL478</f>
        <v>2601.1115393977884</v>
      </c>
      <c r="AU478" s="32" t="s">
        <v>671</v>
      </c>
      <c r="AV478" s="32" t="s">
        <v>697</v>
      </c>
      <c r="AW478" s="26" t="s">
        <v>699</v>
      </c>
      <c r="AY478" s="31">
        <f>AS478+AT478</f>
        <v>2602.2749999999996</v>
      </c>
      <c r="AZ478" s="31">
        <f>G478/(100-BA478)*100</f>
        <v>65</v>
      </c>
      <c r="BA478" s="31">
        <v>0</v>
      </c>
      <c r="BB478" s="31">
        <f>J478</f>
        <v>0.7358433</v>
      </c>
      <c r="BD478" s="19">
        <f>F478*AK478</f>
        <v>1.1634606022111789</v>
      </c>
      <c r="BE478" s="19">
        <f>F478*AL478</f>
        <v>2601.1115393977884</v>
      </c>
      <c r="BF478" s="19">
        <f>F478*G478</f>
        <v>2602.2749999999996</v>
      </c>
    </row>
    <row r="479" spans="4:16" ht="12.75">
      <c r="D479" s="16" t="s">
        <v>619</v>
      </c>
      <c r="F479" s="38">
        <v>40.035</v>
      </c>
      <c r="I479" s="61"/>
      <c r="J479" s="61"/>
      <c r="L479" s="38"/>
      <c r="O479" s="61"/>
      <c r="P479" s="61"/>
    </row>
    <row r="480" spans="1:43" ht="12.75">
      <c r="A480" s="4"/>
      <c r="B480" s="13" t="s">
        <v>158</v>
      </c>
      <c r="C480" s="13" t="s">
        <v>101</v>
      </c>
      <c r="D480" s="13" t="s">
        <v>483</v>
      </c>
      <c r="E480" s="4" t="s">
        <v>6</v>
      </c>
      <c r="F480" s="4" t="s">
        <v>6</v>
      </c>
      <c r="G480" s="4"/>
      <c r="H480" s="34">
        <f>SUM(H481:H481)</f>
        <v>6966.09</v>
      </c>
      <c r="I480" s="54"/>
      <c r="J480" s="54">
        <f>SUM(J481:J481)</f>
        <v>0.009608400000000001</v>
      </c>
      <c r="L480" s="4" t="s">
        <v>6</v>
      </c>
      <c r="M480" s="4"/>
      <c r="N480" s="34">
        <f>SUM(N481:N481)</f>
        <v>0</v>
      </c>
      <c r="O480" s="54"/>
      <c r="P480" s="54">
        <f>SUM(P481:P481)</f>
        <v>0</v>
      </c>
      <c r="AE480" s="26" t="s">
        <v>158</v>
      </c>
      <c r="AO480" s="34">
        <f>SUM(AF481:AF481)</f>
        <v>0</v>
      </c>
      <c r="AP480" s="34">
        <f>SUM(AG481:AG481)</f>
        <v>0</v>
      </c>
      <c r="AQ480" s="34">
        <f>SUM(AH481:AH481)</f>
        <v>6966.09</v>
      </c>
    </row>
    <row r="481" spans="1:58" ht="12.75">
      <c r="A481" s="5" t="s">
        <v>154</v>
      </c>
      <c r="B481" s="5" t="s">
        <v>158</v>
      </c>
      <c r="C481" s="5" t="s">
        <v>243</v>
      </c>
      <c r="D481" s="5" t="s">
        <v>484</v>
      </c>
      <c r="E481" s="5" t="s">
        <v>630</v>
      </c>
      <c r="F481" s="37">
        <v>240.21</v>
      </c>
      <c r="G481" s="19">
        <v>29</v>
      </c>
      <c r="H481" s="19">
        <f>F481*G481</f>
        <v>6966.09</v>
      </c>
      <c r="I481" s="60">
        <v>4E-05</v>
      </c>
      <c r="J481" s="60">
        <f>F481*I481</f>
        <v>0.009608400000000001</v>
      </c>
      <c r="L481" s="94">
        <v>0</v>
      </c>
      <c r="M481" s="19">
        <v>29</v>
      </c>
      <c r="N481" s="19">
        <f>L481*M481</f>
        <v>0</v>
      </c>
      <c r="O481" s="60">
        <v>4E-05</v>
      </c>
      <c r="P481" s="60">
        <f>L481*O481</f>
        <v>0</v>
      </c>
      <c r="V481" s="31">
        <f>IF(AM481="5",BF481,0)</f>
        <v>0</v>
      </c>
      <c r="X481" s="31">
        <f>IF(AM481="1",BD481,0)</f>
        <v>86.24681302824426</v>
      </c>
      <c r="Y481" s="31">
        <f>IF(AM481="1",BE481,0)</f>
        <v>6879.843186971755</v>
      </c>
      <c r="Z481" s="31">
        <f>IF(AM481="7",BD481,0)</f>
        <v>0</v>
      </c>
      <c r="AA481" s="31">
        <f>IF(AM481="7",BE481,0)</f>
        <v>0</v>
      </c>
      <c r="AB481" s="31">
        <f>IF(AM481="2",BD481,0)</f>
        <v>0</v>
      </c>
      <c r="AC481" s="31">
        <f>IF(AM481="2",BE481,0)</f>
        <v>0</v>
      </c>
      <c r="AD481" s="31">
        <f>IF(AM481="0",BF481,0)</f>
        <v>0</v>
      </c>
      <c r="AE481" s="26" t="s">
        <v>158</v>
      </c>
      <c r="AF481" s="19">
        <f>IF(AJ481=0,H481,0)</f>
        <v>0</v>
      </c>
      <c r="AG481" s="19">
        <f>IF(AJ481=15,H481,0)</f>
        <v>0</v>
      </c>
      <c r="AH481" s="19">
        <f>IF(AJ481=21,H481,0)</f>
        <v>6966.09</v>
      </c>
      <c r="AJ481" s="31">
        <v>21</v>
      </c>
      <c r="AK481" s="31">
        <f>G481*0.0123809501496886</f>
        <v>0.3590475543409694</v>
      </c>
      <c r="AL481" s="31">
        <f>G481*(1-0.0123809501496886)</f>
        <v>28.64095244565903</v>
      </c>
      <c r="AM481" s="27" t="s">
        <v>7</v>
      </c>
      <c r="AR481" s="31">
        <f>AS481+AT481</f>
        <v>6966.089999999999</v>
      </c>
      <c r="AS481" s="31">
        <f>F481*AK481</f>
        <v>86.24681302824426</v>
      </c>
      <c r="AT481" s="31">
        <f>F481*AL481</f>
        <v>6879.843186971755</v>
      </c>
      <c r="AU481" s="32" t="s">
        <v>672</v>
      </c>
      <c r="AV481" s="32" t="s">
        <v>697</v>
      </c>
      <c r="AW481" s="26" t="s">
        <v>699</v>
      </c>
      <c r="AY481" s="31">
        <f>AS481+AT481</f>
        <v>6966.089999999999</v>
      </c>
      <c r="AZ481" s="31">
        <f>G481/(100-BA481)*100</f>
        <v>28.999999999999996</v>
      </c>
      <c r="BA481" s="31">
        <v>0</v>
      </c>
      <c r="BB481" s="31">
        <f>J481</f>
        <v>0.009608400000000001</v>
      </c>
      <c r="BD481" s="19">
        <f>F481*AK481</f>
        <v>86.24681302824426</v>
      </c>
      <c r="BE481" s="19">
        <f>F481*AL481</f>
        <v>6879.843186971755</v>
      </c>
      <c r="BF481" s="19">
        <f>F481*G481</f>
        <v>6966.09</v>
      </c>
    </row>
    <row r="482" spans="4:16" ht="12.75">
      <c r="D482" s="16" t="s">
        <v>620</v>
      </c>
      <c r="F482" s="38">
        <v>240.21</v>
      </c>
      <c r="I482" s="61"/>
      <c r="J482" s="61"/>
      <c r="L482" s="38"/>
      <c r="O482" s="61"/>
      <c r="P482" s="61"/>
    </row>
    <row r="483" spans="1:43" ht="12.75">
      <c r="A483" s="4"/>
      <c r="B483" s="13" t="s">
        <v>158</v>
      </c>
      <c r="C483" s="13" t="s">
        <v>252</v>
      </c>
      <c r="D483" s="13" t="s">
        <v>497</v>
      </c>
      <c r="E483" s="4" t="s">
        <v>6</v>
      </c>
      <c r="F483" s="4" t="s">
        <v>6</v>
      </c>
      <c r="G483" s="4"/>
      <c r="H483" s="34">
        <f>SUM(H484:H484)</f>
        <v>110318.25</v>
      </c>
      <c r="I483" s="54"/>
      <c r="J483" s="54">
        <f>SUM(J484:J484)</f>
        <v>0</v>
      </c>
      <c r="L483" s="4" t="s">
        <v>6</v>
      </c>
      <c r="M483" s="4"/>
      <c r="N483" s="34">
        <f>SUM(N484:N484)</f>
        <v>8859.357430000002</v>
      </c>
      <c r="O483" s="54"/>
      <c r="P483" s="54">
        <f>SUM(P484:P484)</f>
        <v>0</v>
      </c>
      <c r="AE483" s="26" t="s">
        <v>158</v>
      </c>
      <c r="AO483" s="34">
        <f>SUM(AF484:AF484)</f>
        <v>0</v>
      </c>
      <c r="AP483" s="34">
        <f>SUM(AG484:AG484)</f>
        <v>0</v>
      </c>
      <c r="AQ483" s="34">
        <f>SUM(AH484:AH484)</f>
        <v>110318.25</v>
      </c>
    </row>
    <row r="484" spans="1:58" ht="12.75">
      <c r="A484" s="5" t="s">
        <v>155</v>
      </c>
      <c r="B484" s="5" t="s">
        <v>158</v>
      </c>
      <c r="C484" s="5" t="s">
        <v>296</v>
      </c>
      <c r="D484" s="5" t="s">
        <v>621</v>
      </c>
      <c r="E484" s="5" t="s">
        <v>632</v>
      </c>
      <c r="F484" s="37">
        <v>630.39</v>
      </c>
      <c r="G484" s="19">
        <v>175</v>
      </c>
      <c r="H484" s="19">
        <f>F484*G484</f>
        <v>110318.25</v>
      </c>
      <c r="I484" s="60">
        <v>0</v>
      </c>
      <c r="J484" s="60">
        <f>F484*I484</f>
        <v>0</v>
      </c>
      <c r="L484" s="94">
        <f>P385</f>
        <v>50.624899600000006</v>
      </c>
      <c r="M484" s="19">
        <v>175</v>
      </c>
      <c r="N484" s="19">
        <f>L484*M484</f>
        <v>8859.357430000002</v>
      </c>
      <c r="O484" s="60">
        <v>0</v>
      </c>
      <c r="P484" s="60">
        <f>L484*O484</f>
        <v>0</v>
      </c>
      <c r="V484" s="31">
        <f>IF(AM484="5",BF484,0)</f>
        <v>110318.25</v>
      </c>
      <c r="X484" s="31">
        <f>IF(AM484="1",BD484,0)</f>
        <v>0</v>
      </c>
      <c r="Y484" s="31">
        <f>IF(AM484="1",BE484,0)</f>
        <v>0</v>
      </c>
      <c r="Z484" s="31">
        <f>IF(AM484="7",BD484,0)</f>
        <v>0</v>
      </c>
      <c r="AA484" s="31">
        <f>IF(AM484="7",BE484,0)</f>
        <v>0</v>
      </c>
      <c r="AB484" s="31">
        <f>IF(AM484="2",BD484,0)</f>
        <v>0</v>
      </c>
      <c r="AC484" s="31">
        <f>IF(AM484="2",BE484,0)</f>
        <v>0</v>
      </c>
      <c r="AD484" s="31">
        <f>IF(AM484="0",BF484,0)</f>
        <v>0</v>
      </c>
      <c r="AE484" s="26" t="s">
        <v>158</v>
      </c>
      <c r="AF484" s="19">
        <f>IF(AJ484=0,H484,0)</f>
        <v>0</v>
      </c>
      <c r="AG484" s="19">
        <f>IF(AJ484=15,H484,0)</f>
        <v>0</v>
      </c>
      <c r="AH484" s="19">
        <f>IF(AJ484=21,H484,0)</f>
        <v>110318.25</v>
      </c>
      <c r="AJ484" s="31">
        <v>21</v>
      </c>
      <c r="AK484" s="31">
        <f>G484*0</f>
        <v>0</v>
      </c>
      <c r="AL484" s="31">
        <f>G484*(1-0)</f>
        <v>175</v>
      </c>
      <c r="AM484" s="27" t="s">
        <v>11</v>
      </c>
      <c r="AR484" s="31">
        <f>AS484+AT484</f>
        <v>110318.25</v>
      </c>
      <c r="AS484" s="31">
        <f>F484*AK484</f>
        <v>0</v>
      </c>
      <c r="AT484" s="31">
        <f>F484*AL484</f>
        <v>110318.25</v>
      </c>
      <c r="AU484" s="32" t="s">
        <v>674</v>
      </c>
      <c r="AV484" s="32" t="s">
        <v>697</v>
      </c>
      <c r="AW484" s="26" t="s">
        <v>699</v>
      </c>
      <c r="AY484" s="31">
        <f>AS484+AT484</f>
        <v>110318.25</v>
      </c>
      <c r="AZ484" s="31">
        <f>G484/(100-BA484)*100</f>
        <v>175</v>
      </c>
      <c r="BA484" s="31">
        <v>0</v>
      </c>
      <c r="BB484" s="31">
        <f>J484</f>
        <v>0</v>
      </c>
      <c r="BD484" s="19">
        <f>F484*AK484</f>
        <v>0</v>
      </c>
      <c r="BE484" s="19">
        <f>F484*AL484</f>
        <v>110318.25</v>
      </c>
      <c r="BF484" s="19">
        <f>F484*G484</f>
        <v>110318.25</v>
      </c>
    </row>
    <row r="485" spans="1:16" ht="12.75">
      <c r="A485" s="8"/>
      <c r="B485" s="8"/>
      <c r="C485" s="8"/>
      <c r="D485" s="17" t="s">
        <v>622</v>
      </c>
      <c r="E485" s="8"/>
      <c r="F485" s="40">
        <v>630.39</v>
      </c>
      <c r="G485" s="8"/>
      <c r="H485" s="8"/>
      <c r="I485" s="8"/>
      <c r="J485" s="8"/>
      <c r="L485" s="40"/>
      <c r="M485" s="8"/>
      <c r="N485" s="8"/>
      <c r="O485" s="8"/>
      <c r="P485" s="8"/>
    </row>
    <row r="486" spans="1:16" ht="12.75">
      <c r="A486" s="9"/>
      <c r="B486" s="9"/>
      <c r="C486" s="9"/>
      <c r="D486" s="9" t="s">
        <v>710</v>
      </c>
      <c r="E486" s="9"/>
      <c r="F486" s="9"/>
      <c r="G486" s="9"/>
      <c r="H486" s="36">
        <f>H14+H17+H24+H43+H53+H65+H68+H83+H99+H116+H119+H149+H164+H179+H215+H232+H236+H251+H254+H270+H279+H288+H298+H309+H327+H333+H386+H396+H409+H420+H437+H440+H460+H466+H477+H480+H483</f>
        <v>3876750.2434999985</v>
      </c>
      <c r="I486" s="9"/>
      <c r="J486" s="9"/>
      <c r="L486" s="9"/>
      <c r="M486" s="9"/>
      <c r="N486" s="36">
        <f>N13+N385+N356</f>
        <v>3118296.5809917995</v>
      </c>
      <c r="O486" s="9"/>
      <c r="P486" s="9"/>
    </row>
    <row r="487" spans="1:17" s="80" customFormat="1" ht="12.75">
      <c r="A487" s="79"/>
      <c r="D487" s="81" t="s">
        <v>708</v>
      </c>
      <c r="E487" s="80" t="s">
        <v>704</v>
      </c>
      <c r="F487" s="82">
        <v>2.5</v>
      </c>
      <c r="G487" s="83">
        <f>H486/100</f>
        <v>38767.50243499999</v>
      </c>
      <c r="H487" s="83">
        <f>F487*G487</f>
        <v>96918.75608749996</v>
      </c>
      <c r="L487" s="82">
        <v>2.5</v>
      </c>
      <c r="M487" s="83">
        <f>N486/100</f>
        <v>31182.965809917994</v>
      </c>
      <c r="N487" s="83">
        <f>L487*M487</f>
        <v>77957.414524795</v>
      </c>
      <c r="Q487" s="84"/>
    </row>
    <row r="488" spans="1:17" s="86" customFormat="1" ht="15">
      <c r="A488" s="85"/>
      <c r="D488" s="87" t="s">
        <v>703</v>
      </c>
      <c r="H488" s="88">
        <f>SUM(H486:H487)</f>
        <v>3973668.9995874986</v>
      </c>
      <c r="N488" s="88">
        <f>SUM(N486:N487)</f>
        <v>3196253.9955165945</v>
      </c>
      <c r="Q488" s="84"/>
    </row>
    <row r="489" spans="1:17" s="64" customFormat="1" ht="12.75">
      <c r="A489" s="89"/>
      <c r="B489" s="80"/>
      <c r="C489" s="80"/>
      <c r="D489" s="90"/>
      <c r="E489" s="80"/>
      <c r="Q489" s="84"/>
    </row>
    <row r="490" spans="1:17" s="92" customFormat="1" ht="15.75">
      <c r="A490" s="91"/>
      <c r="D490" s="93" t="s">
        <v>709</v>
      </c>
      <c r="E490" s="140">
        <f>N488-H488</f>
        <v>-777415.0040709041</v>
      </c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84"/>
    </row>
  </sheetData>
  <sheetProtection/>
  <mergeCells count="31">
    <mergeCell ref="E490:P490"/>
    <mergeCell ref="I11:J11"/>
    <mergeCell ref="L2:P9"/>
    <mergeCell ref="I2:J3"/>
    <mergeCell ref="I4:J5"/>
    <mergeCell ref="O11:P11"/>
    <mergeCell ref="I6:J7"/>
    <mergeCell ref="F10:J10"/>
    <mergeCell ref="A1:P1"/>
    <mergeCell ref="A2:C3"/>
    <mergeCell ref="D2:D3"/>
    <mergeCell ref="E2:F3"/>
    <mergeCell ref="G2:G3"/>
    <mergeCell ref="I8:J9"/>
    <mergeCell ref="E8:F9"/>
    <mergeCell ref="H6:H7"/>
    <mergeCell ref="L10:P10"/>
    <mergeCell ref="H2:H3"/>
    <mergeCell ref="A6:C7"/>
    <mergeCell ref="A4:C5"/>
    <mergeCell ref="D4:D5"/>
    <mergeCell ref="E4:F5"/>
    <mergeCell ref="H8:H9"/>
    <mergeCell ref="G4:G5"/>
    <mergeCell ref="H4:H5"/>
    <mergeCell ref="E6:F7"/>
    <mergeCell ref="A8:C9"/>
    <mergeCell ref="D6:D7"/>
    <mergeCell ref="G6:G7"/>
    <mergeCell ref="G8:G9"/>
    <mergeCell ref="D8:D9"/>
  </mergeCells>
  <printOptions/>
  <pageMargins left="0.5905511811023623" right="0.1968503937007874" top="0.5118110236220472" bottom="0.4724409448818898" header="0.5118110236220472" footer="0.5118110236220472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cp:lastPrinted>2021-04-15T07:18:05Z</cp:lastPrinted>
  <dcterms:created xsi:type="dcterms:W3CDTF">2019-12-06T13:23:05Z</dcterms:created>
  <dcterms:modified xsi:type="dcterms:W3CDTF">2021-05-20T07:24:26Z</dcterms:modified>
  <cp:category/>
  <cp:version/>
  <cp:contentType/>
  <cp:contentStatus/>
</cp:coreProperties>
</file>