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<sst xmlns="http://schemas.openxmlformats.org/spreadsheetml/2006/main" count="275" uniqueCount="130">
  <si>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</si>
  <si>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</si>
  <si>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</si>
  <si>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</si>
  <si>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</si>
  <si>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</si>
  <si>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</si>
  <si>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</si>
  <si>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</si>
  <si>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</si>
  <si>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</si>
  <si>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</si>
  <si>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</si>
  <si>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</si>
  <si>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</si>
  <si>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</si>
  <si>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</si>
  <si>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</si>
  <si>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</si>
  <si>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</si>
  <si>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</si>
  <si>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Poznámka:</t>
  </si>
  <si>
    <t>Kód</t>
  </si>
  <si>
    <t>98</t>
  </si>
  <si>
    <t>981011311R00</t>
  </si>
  <si>
    <t>981132311R00</t>
  </si>
  <si>
    <t>981134211R00</t>
  </si>
  <si>
    <t>981512113R00</t>
  </si>
  <si>
    <t>Bourací práce - bez objektů č.2,10,11,vč. objektu č.14</t>
  </si>
  <si>
    <t>Táborské kasárny,Benešov</t>
  </si>
  <si>
    <t>Zkrácený popis</t>
  </si>
  <si>
    <t>Rozměry</t>
  </si>
  <si>
    <t>Demolice</t>
  </si>
  <si>
    <t>Demolice budov, zdivo, podil konstr. do 10 %, MVC - objekt zděný patrový,plochá střecha</t>
  </si>
  <si>
    <t>Demolice hal jiným zp.,zdivo,podíl kons.do 10%,MVC - hala zděná patrová,šikmá střecha</t>
  </si>
  <si>
    <t>Demolice budov, zdivo, podil konstr. do 10 %, MVC - objekt zděný přízemní,plochá střecha</t>
  </si>
  <si>
    <t>Demolice hal jiným zp.,zdivo,podíl kons.do 10%,MVC - hala zděná přízemní,šikmá střecha</t>
  </si>
  <si>
    <t>Demolice hal jiným zp.,zdivo,podíl kons.do 10%,MVC - hala přízemní zděná,šikmá střecha</t>
  </si>
  <si>
    <t>Demolice hal jiným zp.,zdivo,podíl kons.do 5%,MVC - hala přízemní zděná 5 lodní,šikmá střecha</t>
  </si>
  <si>
    <t>Demolice hal jiným zp.,zdivo,podíl kons.do 5%,MVC - hala přízemní zděná 2 lodní,šikmá střecha</t>
  </si>
  <si>
    <t>Demolice ocel. hal a přístřešků, do 15 kg/ m3 OP - čerpací stanice</t>
  </si>
  <si>
    <t>Demolice konstrukcí - beton prostý - zbytek konstrukce objektu</t>
  </si>
  <si>
    <t>Doba výstavby:</t>
  </si>
  <si>
    <t>Začátek výstavby:</t>
  </si>
  <si>
    <t>Konec výstavby:</t>
  </si>
  <si>
    <t>Zpracováno dne:</t>
  </si>
  <si>
    <t>17.03.2022</t>
  </si>
  <si>
    <t>06.10.2021</t>
  </si>
  <si>
    <t>MJ</t>
  </si>
  <si>
    <t>m3</t>
  </si>
  <si>
    <t>Množství</t>
  </si>
  <si>
    <t>Objednatel:</t>
  </si>
  <si>
    <t>Projektant:</t>
  </si>
  <si>
    <t>Zhotovitel:</t>
  </si>
  <si>
    <t>Zpracoval:</t>
  </si>
  <si>
    <t>Cena/MJ</t>
  </si>
  <si>
    <t>(Kč)</t>
  </si>
  <si>
    <t> </t>
  </si>
  <si>
    <t>Náklady (Kč)</t>
  </si>
  <si>
    <t>Dodávka</t>
  </si>
  <si>
    <t>Celkem:</t>
  </si>
  <si>
    <t>Montáž</t>
  </si>
  <si>
    <t>Celkem</t>
  </si>
  <si>
    <t>Cenová</t>
  </si>
  <si>
    <t>soustava</t>
  </si>
  <si>
    <t>RTS II / 2021</t>
  </si>
  <si>
    <t>RTS I / 2022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</si>
  <si>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</si>
  <si>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</si>
  <si>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</si>
  <si>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</si>
  <si>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</si>
  <si>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</si>
  <si>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</si>
  <si>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</si>
  <si>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</si>
  <si>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98_</t>
  </si>
  <si>
    <t>9_</t>
  </si>
  <si>
    <t>_</t>
  </si>
  <si>
    <t>MAT</t>
  </si>
  <si>
    <t>WORK</t>
  </si>
  <si>
    <t>CELK</t>
  </si>
  <si>
    <t>ISWORK</t>
  </si>
  <si>
    <t>P</t>
  </si>
  <si>
    <t>GROUPCODE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</si>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</sst>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13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medium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15">
    <xf numFmtId="0" fontId="1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6" xfId="0" applyNumberFormat="1" applyFont="1" applyFill="1" applyBorder="1" applyAlignment="1" applyProtection="1">
      <alignment horizontal="left" vertical="center"/>
      <protection/>
    </xf>
    <xf numFmtId="49" fontId="4" fillId="2" borderId="7" xfId="0" applyNumberFormat="1" applyFont="1" applyFill="1" applyBorder="1" applyAlignment="1" applyProtection="1">
      <alignment horizontal="left" vertical="center"/>
      <protection/>
    </xf>
    <xf numFmtId="49" fontId="5" fillId="0" borderId="3" xfId="0" applyNumberFormat="1" applyFont="1" applyFill="1" applyBorder="1" applyAlignment="1" applyProtection="1">
      <alignment horizontal="left" vertical="center"/>
      <protection/>
    </xf>
    <xf numFmtId="49" fontId="5" fillId="0" borderId="8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7" fillId="2" borderId="13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7" xfId="0" applyNumberFormat="1" applyFont="1" applyFill="1" applyBorder="1" applyAlignment="1" applyProtection="1">
      <alignment horizontal="left" vertical="center"/>
      <protection/>
    </xf>
    <xf numFmtId="49" fontId="3" fillId="0" borderId="4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2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49" fontId="4" fillId="2" borderId="13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25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49" fontId="7" fillId="2" borderId="14" xfId="0" applyNumberFormat="1" applyFont="1" applyFill="1" applyBorder="1" applyAlignment="1" applyProtection="1">
      <alignment horizontal="right" vertical="center"/>
      <protection/>
    </xf>
    <xf numFmtId="49" fontId="5" fillId="0" borderId="25" xfId="0" applyNumberFormat="1" applyFont="1" applyFill="1" applyBorder="1" applyAlignment="1" applyProtection="1">
      <alignment horizontal="right" vertical="center"/>
      <protection/>
    </xf>
    <xf numFmtId="49" fontId="5" fillId="0" borderId="28" xfId="0" applyNumberFormat="1" applyFont="1" applyFill="1" applyBorder="1" applyAlignment="1" applyProtection="1">
      <alignment horizontal="right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9" fontId="7" fillId="2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7" fillId="2" borderId="13" xfId="0" applyNumberFormat="1" applyFont="1" applyFill="1" applyBorder="1" applyAlignment="1" applyProtection="1">
      <alignment horizontal="righ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7" fillId="2" borderId="0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0" fontId="1" fillId="0" borderId="8" xfId="0" applyNumberFormat="1" applyFont="1" applyFill="1" applyBorder="1" applyAlignment="1" applyProtection="1">
      <alignment horizontal="left" vertical="center"/>
      <protection/>
    </xf>
    <xf numFmtId="49" fontId="8" fillId="0" borderId="30" xfId="0" applyNumberFormat="1" applyFont="1" applyFill="1" applyBorder="1" applyAlignment="1" applyProtection="1">
      <alignment horizontal="center" vertical="center"/>
      <protection/>
    </xf>
    <xf numFmtId="49" fontId="9" fillId="3" borderId="31" xfId="0" applyNumberFormat="1" applyFont="1" applyFill="1" applyBorder="1" applyAlignment="1" applyProtection="1">
      <alignment horizontal="center" vertical="center"/>
      <protection/>
    </xf>
    <xf numFmtId="49" fontId="10" fillId="0" borderId="32" xfId="0" applyNumberFormat="1" applyFont="1" applyFill="1" applyBorder="1" applyAlignment="1" applyProtection="1">
      <alignment horizontal="left" vertical="center"/>
      <protection/>
    </xf>
    <xf numFmtId="49" fontId="10" fillId="0" borderId="33" xfId="0" applyNumberFormat="1" applyFont="1" applyFill="1" applyBorder="1" applyAlignment="1" applyProtection="1">
      <alignment horizontal="left" vertical="center"/>
      <protection/>
    </xf>
    <xf numFmtId="49" fontId="10" fillId="0" borderId="34" xfId="0" applyNumberFormat="1" applyFont="1" applyFill="1" applyBorder="1" applyAlignment="1" applyProtection="1">
      <alignment horizontal="left" vertical="center"/>
      <protection/>
    </xf>
    <xf numFmtId="49" fontId="10" fillId="3" borderId="34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49" fontId="11" fillId="0" borderId="36" xfId="0" applyNumberFormat="1" applyFont="1" applyFill="1" applyBorder="1" applyAlignment="1" applyProtection="1">
      <alignment horizontal="left" vertical="center"/>
      <protection/>
    </xf>
    <xf numFmtId="49" fontId="11" fillId="0" borderId="29" xfId="0" applyNumberFormat="1" applyFont="1" applyFill="1" applyBorder="1" applyAlignment="1" applyProtection="1">
      <alignment horizontal="left" vertical="center"/>
      <protection/>
    </xf>
    <xf numFmtId="49" fontId="11" fillId="0" borderId="37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8" fillId="0" borderId="30" xfId="0" applyNumberFormat="1" applyFont="1" applyFill="1" applyBorder="1" applyAlignment="1" applyProtection="1">
      <alignment horizontal="center" vertical="center"/>
      <protection/>
    </xf>
    <xf numFmtId="49" fontId="12" fillId="0" borderId="34" xfId="0" applyNumberFormat="1" applyFont="1" applyFill="1" applyBorder="1" applyAlignment="1" applyProtection="1">
      <alignment horizontal="left" vertical="center"/>
      <protection/>
    </xf>
    <xf numFmtId="49" fontId="11" fillId="0" borderId="31" xfId="0" applyNumberFormat="1" applyFont="1" applyFill="1" applyBorder="1" applyAlignment="1" applyProtection="1">
      <alignment horizontal="left" vertical="center"/>
      <protection/>
    </xf>
    <xf numFmtId="0" fontId="10" fillId="0" borderId="38" xfId="0" applyNumberFormat="1" applyFont="1" applyFill="1" applyBorder="1" applyAlignment="1" applyProtection="1">
      <alignment horizontal="left" vertical="center"/>
      <protection/>
    </xf>
    <xf numFmtId="0" fontId="10" fillId="3" borderId="30" xfId="0" applyNumberFormat="1" applyFont="1" applyFill="1" applyBorder="1" applyAlignment="1" applyProtection="1">
      <alignment horizontal="left" vertical="center"/>
      <protection/>
    </xf>
    <xf numFmtId="0" fontId="11" fillId="0" borderId="13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1" fillId="0" borderId="39" xfId="0" applyNumberFormat="1" applyFont="1" applyFill="1" applyBorder="1" applyAlignment="1" applyProtection="1">
      <alignment horizontal="left" vertical="center"/>
      <protection/>
    </xf>
    <xf numFmtId="0" fontId="11" fillId="0" borderId="40" xfId="0" applyNumberFormat="1" applyFont="1" applyFill="1" applyBorder="1" applyAlignment="1" applyProtection="1">
      <alignment horizontal="left" vertical="center"/>
      <protection/>
    </xf>
    <xf numFmtId="0" fontId="11" fillId="0" borderId="41" xfId="0" applyNumberFormat="1" applyFont="1" applyFill="1" applyBorder="1" applyAlignment="1" applyProtection="1">
      <alignment horizontal="left" vertical="center"/>
      <protection/>
    </xf>
    <xf numFmtId="49" fontId="1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8" xfId="0" applyNumberFormat="1" applyFont="1" applyFill="1" applyBorder="1" applyAlignment="1" applyProtection="1">
      <alignment vertical="center"/>
      <protection/>
    </xf>
    <xf numFmtId="0" fontId="11" fillId="0" borderId="38" xfId="0" applyNumberFormat="1" applyFont="1" applyFill="1" applyBorder="1" applyAlignment="1" applyProtection="1">
      <alignment horizontal="left" vertical="center"/>
      <protection/>
    </xf>
    <xf numFmtId="4" fontId="11" fillId="0" borderId="31" xfId="0" applyNumberFormat="1" applyFont="1" applyFill="1" applyBorder="1" applyAlignment="1" applyProtection="1">
      <alignment horizontal="right" vertical="center"/>
      <protection/>
    </xf>
    <xf numFmtId="49" fontId="11" fillId="0" borderId="31" xfId="0" applyNumberFormat="1" applyFont="1" applyFill="1" applyBorder="1" applyAlignment="1" applyProtection="1">
      <alignment horizontal="right" vertical="center"/>
      <protection/>
    </xf>
    <xf numFmtId="4" fontId="11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9" fontId="1" fillId="0" borderId="24" xfId="0" applyNumberFormat="1" applyFont="1" applyFill="1" applyBorder="1" applyAlignment="1" applyProtection="1">
      <alignment horizontal="left" vertical="center"/>
      <protection/>
    </xf>
    <xf numFmtId="49" fontId="1" fillId="0" borderId="25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0" fillId="3" borderId="38" xfId="0" applyNumberFormat="1" applyFont="1" applyFill="1" applyBorder="1" applyAlignment="1" applyProtection="1">
      <alignment horizontal="right" vertical="center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49" fontId="2" fillId="0" borderId="1" xfId="0" applyNumberFormat="1" applyFont="1" applyFill="1" applyBorder="1" applyAlignment="1" applyProtection="1">
      <alignment horizont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9"/>
  <sheetViews>
    <sheetView tabSelected="1" workbookViewId="0" topLeftCell="A1">
      <pane ySplit="11" topLeftCell="A12" activePane="bottomLeft" state="frozen"/>
      <selection pane="bottomLeft" activeCell="A1" sqref="A1:M1"/>
    </sheetView>
  </sheetViews>
  <sheetFormatPr defaultColWidth="11.57421875" defaultRowHeight="12.75"/>
  <cols>
    <col min="1" max="1" width="3.7109375" customWidth="1"/>
    <col min="2" max="2" width="14.28125" customWidth="1"/>
    <col min="3" max="3" width="1.421875" customWidth="1"/>
    <col min="4" max="4" width="79.140625" customWidth="1"/>
    <col min="7" max="7" width="4.28125" customWidth="1"/>
    <col min="8" max="8" width="12.8515625" customWidth="1"/>
    <col min="9" max="9" width="12.00390625" customWidth="1"/>
    <col min="10" max="12" width="14.28125" customWidth="1"/>
    <col min="13" max="13" width="11.7109375" customWidth="1"/>
    <col min="25" max="64" width="12.140625" hidden="1" customWidth="1"/>
  </cols>
  <sheetData>
    <row r="1" spans="1:13" ht="72.75" customHeight="1">
      <c r="A1" s="1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4" ht="12.75">
      <c r="A2" s="3" t="s">
        <v>1</v>
      </c>
      <c r="B2" s="16"/>
      <c r="C2" s="24" t="s">
        <v>28</v>
      </c>
      <c r="D2" s="28"/>
      <c r="E2" s="34" t="s">
        <v>42</v>
      </c>
      <c r="F2" s="16"/>
      <c r="G2" s="34" t="s">
        <v>6</v>
      </c>
      <c r="H2" s="16"/>
      <c r="I2" s="42" t="s">
        <v>51</v>
      </c>
      <c r="J2" s="34" t="s">
        <v>57</v>
      </c>
      <c r="K2" s="16"/>
      <c r="L2" s="16"/>
      <c r="M2" s="52"/>
      <c r="N2" s="60"/>
    </row>
    <row r="3" spans="1:14" ht="12.75">
      <c r="A3" s="4"/>
      <c r="B3" s="17"/>
      <c r="C3" s="25"/>
      <c r="D3" s="25"/>
      <c r="E3" s="17"/>
      <c r="F3" s="17"/>
      <c r="G3" s="17"/>
      <c r="H3" s="17"/>
      <c r="I3" s="17"/>
      <c r="J3" s="17"/>
      <c r="K3" s="17"/>
      <c r="L3" s="17"/>
      <c r="M3" s="53"/>
      <c r="N3" s="60"/>
    </row>
    <row r="4" spans="1:14" ht="12.75">
      <c r="A4" s="5" t="s">
        <v>2</v>
      </c>
      <c r="B4" s="17"/>
      <c r="C4" s="14" t="s">
        <v>6</v>
      </c>
      <c r="D4" s="17"/>
      <c r="E4" s="35" t="s">
        <v>43</v>
      </c>
      <c r="F4" s="17"/>
      <c r="G4" s="35" t="s">
        <v>46</v>
      </c>
      <c r="H4" s="17"/>
      <c r="I4" s="14" t="s">
        <v>52</v>
      </c>
      <c r="J4" s="35" t="s">
        <v>57</v>
      </c>
      <c r="K4" s="17"/>
      <c r="L4" s="17"/>
      <c r="M4" s="53"/>
      <c r="N4" s="60"/>
    </row>
    <row r="5" spans="1:14" ht="12.75">
      <c r="A5" s="4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53"/>
      <c r="N5" s="60"/>
    </row>
    <row r="6" spans="1:14" ht="12.75">
      <c r="A6" s="5" t="s">
        <v>3</v>
      </c>
      <c r="B6" s="17"/>
      <c r="C6" s="14" t="s">
        <v>29</v>
      </c>
      <c r="D6" s="17"/>
      <c r="E6" s="35" t="s">
        <v>44</v>
      </c>
      <c r="F6" s="17"/>
      <c r="G6" s="35" t="s">
        <v>6</v>
      </c>
      <c r="H6" s="17"/>
      <c r="I6" s="14" t="s">
        <v>53</v>
      </c>
      <c r="J6" s="35" t="s">
        <v>57</v>
      </c>
      <c r="K6" s="17"/>
      <c r="L6" s="17"/>
      <c r="M6" s="53"/>
      <c r="N6" s="60"/>
    </row>
    <row r="7" spans="1:14" ht="12.75">
      <c r="A7" s="4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53"/>
      <c r="N7" s="60"/>
    </row>
    <row r="8" spans="1:14" ht="12.75">
      <c r="A8" s="5" t="s">
        <v>4</v>
      </c>
      <c r="B8" s="17"/>
      <c r="C8" s="14" t="s">
        <v>6</v>
      </c>
      <c r="D8" s="17"/>
      <c r="E8" s="35" t="s">
        <v>45</v>
      </c>
      <c r="F8" s="17"/>
      <c r="G8" s="35" t="s">
        <v>47</v>
      </c>
      <c r="H8" s="17"/>
      <c r="I8" s="14" t="s">
        <v>54</v>
      </c>
      <c r="J8" s="35" t="s">
        <v>57</v>
      </c>
      <c r="K8" s="17"/>
      <c r="L8" s="17"/>
      <c r="M8" s="53"/>
      <c r="N8" s="60"/>
    </row>
    <row r="9" spans="1:14" ht="12.75">
      <c r="A9" s="6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54"/>
      <c r="N9" s="60"/>
    </row>
    <row r="10" spans="1:64" ht="12.75">
      <c r="A10" s="7" t="s">
        <v>5</v>
      </c>
      <c r="B10" s="19" t="s">
        <v>22</v>
      </c>
      <c r="C10" s="26" t="s">
        <v>30</v>
      </c>
      <c r="D10" s="29"/>
      <c r="E10" s="29"/>
      <c r="F10" s="36"/>
      <c r="G10" s="19" t="s">
        <v>48</v>
      </c>
      <c r="H10" s="39" t="s">
        <v>50</v>
      </c>
      <c r="I10" s="43" t="s">
        <v>55</v>
      </c>
      <c r="J10" s="45" t="s">
        <v>58</v>
      </c>
      <c r="K10" s="48"/>
      <c r="L10" s="50"/>
      <c r="M10" s="55" t="s">
        <v>63</v>
      </c>
      <c r="N10" s="61"/>
      <c r="BK10" s="62" t="s">
        <v>82</v>
      </c>
      <c r="BL10" s="66" t="s">
        <v>84</v>
      </c>
    </row>
    <row r="11" spans="1:62" ht="12.75">
      <c r="A11" s="8" t="s">
        <v>6</v>
      </c>
      <c r="B11" s="20" t="s">
        <v>6</v>
      </c>
      <c r="C11" s="27" t="s">
        <v>31</v>
      </c>
      <c r="D11" s="30"/>
      <c r="E11" s="30"/>
      <c r="F11" s="37"/>
      <c r="G11" s="20" t="s">
        <v>6</v>
      </c>
      <c r="H11" s="20" t="s">
        <v>6</v>
      </c>
      <c r="I11" s="44" t="s">
        <v>56</v>
      </c>
      <c r="J11" s="46" t="s">
        <v>59</v>
      </c>
      <c r="K11" s="49" t="s">
        <v>61</v>
      </c>
      <c r="L11" s="51" t="s">
        <v>62</v>
      </c>
      <c r="M11" s="56" t="s">
        <v>64</v>
      </c>
      <c r="N11" s="61"/>
      <c r="Z11" s="62" t="s">
        <v>67</v>
      </c>
      <c r="AA11" s="62" t="s">
        <v>68</v>
      </c>
      <c r="AB11" s="62" t="s">
        <v>69</v>
      </c>
      <c r="AC11" s="62" t="s">
        <v>70</v>
      </c>
      <c r="AD11" s="62" t="s">
        <v>71</v>
      </c>
      <c r="AE11" s="62" t="s">
        <v>72</v>
      </c>
      <c r="AF11" s="62" t="s">
        <v>73</v>
      </c>
      <c r="AG11" s="62" t="s">
        <v>74</v>
      </c>
      <c r="AH11" s="62" t="s">
        <v>75</v>
      </c>
      <c r="BH11" s="62" t="s">
        <v>79</v>
      </c>
      <c r="BI11" s="62" t="s">
        <v>80</v>
      </c>
      <c r="BJ11" s="62" t="s">
        <v>81</v>
      </c>
    </row>
    <row r="12" spans="1:47" ht="12.75">
      <c r="A12" s="9"/>
      <c r="B12" s="21" t="s">
        <v>23</v>
      </c>
      <c r="C12" s="21" t="s">
        <v>32</v>
      </c>
      <c r="D12" s="31"/>
      <c r="E12" s="31"/>
      <c r="F12" s="31"/>
      <c r="G12" s="38" t="s">
        <v>6</v>
      </c>
      <c r="H12" s="38" t="s">
        <v>6</v>
      </c>
      <c r="I12" s="38" t="s">
        <v>6</v>
      </c>
      <c r="J12" s="67">
        <f>SUM(J13:J26)</f>
        <v>0</v>
      </c>
      <c r="K12" s="67">
        <f>SUM(K13:K26)</f>
        <v>0</v>
      </c>
      <c r="L12" s="67">
        <f>SUM(L13:L26)</f>
        <v>0</v>
      </c>
      <c r="M12" s="57"/>
      <c r="N12" s="60"/>
      <c r="AI12" s="62"/>
      <c r="AS12" s="69">
        <f>SUM(AJ13:AJ26)</f>
        <v>0</v>
      </c>
      <c r="AT12" s="69">
        <f>SUM(AK13:AK26)</f>
        <v>0</v>
      </c>
      <c r="AU12" s="69">
        <f>SUM(AL13:AL26)</f>
        <v>0</v>
      </c>
    </row>
    <row r="13" spans="1:64" ht="12.75">
      <c r="A13" s="10" t="s">
        <v>7</v>
      </c>
      <c r="B13" s="22" t="s">
        <v>24</v>
      </c>
      <c r="C13" s="22" t="s">
        <v>33</v>
      </c>
      <c r="D13" s="32"/>
      <c r="E13" s="32"/>
      <c r="F13" s="32"/>
      <c r="G13" s="22" t="s">
        <v>49</v>
      </c>
      <c r="H13" s="40">
        <v>3936</v>
      </c>
      <c r="I13" s="40">
        <v>0</v>
      </c>
      <c r="J13" s="40">
        <f>H13*AO13</f>
        <v>0</v>
      </c>
      <c r="K13" s="40">
        <f>H13*AP13</f>
        <v>0</v>
      </c>
      <c r="L13" s="40">
        <f>H13*I13</f>
        <v>0</v>
      </c>
      <c r="M13" s="58" t="s">
        <v>65</v>
      </c>
      <c r="N13" s="60"/>
      <c r="Z13" s="63">
        <f>IF(AQ13="5",BJ13,0)</f>
        <v>0</v>
      </c>
      <c r="AB13" s="63">
        <f>IF(AQ13="1",BH13,0)</f>
        <v>0</v>
      </c>
      <c r="AC13" s="63">
        <f>IF(AQ13="1",BI13,0)</f>
        <v>0</v>
      </c>
      <c r="AD13" s="63">
        <f>IF(AQ13="7",BH13,0)</f>
        <v>0</v>
      </c>
      <c r="AE13" s="63">
        <f>IF(AQ13="7",BI13,0)</f>
        <v>0</v>
      </c>
      <c r="AF13" s="63">
        <f>IF(AQ13="2",BH13,0)</f>
        <v>0</v>
      </c>
      <c r="AG13" s="63">
        <f>IF(AQ13="2",BI13,0)</f>
        <v>0</v>
      </c>
      <c r="AH13" s="63">
        <f>IF(AQ13="0",BJ13,0)</f>
        <v>0</v>
      </c>
      <c r="AI13" s="62"/>
      <c r="AJ13" s="40">
        <f>IF(AN13=0,L13,0)</f>
        <v>0</v>
      </c>
      <c r="AK13" s="40">
        <f>IF(AN13=15,L13,0)</f>
        <v>0</v>
      </c>
      <c r="AL13" s="40">
        <f>IF(AN13=21,L13,0)</f>
        <v>0</v>
      </c>
      <c r="AN13" s="63">
        <v>21</v>
      </c>
      <c r="AO13" s="63">
        <f>I13*0.048993288590604</f>
        <v>0</v>
      </c>
      <c r="AP13" s="63">
        <f>I13*(1-0.048993288590604)</f>
        <v>0</v>
      </c>
      <c r="AQ13" s="64" t="s">
        <v>7</v>
      </c>
      <c r="AV13" s="63">
        <f>AW13+AX13</f>
        <v>0</v>
      </c>
      <c r="AW13" s="63">
        <f>H13*AO13</f>
        <v>0</v>
      </c>
      <c r="AX13" s="63">
        <f>H13*AP13</f>
        <v>0</v>
      </c>
      <c r="AY13" s="65" t="s">
        <v>76</v>
      </c>
      <c r="AZ13" s="65" t="s">
        <v>77</v>
      </c>
      <c r="BA13" s="62" t="s">
        <v>78</v>
      </c>
      <c r="BC13" s="63">
        <f>AW13+AX13</f>
        <v>0</v>
      </c>
      <c r="BD13" s="63">
        <f>I13/(100-BE13)*100</f>
        <v>0</v>
      </c>
      <c r="BE13" s="63">
        <v>0</v>
      </c>
      <c r="BF13" s="63">
        <f>13</f>
        <v>13</v>
      </c>
      <c r="BH13" s="40">
        <f>H13*AO13</f>
        <v>0</v>
      </c>
      <c r="BI13" s="40">
        <f>H13*AP13</f>
        <v>0</v>
      </c>
      <c r="BJ13" s="40">
        <f>H13*I13</f>
        <v>0</v>
      </c>
      <c r="BK13" s="40" t="s">
        <v>83</v>
      </c>
      <c r="BL13" s="63">
        <v>98</v>
      </c>
    </row>
    <row r="14" spans="1:64" ht="12.75">
      <c r="A14" s="10" t="s">
        <v>8</v>
      </c>
      <c r="B14" s="22" t="s">
        <v>25</v>
      </c>
      <c r="C14" s="22" t="s">
        <v>34</v>
      </c>
      <c r="D14" s="32"/>
      <c r="E14" s="32"/>
      <c r="F14" s="32"/>
      <c r="G14" s="22" t="s">
        <v>49</v>
      </c>
      <c r="H14" s="40">
        <v>0</v>
      </c>
      <c r="I14" s="40">
        <v>0</v>
      </c>
      <c r="J14" s="40">
        <f>H14*AO14</f>
        <v>0</v>
      </c>
      <c r="K14" s="40">
        <f>H14*AP14</f>
        <v>0</v>
      </c>
      <c r="L14" s="40">
        <f>H14*I14</f>
        <v>0</v>
      </c>
      <c r="M14" s="58" t="s">
        <v>65</v>
      </c>
      <c r="N14" s="60"/>
      <c r="Z14" s="63">
        <f>IF(AQ14="5",BJ14,0)</f>
        <v>0</v>
      </c>
      <c r="AB14" s="63">
        <f>IF(AQ14="1",BH14,0)</f>
        <v>0</v>
      </c>
      <c r="AC14" s="63">
        <f>IF(AQ14="1",BI14,0)</f>
        <v>0</v>
      </c>
      <c r="AD14" s="63">
        <f>IF(AQ14="7",BH14,0)</f>
        <v>0</v>
      </c>
      <c r="AE14" s="63">
        <f>IF(AQ14="7",BI14,0)</f>
        <v>0</v>
      </c>
      <c r="AF14" s="63">
        <f>IF(AQ14="2",BH14,0)</f>
        <v>0</v>
      </c>
      <c r="AG14" s="63">
        <f>IF(AQ14="2",BI14,0)</f>
        <v>0</v>
      </c>
      <c r="AH14" s="63">
        <f>IF(AQ14="0",BJ14,0)</f>
        <v>0</v>
      </c>
      <c r="AI14" s="62"/>
      <c r="AJ14" s="40">
        <f>IF(AN14=0,L14,0)</f>
        <v>0</v>
      </c>
      <c r="AK14" s="40">
        <f>IF(AN14=15,L14,0)</f>
        <v>0</v>
      </c>
      <c r="AL14" s="40">
        <f>IF(AN14=21,L14,0)</f>
        <v>0</v>
      </c>
      <c r="AN14" s="63">
        <v>21</v>
      </c>
      <c r="AO14" s="63">
        <f>I14*0</f>
        <v>0</v>
      </c>
      <c r="AP14" s="63">
        <f>I14*(1-0)</f>
        <v>0</v>
      </c>
      <c r="AQ14" s="64" t="s">
        <v>7</v>
      </c>
      <c r="AV14" s="63">
        <f>AW14+AX14</f>
        <v>0</v>
      </c>
      <c r="AW14" s="63">
        <f>H14*AO14</f>
        <v>0</v>
      </c>
      <c r="AX14" s="63">
        <f>H14*AP14</f>
        <v>0</v>
      </c>
      <c r="AY14" s="65" t="s">
        <v>76</v>
      </c>
      <c r="AZ14" s="65" t="s">
        <v>77</v>
      </c>
      <c r="BA14" s="62" t="s">
        <v>78</v>
      </c>
      <c r="BC14" s="63">
        <f>AW14+AX14</f>
        <v>0</v>
      </c>
      <c r="BD14" s="63">
        <f>I14/(100-BE14)*100</f>
        <v>0</v>
      </c>
      <c r="BE14" s="63">
        <v>0</v>
      </c>
      <c r="BF14" s="63">
        <f>14</f>
        <v>14</v>
      </c>
      <c r="BH14" s="40">
        <f>H14*AO14</f>
        <v>0</v>
      </c>
      <c r="BI14" s="40">
        <f>H14*AP14</f>
        <v>0</v>
      </c>
      <c r="BJ14" s="40">
        <f>H14*I14</f>
        <v>0</v>
      </c>
      <c r="BK14" s="40" t="s">
        <v>83</v>
      </c>
      <c r="BL14" s="63">
        <v>98</v>
      </c>
    </row>
    <row r="15" spans="1:64" ht="12.75">
      <c r="A15" s="10" t="s">
        <v>9</v>
      </c>
      <c r="B15" s="22" t="s">
        <v>24</v>
      </c>
      <c r="C15" s="22" t="s">
        <v>35</v>
      </c>
      <c r="D15" s="32"/>
      <c r="E15" s="32"/>
      <c r="F15" s="32"/>
      <c r="G15" s="22" t="s">
        <v>49</v>
      </c>
      <c r="H15" s="40">
        <v>680</v>
      </c>
      <c r="I15" s="40">
        <v>0</v>
      </c>
      <c r="J15" s="40">
        <f>H15*AO15</f>
        <v>0</v>
      </c>
      <c r="K15" s="40">
        <f>H15*AP15</f>
        <v>0</v>
      </c>
      <c r="L15" s="40">
        <f>H15*I15</f>
        <v>0</v>
      </c>
      <c r="M15" s="58" t="s">
        <v>65</v>
      </c>
      <c r="N15" s="60"/>
      <c r="Z15" s="63">
        <f>IF(AQ15="5",BJ15,0)</f>
        <v>0</v>
      </c>
      <c r="AB15" s="63">
        <f>IF(AQ15="1",BH15,0)</f>
        <v>0</v>
      </c>
      <c r="AC15" s="63">
        <f>IF(AQ15="1",BI15,0)</f>
        <v>0</v>
      </c>
      <c r="AD15" s="63">
        <f>IF(AQ15="7",BH15,0)</f>
        <v>0</v>
      </c>
      <c r="AE15" s="63">
        <f>IF(AQ15="7",BI15,0)</f>
        <v>0</v>
      </c>
      <c r="AF15" s="63">
        <f>IF(AQ15="2",BH15,0)</f>
        <v>0</v>
      </c>
      <c r="AG15" s="63">
        <f>IF(AQ15="2",BI15,0)</f>
        <v>0</v>
      </c>
      <c r="AH15" s="63">
        <f>IF(AQ15="0",BJ15,0)</f>
        <v>0</v>
      </c>
      <c r="AI15" s="62"/>
      <c r="AJ15" s="40">
        <f>IF(AN15=0,L15,0)</f>
        <v>0</v>
      </c>
      <c r="AK15" s="40">
        <f>IF(AN15=15,L15,0)</f>
        <v>0</v>
      </c>
      <c r="AL15" s="40">
        <f>IF(AN15=21,L15,0)</f>
        <v>0</v>
      </c>
      <c r="AN15" s="63">
        <v>21</v>
      </c>
      <c r="AO15" s="63">
        <f>I15*0.048993288590604</f>
        <v>0</v>
      </c>
      <c r="AP15" s="63">
        <f>I15*(1-0.048993288590604)</f>
        <v>0</v>
      </c>
      <c r="AQ15" s="64" t="s">
        <v>7</v>
      </c>
      <c r="AV15" s="63">
        <f>AW15+AX15</f>
        <v>0</v>
      </c>
      <c r="AW15" s="63">
        <f>H15*AO15</f>
        <v>0</v>
      </c>
      <c r="AX15" s="63">
        <f>H15*AP15</f>
        <v>0</v>
      </c>
      <c r="AY15" s="65" t="s">
        <v>76</v>
      </c>
      <c r="AZ15" s="65" t="s">
        <v>77</v>
      </c>
      <c r="BA15" s="62" t="s">
        <v>78</v>
      </c>
      <c r="BC15" s="63">
        <f>AW15+AX15</f>
        <v>0</v>
      </c>
      <c r="BD15" s="63">
        <f>I15/(100-BE15)*100</f>
        <v>0</v>
      </c>
      <c r="BE15" s="63">
        <v>0</v>
      </c>
      <c r="BF15" s="63">
        <f>15</f>
        <v>15</v>
      </c>
      <c r="BH15" s="40">
        <f>H15*AO15</f>
        <v>0</v>
      </c>
      <c r="BI15" s="40">
        <f>H15*AP15</f>
        <v>0</v>
      </c>
      <c r="BJ15" s="40">
        <f>H15*I15</f>
        <v>0</v>
      </c>
      <c r="BK15" s="40" t="s">
        <v>83</v>
      </c>
      <c r="BL15" s="63">
        <v>98</v>
      </c>
    </row>
    <row r="16" spans="1:64" ht="12.75">
      <c r="A16" s="10" t="s">
        <v>10</v>
      </c>
      <c r="B16" s="22" t="s">
        <v>25</v>
      </c>
      <c r="C16" s="22" t="s">
        <v>36</v>
      </c>
      <c r="D16" s="32"/>
      <c r="E16" s="32"/>
      <c r="F16" s="32"/>
      <c r="G16" s="22" t="s">
        <v>49</v>
      </c>
      <c r="H16" s="40">
        <v>5440</v>
      </c>
      <c r="I16" s="40">
        <v>0</v>
      </c>
      <c r="J16" s="40">
        <f>H16*AO16</f>
        <v>0</v>
      </c>
      <c r="K16" s="40">
        <f>H16*AP16</f>
        <v>0</v>
      </c>
      <c r="L16" s="40">
        <f>H16*I16</f>
        <v>0</v>
      </c>
      <c r="M16" s="58" t="s">
        <v>65</v>
      </c>
      <c r="N16" s="60"/>
      <c r="Z16" s="63">
        <f>IF(AQ16="5",BJ16,0)</f>
        <v>0</v>
      </c>
      <c r="AB16" s="63">
        <f>IF(AQ16="1",BH16,0)</f>
        <v>0</v>
      </c>
      <c r="AC16" s="63">
        <f>IF(AQ16="1",BI16,0)</f>
        <v>0</v>
      </c>
      <c r="AD16" s="63">
        <f>IF(AQ16="7",BH16,0)</f>
        <v>0</v>
      </c>
      <c r="AE16" s="63">
        <f>IF(AQ16="7",BI16,0)</f>
        <v>0</v>
      </c>
      <c r="AF16" s="63">
        <f>IF(AQ16="2",BH16,0)</f>
        <v>0</v>
      </c>
      <c r="AG16" s="63">
        <f>IF(AQ16="2",BI16,0)</f>
        <v>0</v>
      </c>
      <c r="AH16" s="63">
        <f>IF(AQ16="0",BJ16,0)</f>
        <v>0</v>
      </c>
      <c r="AI16" s="62"/>
      <c r="AJ16" s="40">
        <f>IF(AN16=0,L16,0)</f>
        <v>0</v>
      </c>
      <c r="AK16" s="40">
        <f>IF(AN16=15,L16,0)</f>
        <v>0</v>
      </c>
      <c r="AL16" s="40">
        <f>IF(AN16=21,L16,0)</f>
        <v>0</v>
      </c>
      <c r="AN16" s="63">
        <v>21</v>
      </c>
      <c r="AO16" s="63">
        <f>I16*0.0486060606060606</f>
        <v>0</v>
      </c>
      <c r="AP16" s="63">
        <f>I16*(1-0.0486060606060606)</f>
        <v>0</v>
      </c>
      <c r="AQ16" s="64" t="s">
        <v>7</v>
      </c>
      <c r="AV16" s="63">
        <f>AW16+AX16</f>
        <v>0</v>
      </c>
      <c r="AW16" s="63">
        <f>H16*AO16</f>
        <v>0</v>
      </c>
      <c r="AX16" s="63">
        <f>H16*AP16</f>
        <v>0</v>
      </c>
      <c r="AY16" s="65" t="s">
        <v>76</v>
      </c>
      <c r="AZ16" s="65" t="s">
        <v>77</v>
      </c>
      <c r="BA16" s="62" t="s">
        <v>78</v>
      </c>
      <c r="BC16" s="63">
        <f>AW16+AX16</f>
        <v>0</v>
      </c>
      <c r="BD16" s="63">
        <f>I16/(100-BE16)*100</f>
        <v>0</v>
      </c>
      <c r="BE16" s="63">
        <v>0</v>
      </c>
      <c r="BF16" s="63">
        <f>16</f>
        <v>16</v>
      </c>
      <c r="BH16" s="40">
        <f>H16*AO16</f>
        <v>0</v>
      </c>
      <c r="BI16" s="40">
        <f>H16*AP16</f>
        <v>0</v>
      </c>
      <c r="BJ16" s="40">
        <f>H16*I16</f>
        <v>0</v>
      </c>
      <c r="BK16" s="40" t="s">
        <v>83</v>
      </c>
      <c r="BL16" s="63">
        <v>98</v>
      </c>
    </row>
    <row r="17" spans="1:64" ht="12.75">
      <c r="A17" s="10" t="s">
        <v>11</v>
      </c>
      <c r="B17" s="22" t="s">
        <v>24</v>
      </c>
      <c r="C17" s="22" t="s">
        <v>35</v>
      </c>
      <c r="D17" s="32"/>
      <c r="E17" s="32"/>
      <c r="F17" s="32"/>
      <c r="G17" s="22" t="s">
        <v>49</v>
      </c>
      <c r="H17" s="40">
        <v>612</v>
      </c>
      <c r="I17" s="40">
        <v>0</v>
      </c>
      <c r="J17" s="40">
        <f>H17*AO17</f>
        <v>0</v>
      </c>
      <c r="K17" s="40">
        <f>H17*AP17</f>
        <v>0</v>
      </c>
      <c r="L17" s="40">
        <f>H17*I17</f>
        <v>0</v>
      </c>
      <c r="M17" s="58" t="s">
        <v>65</v>
      </c>
      <c r="N17" s="60"/>
      <c r="Z17" s="63">
        <f>IF(AQ17="5",BJ17,0)</f>
        <v>0</v>
      </c>
      <c r="AB17" s="63">
        <f>IF(AQ17="1",BH17,0)</f>
        <v>0</v>
      </c>
      <c r="AC17" s="63">
        <f>IF(AQ17="1",BI17,0)</f>
        <v>0</v>
      </c>
      <c r="AD17" s="63">
        <f>IF(AQ17="7",BH17,0)</f>
        <v>0</v>
      </c>
      <c r="AE17" s="63">
        <f>IF(AQ17="7",BI17,0)</f>
        <v>0</v>
      </c>
      <c r="AF17" s="63">
        <f>IF(AQ17="2",BH17,0)</f>
        <v>0</v>
      </c>
      <c r="AG17" s="63">
        <f>IF(AQ17="2",BI17,0)</f>
        <v>0</v>
      </c>
      <c r="AH17" s="63">
        <f>IF(AQ17="0",BJ17,0)</f>
        <v>0</v>
      </c>
      <c r="AI17" s="62"/>
      <c r="AJ17" s="40">
        <f>IF(AN17=0,L17,0)</f>
        <v>0</v>
      </c>
      <c r="AK17" s="40">
        <f>IF(AN17=15,L17,0)</f>
        <v>0</v>
      </c>
      <c r="AL17" s="40">
        <f>IF(AN17=21,L17,0)</f>
        <v>0</v>
      </c>
      <c r="AN17" s="63">
        <v>21</v>
      </c>
      <c r="AO17" s="63">
        <f>I17*0.048993288590604</f>
        <v>0</v>
      </c>
      <c r="AP17" s="63">
        <f>I17*(1-0.048993288590604)</f>
        <v>0</v>
      </c>
      <c r="AQ17" s="64" t="s">
        <v>7</v>
      </c>
      <c r="AV17" s="63">
        <f>AW17+AX17</f>
        <v>0</v>
      </c>
      <c r="AW17" s="63">
        <f>H17*AO17</f>
        <v>0</v>
      </c>
      <c r="AX17" s="63">
        <f>H17*AP17</f>
        <v>0</v>
      </c>
      <c r="AY17" s="65" t="s">
        <v>76</v>
      </c>
      <c r="AZ17" s="65" t="s">
        <v>77</v>
      </c>
      <c r="BA17" s="62" t="s">
        <v>78</v>
      </c>
      <c r="BC17" s="63">
        <f>AW17+AX17</f>
        <v>0</v>
      </c>
      <c r="BD17" s="63">
        <f>I17/(100-BE17)*100</f>
        <v>0</v>
      </c>
      <c r="BE17" s="63">
        <v>0</v>
      </c>
      <c r="BF17" s="63">
        <f>17</f>
        <v>17</v>
      </c>
      <c r="BH17" s="40">
        <f>H17*AO17</f>
        <v>0</v>
      </c>
      <c r="BI17" s="40">
        <f>H17*AP17</f>
        <v>0</v>
      </c>
      <c r="BJ17" s="40">
        <f>H17*I17</f>
        <v>0</v>
      </c>
      <c r="BK17" s="40" t="s">
        <v>83</v>
      </c>
      <c r="BL17" s="63">
        <v>98</v>
      </c>
    </row>
    <row r="18" spans="1:64" ht="12.75">
      <c r="A18" s="10" t="s">
        <v>12</v>
      </c>
      <c r="B18" s="22" t="s">
        <v>25</v>
      </c>
      <c r="C18" s="22" t="s">
        <v>37</v>
      </c>
      <c r="D18" s="32"/>
      <c r="E18" s="32"/>
      <c r="F18" s="32"/>
      <c r="G18" s="22" t="s">
        <v>49</v>
      </c>
      <c r="H18" s="40">
        <v>6300</v>
      </c>
      <c r="I18" s="40">
        <v>0</v>
      </c>
      <c r="J18" s="40">
        <f>H18*AO18</f>
        <v>0</v>
      </c>
      <c r="K18" s="40">
        <f>H18*AP18</f>
        <v>0</v>
      </c>
      <c r="L18" s="40">
        <f>H18*I18</f>
        <v>0</v>
      </c>
      <c r="M18" s="58" t="s">
        <v>65</v>
      </c>
      <c r="N18" s="60"/>
      <c r="Z18" s="63">
        <f>IF(AQ18="5",BJ18,0)</f>
        <v>0</v>
      </c>
      <c r="AB18" s="63">
        <f>IF(AQ18="1",BH18,0)</f>
        <v>0</v>
      </c>
      <c r="AC18" s="63">
        <f>IF(AQ18="1",BI18,0)</f>
        <v>0</v>
      </c>
      <c r="AD18" s="63">
        <f>IF(AQ18="7",BH18,0)</f>
        <v>0</v>
      </c>
      <c r="AE18" s="63">
        <f>IF(AQ18="7",BI18,0)</f>
        <v>0</v>
      </c>
      <c r="AF18" s="63">
        <f>IF(AQ18="2",BH18,0)</f>
        <v>0</v>
      </c>
      <c r="AG18" s="63">
        <f>IF(AQ18="2",BI18,0)</f>
        <v>0</v>
      </c>
      <c r="AH18" s="63">
        <f>IF(AQ18="0",BJ18,0)</f>
        <v>0</v>
      </c>
      <c r="AI18" s="62"/>
      <c r="AJ18" s="40">
        <f>IF(AN18=0,L18,0)</f>
        <v>0</v>
      </c>
      <c r="AK18" s="40">
        <f>IF(AN18=15,L18,0)</f>
        <v>0</v>
      </c>
      <c r="AL18" s="40">
        <f>IF(AN18=21,L18,0)</f>
        <v>0</v>
      </c>
      <c r="AN18" s="63">
        <v>21</v>
      </c>
      <c r="AO18" s="63">
        <f>I18*0.0486060606060606</f>
        <v>0</v>
      </c>
      <c r="AP18" s="63">
        <f>I18*(1-0.0486060606060606)</f>
        <v>0</v>
      </c>
      <c r="AQ18" s="64" t="s">
        <v>7</v>
      </c>
      <c r="AV18" s="63">
        <f>AW18+AX18</f>
        <v>0</v>
      </c>
      <c r="AW18" s="63">
        <f>H18*AO18</f>
        <v>0</v>
      </c>
      <c r="AX18" s="63">
        <f>H18*AP18</f>
        <v>0</v>
      </c>
      <c r="AY18" s="65" t="s">
        <v>76</v>
      </c>
      <c r="AZ18" s="65" t="s">
        <v>77</v>
      </c>
      <c r="BA18" s="62" t="s">
        <v>78</v>
      </c>
      <c r="BC18" s="63">
        <f>AW18+AX18</f>
        <v>0</v>
      </c>
      <c r="BD18" s="63">
        <f>I18/(100-BE18)*100</f>
        <v>0</v>
      </c>
      <c r="BE18" s="63">
        <v>0</v>
      </c>
      <c r="BF18" s="63">
        <f>18</f>
        <v>18</v>
      </c>
      <c r="BH18" s="40">
        <f>H18*AO18</f>
        <v>0</v>
      </c>
      <c r="BI18" s="40">
        <f>H18*AP18</f>
        <v>0</v>
      </c>
      <c r="BJ18" s="40">
        <f>H18*I18</f>
        <v>0</v>
      </c>
      <c r="BK18" s="40" t="s">
        <v>83</v>
      </c>
      <c r="BL18" s="63">
        <v>98</v>
      </c>
    </row>
    <row r="19" spans="1:64" ht="12.75">
      <c r="A19" s="10" t="s">
        <v>13</v>
      </c>
      <c r="B19" s="22" t="s">
        <v>25</v>
      </c>
      <c r="C19" s="22" t="s">
        <v>37</v>
      </c>
      <c r="D19" s="32"/>
      <c r="E19" s="32"/>
      <c r="F19" s="32"/>
      <c r="G19" s="22" t="s">
        <v>49</v>
      </c>
      <c r="H19" s="40">
        <v>6300</v>
      </c>
      <c r="I19" s="40">
        <v>0</v>
      </c>
      <c r="J19" s="40">
        <f>H19*AO19</f>
        <v>0</v>
      </c>
      <c r="K19" s="40">
        <f>H19*AP19</f>
        <v>0</v>
      </c>
      <c r="L19" s="40">
        <f>H19*I19</f>
        <v>0</v>
      </c>
      <c r="M19" s="58" t="s">
        <v>65</v>
      </c>
      <c r="N19" s="60"/>
      <c r="Z19" s="63">
        <f>IF(AQ19="5",BJ19,0)</f>
        <v>0</v>
      </c>
      <c r="AB19" s="63">
        <f>IF(AQ19="1",BH19,0)</f>
        <v>0</v>
      </c>
      <c r="AC19" s="63">
        <f>IF(AQ19="1",BI19,0)</f>
        <v>0</v>
      </c>
      <c r="AD19" s="63">
        <f>IF(AQ19="7",BH19,0)</f>
        <v>0</v>
      </c>
      <c r="AE19" s="63">
        <f>IF(AQ19="7",BI19,0)</f>
        <v>0</v>
      </c>
      <c r="AF19" s="63">
        <f>IF(AQ19="2",BH19,0)</f>
        <v>0</v>
      </c>
      <c r="AG19" s="63">
        <f>IF(AQ19="2",BI19,0)</f>
        <v>0</v>
      </c>
      <c r="AH19" s="63">
        <f>IF(AQ19="0",BJ19,0)</f>
        <v>0</v>
      </c>
      <c r="AI19" s="62"/>
      <c r="AJ19" s="40">
        <f>IF(AN19=0,L19,0)</f>
        <v>0</v>
      </c>
      <c r="AK19" s="40">
        <f>IF(AN19=15,L19,0)</f>
        <v>0</v>
      </c>
      <c r="AL19" s="40">
        <f>IF(AN19=21,L19,0)</f>
        <v>0</v>
      </c>
      <c r="AN19" s="63">
        <v>21</v>
      </c>
      <c r="AO19" s="63">
        <f>I19*0.0486060606060606</f>
        <v>0</v>
      </c>
      <c r="AP19" s="63">
        <f>I19*(1-0.0486060606060606)</f>
        <v>0</v>
      </c>
      <c r="AQ19" s="64" t="s">
        <v>7</v>
      </c>
      <c r="AV19" s="63">
        <f>AW19+AX19</f>
        <v>0</v>
      </c>
      <c r="AW19" s="63">
        <f>H19*AO19</f>
        <v>0</v>
      </c>
      <c r="AX19" s="63">
        <f>H19*AP19</f>
        <v>0</v>
      </c>
      <c r="AY19" s="65" t="s">
        <v>76</v>
      </c>
      <c r="AZ19" s="65" t="s">
        <v>77</v>
      </c>
      <c r="BA19" s="62" t="s">
        <v>78</v>
      </c>
      <c r="BC19" s="63">
        <f>AW19+AX19</f>
        <v>0</v>
      </c>
      <c r="BD19" s="63">
        <f>I19/(100-BE19)*100</f>
        <v>0</v>
      </c>
      <c r="BE19" s="63">
        <v>0</v>
      </c>
      <c r="BF19" s="63">
        <f>19</f>
        <v>19</v>
      </c>
      <c r="BH19" s="40">
        <f>H19*AO19</f>
        <v>0</v>
      </c>
      <c r="BI19" s="40">
        <f>H19*AP19</f>
        <v>0</v>
      </c>
      <c r="BJ19" s="40">
        <f>H19*I19</f>
        <v>0</v>
      </c>
      <c r="BK19" s="40" t="s">
        <v>83</v>
      </c>
      <c r="BL19" s="63">
        <v>98</v>
      </c>
    </row>
    <row r="20" spans="1:64" ht="12.75">
      <c r="A20" s="10" t="s">
        <v>14</v>
      </c>
      <c r="B20" s="22" t="s">
        <v>25</v>
      </c>
      <c r="C20" s="22" t="s">
        <v>37</v>
      </c>
      <c r="D20" s="32"/>
      <c r="E20" s="32"/>
      <c r="F20" s="32"/>
      <c r="G20" s="22" t="s">
        <v>49</v>
      </c>
      <c r="H20" s="40">
        <v>1404</v>
      </c>
      <c r="I20" s="40">
        <v>0</v>
      </c>
      <c r="J20" s="40">
        <f>H20*AO20</f>
        <v>0</v>
      </c>
      <c r="K20" s="40">
        <f>H20*AP20</f>
        <v>0</v>
      </c>
      <c r="L20" s="40">
        <f>H20*I20</f>
        <v>0</v>
      </c>
      <c r="M20" s="58" t="s">
        <v>65</v>
      </c>
      <c r="N20" s="60"/>
      <c r="Z20" s="63">
        <f>IF(AQ20="5",BJ20,0)</f>
        <v>0</v>
      </c>
      <c r="AB20" s="63">
        <f>IF(AQ20="1",BH20,0)</f>
        <v>0</v>
      </c>
      <c r="AC20" s="63">
        <f>IF(AQ20="1",BI20,0)</f>
        <v>0</v>
      </c>
      <c r="AD20" s="63">
        <f>IF(AQ20="7",BH20,0)</f>
        <v>0</v>
      </c>
      <c r="AE20" s="63">
        <f>IF(AQ20="7",BI20,0)</f>
        <v>0</v>
      </c>
      <c r="AF20" s="63">
        <f>IF(AQ20="2",BH20,0)</f>
        <v>0</v>
      </c>
      <c r="AG20" s="63">
        <f>IF(AQ20="2",BI20,0)</f>
        <v>0</v>
      </c>
      <c r="AH20" s="63">
        <f>IF(AQ20="0",BJ20,0)</f>
        <v>0</v>
      </c>
      <c r="AI20" s="62"/>
      <c r="AJ20" s="40">
        <f>IF(AN20=0,L20,0)</f>
        <v>0</v>
      </c>
      <c r="AK20" s="40">
        <f>IF(AN20=15,L20,0)</f>
        <v>0</v>
      </c>
      <c r="AL20" s="40">
        <f>IF(AN20=21,L20,0)</f>
        <v>0</v>
      </c>
      <c r="AN20" s="63">
        <v>21</v>
      </c>
      <c r="AO20" s="63">
        <f>I20*0.0486060606060606</f>
        <v>0</v>
      </c>
      <c r="AP20" s="63">
        <f>I20*(1-0.0486060606060606)</f>
        <v>0</v>
      </c>
      <c r="AQ20" s="64" t="s">
        <v>7</v>
      </c>
      <c r="AV20" s="63">
        <f>AW20+AX20</f>
        <v>0</v>
      </c>
      <c r="AW20" s="63">
        <f>H20*AO20</f>
        <v>0</v>
      </c>
      <c r="AX20" s="63">
        <f>H20*AP20</f>
        <v>0</v>
      </c>
      <c r="AY20" s="65" t="s">
        <v>76</v>
      </c>
      <c r="AZ20" s="65" t="s">
        <v>77</v>
      </c>
      <c r="BA20" s="62" t="s">
        <v>78</v>
      </c>
      <c r="BC20" s="63">
        <f>AW20+AX20</f>
        <v>0</v>
      </c>
      <c r="BD20" s="63">
        <f>I20/(100-BE20)*100</f>
        <v>0</v>
      </c>
      <c r="BE20" s="63">
        <v>0</v>
      </c>
      <c r="BF20" s="63">
        <f>20</f>
        <v>20</v>
      </c>
      <c r="BH20" s="40">
        <f>H20*AO20</f>
        <v>0</v>
      </c>
      <c r="BI20" s="40">
        <f>H20*AP20</f>
        <v>0</v>
      </c>
      <c r="BJ20" s="40">
        <f>H20*I20</f>
        <v>0</v>
      </c>
      <c r="BK20" s="40" t="s">
        <v>83</v>
      </c>
      <c r="BL20" s="63">
        <v>98</v>
      </c>
    </row>
    <row r="21" spans="1:64" ht="12.75">
      <c r="A21" s="10" t="s">
        <v>15</v>
      </c>
      <c r="B21" s="22" t="s">
        <v>25</v>
      </c>
      <c r="C21" s="22" t="s">
        <v>37</v>
      </c>
      <c r="D21" s="32"/>
      <c r="E21" s="32"/>
      <c r="F21" s="32"/>
      <c r="G21" s="22" t="s">
        <v>49</v>
      </c>
      <c r="H21" s="40">
        <v>1404</v>
      </c>
      <c r="I21" s="40">
        <v>0</v>
      </c>
      <c r="J21" s="40">
        <f>H21*AO21</f>
        <v>0</v>
      </c>
      <c r="K21" s="40">
        <f>H21*AP21</f>
        <v>0</v>
      </c>
      <c r="L21" s="40">
        <f>H21*I21</f>
        <v>0</v>
      </c>
      <c r="M21" s="58" t="s">
        <v>65</v>
      </c>
      <c r="N21" s="60"/>
      <c r="Z21" s="63">
        <f>IF(AQ21="5",BJ21,0)</f>
        <v>0</v>
      </c>
      <c r="AB21" s="63">
        <f>IF(AQ21="1",BH21,0)</f>
        <v>0</v>
      </c>
      <c r="AC21" s="63">
        <f>IF(AQ21="1",BI21,0)</f>
        <v>0</v>
      </c>
      <c r="AD21" s="63">
        <f>IF(AQ21="7",BH21,0)</f>
        <v>0</v>
      </c>
      <c r="AE21" s="63">
        <f>IF(AQ21="7",BI21,0)</f>
        <v>0</v>
      </c>
      <c r="AF21" s="63">
        <f>IF(AQ21="2",BH21,0)</f>
        <v>0</v>
      </c>
      <c r="AG21" s="63">
        <f>IF(AQ21="2",BI21,0)</f>
        <v>0</v>
      </c>
      <c r="AH21" s="63">
        <f>IF(AQ21="0",BJ21,0)</f>
        <v>0</v>
      </c>
      <c r="AI21" s="62"/>
      <c r="AJ21" s="40">
        <f>IF(AN21=0,L21,0)</f>
        <v>0</v>
      </c>
      <c r="AK21" s="40">
        <f>IF(AN21=15,L21,0)</f>
        <v>0</v>
      </c>
      <c r="AL21" s="40">
        <f>IF(AN21=21,L21,0)</f>
        <v>0</v>
      </c>
      <c r="AN21" s="63">
        <v>21</v>
      </c>
      <c r="AO21" s="63">
        <f>I21*0.0486060606060606</f>
        <v>0</v>
      </c>
      <c r="AP21" s="63">
        <f>I21*(1-0.0486060606060606)</f>
        <v>0</v>
      </c>
      <c r="AQ21" s="64" t="s">
        <v>7</v>
      </c>
      <c r="AV21" s="63">
        <f>AW21+AX21</f>
        <v>0</v>
      </c>
      <c r="AW21" s="63">
        <f>H21*AO21</f>
        <v>0</v>
      </c>
      <c r="AX21" s="63">
        <f>H21*AP21</f>
        <v>0</v>
      </c>
      <c r="AY21" s="65" t="s">
        <v>76</v>
      </c>
      <c r="AZ21" s="65" t="s">
        <v>77</v>
      </c>
      <c r="BA21" s="62" t="s">
        <v>78</v>
      </c>
      <c r="BC21" s="63">
        <f>AW21+AX21</f>
        <v>0</v>
      </c>
      <c r="BD21" s="63">
        <f>I21/(100-BE21)*100</f>
        <v>0</v>
      </c>
      <c r="BE21" s="63">
        <v>0</v>
      </c>
      <c r="BF21" s="63">
        <f>21</f>
        <v>21</v>
      </c>
      <c r="BH21" s="40">
        <f>H21*AO21</f>
        <v>0</v>
      </c>
      <c r="BI21" s="40">
        <f>H21*AP21</f>
        <v>0</v>
      </c>
      <c r="BJ21" s="40">
        <f>H21*I21</f>
        <v>0</v>
      </c>
      <c r="BK21" s="40" t="s">
        <v>83</v>
      </c>
      <c r="BL21" s="63">
        <v>98</v>
      </c>
    </row>
    <row r="22" spans="1:64" ht="12.75">
      <c r="A22" s="10" t="s">
        <v>16</v>
      </c>
      <c r="B22" s="22" t="s">
        <v>25</v>
      </c>
      <c r="C22" s="22" t="s">
        <v>38</v>
      </c>
      <c r="D22" s="32"/>
      <c r="E22" s="32"/>
      <c r="F22" s="32"/>
      <c r="G22" s="22" t="s">
        <v>49</v>
      </c>
      <c r="H22" s="40">
        <v>0</v>
      </c>
      <c r="I22" s="40">
        <v>0</v>
      </c>
      <c r="J22" s="40">
        <f>H22*AO22</f>
        <v>0</v>
      </c>
      <c r="K22" s="40">
        <f>H22*AP22</f>
        <v>0</v>
      </c>
      <c r="L22" s="40">
        <f>H22*I22</f>
        <v>0</v>
      </c>
      <c r="M22" s="58" t="s">
        <v>65</v>
      </c>
      <c r="N22" s="60"/>
      <c r="Z22" s="63">
        <f>IF(AQ22="5",BJ22,0)</f>
        <v>0</v>
      </c>
      <c r="AB22" s="63">
        <f>IF(AQ22="1",BH22,0)</f>
        <v>0</v>
      </c>
      <c r="AC22" s="63">
        <f>IF(AQ22="1",BI22,0)</f>
        <v>0</v>
      </c>
      <c r="AD22" s="63">
        <f>IF(AQ22="7",BH22,0)</f>
        <v>0</v>
      </c>
      <c r="AE22" s="63">
        <f>IF(AQ22="7",BI22,0)</f>
        <v>0</v>
      </c>
      <c r="AF22" s="63">
        <f>IF(AQ22="2",BH22,0)</f>
        <v>0</v>
      </c>
      <c r="AG22" s="63">
        <f>IF(AQ22="2",BI22,0)</f>
        <v>0</v>
      </c>
      <c r="AH22" s="63">
        <f>IF(AQ22="0",BJ22,0)</f>
        <v>0</v>
      </c>
      <c r="AI22" s="62"/>
      <c r="AJ22" s="40">
        <f>IF(AN22=0,L22,0)</f>
        <v>0</v>
      </c>
      <c r="AK22" s="40">
        <f>IF(AN22=15,L22,0)</f>
        <v>0</v>
      </c>
      <c r="AL22" s="40">
        <f>IF(AN22=21,L22,0)</f>
        <v>0</v>
      </c>
      <c r="AN22" s="63">
        <v>21</v>
      </c>
      <c r="AO22" s="63">
        <f>I22*0</f>
        <v>0</v>
      </c>
      <c r="AP22" s="63">
        <f>I22*(1-0)</f>
        <v>0</v>
      </c>
      <c r="AQ22" s="64" t="s">
        <v>7</v>
      </c>
      <c r="AV22" s="63">
        <f>AW22+AX22</f>
        <v>0</v>
      </c>
      <c r="AW22" s="63">
        <f>H22*AO22</f>
        <v>0</v>
      </c>
      <c r="AX22" s="63">
        <f>H22*AP22</f>
        <v>0</v>
      </c>
      <c r="AY22" s="65" t="s">
        <v>76</v>
      </c>
      <c r="AZ22" s="65" t="s">
        <v>77</v>
      </c>
      <c r="BA22" s="62" t="s">
        <v>78</v>
      </c>
      <c r="BC22" s="63">
        <f>AW22+AX22</f>
        <v>0</v>
      </c>
      <c r="BD22" s="63">
        <f>I22/(100-BE22)*100</f>
        <v>0</v>
      </c>
      <c r="BE22" s="63">
        <v>0</v>
      </c>
      <c r="BF22" s="63">
        <f>22</f>
        <v>22</v>
      </c>
      <c r="BH22" s="40">
        <f>H22*AO22</f>
        <v>0</v>
      </c>
      <c r="BI22" s="40">
        <f>H22*AP22</f>
        <v>0</v>
      </c>
      <c r="BJ22" s="40">
        <f>H22*I22</f>
        <v>0</v>
      </c>
      <c r="BK22" s="40" t="s">
        <v>83</v>
      </c>
      <c r="BL22" s="63">
        <v>98</v>
      </c>
    </row>
    <row r="23" spans="1:64" ht="12.75">
      <c r="A23" s="10" t="s">
        <v>17</v>
      </c>
      <c r="B23" s="22" t="s">
        <v>25</v>
      </c>
      <c r="C23" s="22" t="s">
        <v>39</v>
      </c>
      <c r="D23" s="32"/>
      <c r="E23" s="32"/>
      <c r="F23" s="32"/>
      <c r="G23" s="22" t="s">
        <v>49</v>
      </c>
      <c r="H23" s="40">
        <v>0</v>
      </c>
      <c r="I23" s="40">
        <v>0</v>
      </c>
      <c r="J23" s="40">
        <f>H23*AO23</f>
        <v>0</v>
      </c>
      <c r="K23" s="40">
        <f>H23*AP23</f>
        <v>0</v>
      </c>
      <c r="L23" s="40">
        <f>H23*I23</f>
        <v>0</v>
      </c>
      <c r="M23" s="58" t="s">
        <v>65</v>
      </c>
      <c r="N23" s="60"/>
      <c r="Z23" s="63">
        <f>IF(AQ23="5",BJ23,0)</f>
        <v>0</v>
      </c>
      <c r="AB23" s="63">
        <f>IF(AQ23="1",BH23,0)</f>
        <v>0</v>
      </c>
      <c r="AC23" s="63">
        <f>IF(AQ23="1",BI23,0)</f>
        <v>0</v>
      </c>
      <c r="AD23" s="63">
        <f>IF(AQ23="7",BH23,0)</f>
        <v>0</v>
      </c>
      <c r="AE23" s="63">
        <f>IF(AQ23="7",BI23,0)</f>
        <v>0</v>
      </c>
      <c r="AF23" s="63">
        <f>IF(AQ23="2",BH23,0)</f>
        <v>0</v>
      </c>
      <c r="AG23" s="63">
        <f>IF(AQ23="2",BI23,0)</f>
        <v>0</v>
      </c>
      <c r="AH23" s="63">
        <f>IF(AQ23="0",BJ23,0)</f>
        <v>0</v>
      </c>
      <c r="AI23" s="62"/>
      <c r="AJ23" s="40">
        <f>IF(AN23=0,L23,0)</f>
        <v>0</v>
      </c>
      <c r="AK23" s="40">
        <f>IF(AN23=15,L23,0)</f>
        <v>0</v>
      </c>
      <c r="AL23" s="40">
        <f>IF(AN23=21,L23,0)</f>
        <v>0</v>
      </c>
      <c r="AN23" s="63">
        <v>21</v>
      </c>
      <c r="AO23" s="63">
        <f>I23*0</f>
        <v>0</v>
      </c>
      <c r="AP23" s="63">
        <f>I23*(1-0)</f>
        <v>0</v>
      </c>
      <c r="AQ23" s="64" t="s">
        <v>7</v>
      </c>
      <c r="AV23" s="63">
        <f>AW23+AX23</f>
        <v>0</v>
      </c>
      <c r="AW23" s="63">
        <f>H23*AO23</f>
        <v>0</v>
      </c>
      <c r="AX23" s="63">
        <f>H23*AP23</f>
        <v>0</v>
      </c>
      <c r="AY23" s="65" t="s">
        <v>76</v>
      </c>
      <c r="AZ23" s="65" t="s">
        <v>77</v>
      </c>
      <c r="BA23" s="62" t="s">
        <v>78</v>
      </c>
      <c r="BC23" s="63">
        <f>AW23+AX23</f>
        <v>0</v>
      </c>
      <c r="BD23" s="63">
        <f>I23/(100-BE23)*100</f>
        <v>0</v>
      </c>
      <c r="BE23" s="63">
        <v>0</v>
      </c>
      <c r="BF23" s="63">
        <f>23</f>
        <v>23</v>
      </c>
      <c r="BH23" s="40">
        <f>H23*AO23</f>
        <v>0</v>
      </c>
      <c r="BI23" s="40">
        <f>H23*AP23</f>
        <v>0</v>
      </c>
      <c r="BJ23" s="40">
        <f>H23*I23</f>
        <v>0</v>
      </c>
      <c r="BK23" s="40" t="s">
        <v>83</v>
      </c>
      <c r="BL23" s="63">
        <v>98</v>
      </c>
    </row>
    <row r="24" spans="1:64" ht="12.75">
      <c r="A24" s="10" t="s">
        <v>18</v>
      </c>
      <c r="B24" s="22" t="s">
        <v>26</v>
      </c>
      <c r="C24" s="22" t="s">
        <v>40</v>
      </c>
      <c r="D24" s="32"/>
      <c r="E24" s="32"/>
      <c r="F24" s="32"/>
      <c r="G24" s="22" t="s">
        <v>49</v>
      </c>
      <c r="H24" s="40">
        <v>600</v>
      </c>
      <c r="I24" s="40">
        <v>0</v>
      </c>
      <c r="J24" s="40">
        <f>H24*AO24</f>
        <v>0</v>
      </c>
      <c r="K24" s="40">
        <f>H24*AP24</f>
        <v>0</v>
      </c>
      <c r="L24" s="40">
        <f>H24*I24</f>
        <v>0</v>
      </c>
      <c r="M24" s="58" t="s">
        <v>65</v>
      </c>
      <c r="N24" s="60"/>
      <c r="Z24" s="63">
        <f>IF(AQ24="5",BJ24,0)</f>
        <v>0</v>
      </c>
      <c r="AB24" s="63">
        <f>IF(AQ24="1",BH24,0)</f>
        <v>0</v>
      </c>
      <c r="AC24" s="63">
        <f>IF(AQ24="1",BI24,0)</f>
        <v>0</v>
      </c>
      <c r="AD24" s="63">
        <f>IF(AQ24="7",BH24,0)</f>
        <v>0</v>
      </c>
      <c r="AE24" s="63">
        <f>IF(AQ24="7",BI24,0)</f>
        <v>0</v>
      </c>
      <c r="AF24" s="63">
        <f>IF(AQ24="2",BH24,0)</f>
        <v>0</v>
      </c>
      <c r="AG24" s="63">
        <f>IF(AQ24="2",BI24,0)</f>
        <v>0</v>
      </c>
      <c r="AH24" s="63">
        <f>IF(AQ24="0",BJ24,0)</f>
        <v>0</v>
      </c>
      <c r="AI24" s="62"/>
      <c r="AJ24" s="40">
        <f>IF(AN24=0,L24,0)</f>
        <v>0</v>
      </c>
      <c r="AK24" s="40">
        <f>IF(AN24=15,L24,0)</f>
        <v>0</v>
      </c>
      <c r="AL24" s="40">
        <f>IF(AN24=21,L24,0)</f>
        <v>0</v>
      </c>
      <c r="AN24" s="63">
        <v>21</v>
      </c>
      <c r="AO24" s="63">
        <f>I24*0.446164457046517</f>
        <v>0</v>
      </c>
      <c r="AP24" s="63">
        <f>I24*(1-0.446164457046517)</f>
        <v>0</v>
      </c>
      <c r="AQ24" s="64" t="s">
        <v>7</v>
      </c>
      <c r="AV24" s="63">
        <f>AW24+AX24</f>
        <v>0</v>
      </c>
      <c r="AW24" s="63">
        <f>H24*AO24</f>
        <v>0</v>
      </c>
      <c r="AX24" s="63">
        <f>H24*AP24</f>
        <v>0</v>
      </c>
      <c r="AY24" s="65" t="s">
        <v>76</v>
      </c>
      <c r="AZ24" s="65" t="s">
        <v>77</v>
      </c>
      <c r="BA24" s="62" t="s">
        <v>78</v>
      </c>
      <c r="BC24" s="63">
        <f>AW24+AX24</f>
        <v>0</v>
      </c>
      <c r="BD24" s="63">
        <f>I24/(100-BE24)*100</f>
        <v>0</v>
      </c>
      <c r="BE24" s="63">
        <v>0</v>
      </c>
      <c r="BF24" s="63">
        <f>24</f>
        <v>24</v>
      </c>
      <c r="BH24" s="40">
        <f>H24*AO24</f>
        <v>0</v>
      </c>
      <c r="BI24" s="40">
        <f>H24*AP24</f>
        <v>0</v>
      </c>
      <c r="BJ24" s="40">
        <f>H24*I24</f>
        <v>0</v>
      </c>
      <c r="BK24" s="40" t="s">
        <v>83</v>
      </c>
      <c r="BL24" s="63">
        <v>98</v>
      </c>
    </row>
    <row r="25" spans="1:64" ht="12.75">
      <c r="A25" s="10" t="s">
        <v>19</v>
      </c>
      <c r="B25" s="22" t="s">
        <v>24</v>
      </c>
      <c r="C25" s="22" t="s">
        <v>35</v>
      </c>
      <c r="D25" s="32"/>
      <c r="E25" s="32"/>
      <c r="F25" s="32"/>
      <c r="G25" s="22" t="s">
        <v>49</v>
      </c>
      <c r="H25" s="40">
        <v>500</v>
      </c>
      <c r="I25" s="40">
        <v>0</v>
      </c>
      <c r="J25" s="40">
        <f>H25*AO25</f>
        <v>0</v>
      </c>
      <c r="K25" s="40">
        <f>H25*AP25</f>
        <v>0</v>
      </c>
      <c r="L25" s="40">
        <f>H25*I25</f>
        <v>0</v>
      </c>
      <c r="M25" s="58" t="s">
        <v>65</v>
      </c>
      <c r="N25" s="60"/>
      <c r="Z25" s="63">
        <f>IF(AQ25="5",BJ25,0)</f>
        <v>0</v>
      </c>
      <c r="AB25" s="63">
        <f>IF(AQ25="1",BH25,0)</f>
        <v>0</v>
      </c>
      <c r="AC25" s="63">
        <f>IF(AQ25="1",BI25,0)</f>
        <v>0</v>
      </c>
      <c r="AD25" s="63">
        <f>IF(AQ25="7",BH25,0)</f>
        <v>0</v>
      </c>
      <c r="AE25" s="63">
        <f>IF(AQ25="7",BI25,0)</f>
        <v>0</v>
      </c>
      <c r="AF25" s="63">
        <f>IF(AQ25="2",BH25,0)</f>
        <v>0</v>
      </c>
      <c r="AG25" s="63">
        <f>IF(AQ25="2",BI25,0)</f>
        <v>0</v>
      </c>
      <c r="AH25" s="63">
        <f>IF(AQ25="0",BJ25,0)</f>
        <v>0</v>
      </c>
      <c r="AI25" s="62"/>
      <c r="AJ25" s="40">
        <f>IF(AN25=0,L25,0)</f>
        <v>0</v>
      </c>
      <c r="AK25" s="40">
        <f>IF(AN25=15,L25,0)</f>
        <v>0</v>
      </c>
      <c r="AL25" s="40">
        <f>IF(AN25=21,L25,0)</f>
        <v>0</v>
      </c>
      <c r="AN25" s="63">
        <v>21</v>
      </c>
      <c r="AO25" s="63">
        <f>I25*0.048993288590604</f>
        <v>0</v>
      </c>
      <c r="AP25" s="63">
        <f>I25*(1-0.048993288590604)</f>
        <v>0</v>
      </c>
      <c r="AQ25" s="64" t="s">
        <v>7</v>
      </c>
      <c r="AV25" s="63">
        <f>AW25+AX25</f>
        <v>0</v>
      </c>
      <c r="AW25" s="63">
        <f>H25*AO25</f>
        <v>0</v>
      </c>
      <c r="AX25" s="63">
        <f>H25*AP25</f>
        <v>0</v>
      </c>
      <c r="AY25" s="65" t="s">
        <v>76</v>
      </c>
      <c r="AZ25" s="65" t="s">
        <v>77</v>
      </c>
      <c r="BA25" s="62" t="s">
        <v>78</v>
      </c>
      <c r="BC25" s="63">
        <f>AW25+AX25</f>
        <v>0</v>
      </c>
      <c r="BD25" s="63">
        <f>I25/(100-BE25)*100</f>
        <v>0</v>
      </c>
      <c r="BE25" s="63">
        <v>0</v>
      </c>
      <c r="BF25" s="63">
        <f>25</f>
        <v>25</v>
      </c>
      <c r="BH25" s="40">
        <f>H25*AO25</f>
        <v>0</v>
      </c>
      <c r="BI25" s="40">
        <f>H25*AP25</f>
        <v>0</v>
      </c>
      <c r="BJ25" s="40">
        <f>H25*I25</f>
        <v>0</v>
      </c>
      <c r="BK25" s="40" t="s">
        <v>83</v>
      </c>
      <c r="BL25" s="63">
        <v>98</v>
      </c>
    </row>
    <row r="26" spans="1:64" ht="12.75">
      <c r="A26" s="11" t="s">
        <v>20</v>
      </c>
      <c r="B26" s="23" t="s">
        <v>27</v>
      </c>
      <c r="C26" s="23" t="s">
        <v>41</v>
      </c>
      <c r="D26" s="33"/>
      <c r="E26" s="33"/>
      <c r="F26" s="33"/>
      <c r="G26" s="23" t="s">
        <v>49</v>
      </c>
      <c r="H26" s="41">
        <v>102.5</v>
      </c>
      <c r="I26" s="41">
        <v>0</v>
      </c>
      <c r="J26" s="41">
        <f>H26*AO26</f>
        <v>0</v>
      </c>
      <c r="K26" s="41">
        <f>H26*AP26</f>
        <v>0</v>
      </c>
      <c r="L26" s="41">
        <f>H26*I26</f>
        <v>0</v>
      </c>
      <c r="M26" s="59" t="s">
        <v>66</v>
      </c>
      <c r="N26" s="60"/>
      <c r="Z26" s="63">
        <f>IF(AQ26="5",BJ26,0)</f>
        <v>0</v>
      </c>
      <c r="AB26" s="63">
        <f>IF(AQ26="1",BH26,0)</f>
        <v>0</v>
      </c>
      <c r="AC26" s="63">
        <f>IF(AQ26="1",BI26,0)</f>
        <v>0</v>
      </c>
      <c r="AD26" s="63">
        <f>IF(AQ26="7",BH26,0)</f>
        <v>0</v>
      </c>
      <c r="AE26" s="63">
        <f>IF(AQ26="7",BI26,0)</f>
        <v>0</v>
      </c>
      <c r="AF26" s="63">
        <f>IF(AQ26="2",BH26,0)</f>
        <v>0</v>
      </c>
      <c r="AG26" s="63">
        <f>IF(AQ26="2",BI26,0)</f>
        <v>0</v>
      </c>
      <c r="AH26" s="63">
        <f>IF(AQ26="0",BJ26,0)</f>
        <v>0</v>
      </c>
      <c r="AI26" s="62"/>
      <c r="AJ26" s="40">
        <f>IF(AN26=0,L26,0)</f>
        <v>0</v>
      </c>
      <c r="AK26" s="40">
        <f>IF(AN26=15,L26,0)</f>
        <v>0</v>
      </c>
      <c r="AL26" s="40">
        <f>IF(AN26=21,L26,0)</f>
        <v>0</v>
      </c>
      <c r="AN26" s="63">
        <v>21</v>
      </c>
      <c r="AO26" s="63">
        <f>I26*0.024774403738703</f>
        <v>0</v>
      </c>
      <c r="AP26" s="63">
        <f>I26*(1-0.024774403738703)</f>
        <v>0</v>
      </c>
      <c r="AQ26" s="64" t="s">
        <v>7</v>
      </c>
      <c r="AV26" s="63">
        <f>AW26+AX26</f>
        <v>0</v>
      </c>
      <c r="AW26" s="63">
        <f>H26*AO26</f>
        <v>0</v>
      </c>
      <c r="AX26" s="63">
        <f>H26*AP26</f>
        <v>0</v>
      </c>
      <c r="AY26" s="65" t="s">
        <v>76</v>
      </c>
      <c r="AZ26" s="65" t="s">
        <v>77</v>
      </c>
      <c r="BA26" s="62" t="s">
        <v>78</v>
      </c>
      <c r="BC26" s="63">
        <f>AW26+AX26</f>
        <v>0</v>
      </c>
      <c r="BD26" s="63">
        <f>I26/(100-BE26)*100</f>
        <v>0</v>
      </c>
      <c r="BE26" s="63">
        <v>0</v>
      </c>
      <c r="BF26" s="63">
        <f>26</f>
        <v>26</v>
      </c>
      <c r="BH26" s="40">
        <f>H26*AO26</f>
        <v>0</v>
      </c>
      <c r="BI26" s="40">
        <f>H26*AP26</f>
        <v>0</v>
      </c>
      <c r="BJ26" s="40">
        <f>H26*I26</f>
        <v>0</v>
      </c>
      <c r="BK26" s="40" t="s">
        <v>83</v>
      </c>
      <c r="BL26" s="63">
        <v>98</v>
      </c>
    </row>
    <row r="27" spans="1:13" ht="12.75">
      <c r="A27" s="12"/>
      <c r="B27" s="12"/>
      <c r="C27" s="12"/>
      <c r="D27" s="12"/>
      <c r="E27" s="12"/>
      <c r="F27" s="12"/>
      <c r="G27" s="12"/>
      <c r="H27" s="12"/>
      <c r="I27" s="12"/>
      <c r="J27" s="47" t="s">
        <v>60</v>
      </c>
      <c r="K27" s="28"/>
      <c r="L27" s="68">
        <f>L12</f>
        <v>0</v>
      </c>
      <c r="M27" s="12"/>
    </row>
    <row r="28" ht="11.25" customHeight="1">
      <c r="A28" s="13" t="s">
        <v>21</v>
      </c>
    </row>
    <row r="29" spans="1:13" ht="12.75">
      <c r="A29" s="14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</sheetData>
  <mergeCells count="45">
    <mergeCell ref="A1:M1"/>
    <mergeCell ref="A2:B3"/>
    <mergeCell ref="C2:D3"/>
    <mergeCell ref="E2:F3"/>
    <mergeCell ref="G2:H3"/>
    <mergeCell ref="I2:I3"/>
    <mergeCell ref="J2:M3"/>
    <mergeCell ref="A4:B5"/>
    <mergeCell ref="C4:D5"/>
    <mergeCell ref="E4:F5"/>
    <mergeCell ref="G4:H5"/>
    <mergeCell ref="I4:I5"/>
    <mergeCell ref="J4:M5"/>
    <mergeCell ref="A6:B7"/>
    <mergeCell ref="C6:D7"/>
    <mergeCell ref="E6:F7"/>
    <mergeCell ref="G6:H7"/>
    <mergeCell ref="I6:I7"/>
    <mergeCell ref="J6:M7"/>
    <mergeCell ref="A8:B9"/>
    <mergeCell ref="C8:D9"/>
    <mergeCell ref="E8:F9"/>
    <mergeCell ref="G8:H9"/>
    <mergeCell ref="I8:I9"/>
    <mergeCell ref="J8:M9"/>
    <mergeCell ref="C10:F10"/>
    <mergeCell ref="J10:L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J27:K27"/>
    <mergeCell ref="A29:M29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A1" sqref="A1"/>
    </sheetView>
  </sheetViews>
  <sheetFormatPr defaultColWidth="11.57421875" defaultRowHeight="12.75"/>
  <cols>
    <col min="1" max="1" width="9.140625" customWidth="1"/>
    <col min="2" max="2" width="12.8515625" customWidth="1"/>
    <col min="3" max="3" width="22.8515625" customWidth="1"/>
    <col min="4" max="4" width="10.00390625" customWidth="1"/>
    <col min="5" max="5" width="14.00390625" customWidth="1"/>
    <col min="6" max="6" width="22.8515625" customWidth="1"/>
    <col min="7" max="7" width="9.140625" customWidth="1"/>
    <col min="8" max="8" width="12.8515625" customWidth="1"/>
    <col min="9" max="9" width="22.8515625" customWidth="1"/>
  </cols>
  <sheetData>
    <row r="1" spans="1:9" ht="72.75" customHeight="1">
      <c r="A1" s="113"/>
      <c r="B1" s="70"/>
      <c r="C1" s="93" t="s">
        <v>100</v>
      </c>
      <c r="D1" s="15"/>
      <c r="E1" s="15"/>
      <c r="F1" s="15"/>
      <c r="G1" s="15"/>
      <c r="H1" s="15"/>
      <c r="I1" s="15"/>
    </row>
    <row r="2" spans="1:10" ht="12.75">
      <c r="A2" s="3" t="s">
        <v>1</v>
      </c>
      <c r="B2" s="16"/>
      <c r="C2" s="24" t="str">
        <f>'Stavební rozpočet'!C2</f>
        <v>Bourací práce - bez objektů č.2,10,11,vč. objektu č.14</v>
      </c>
      <c r="D2" s="28"/>
      <c r="E2" s="42" t="s">
        <v>51</v>
      </c>
      <c r="F2" s="42" t="str">
        <f>'Stavební rozpočet'!J2</f>
        <v> </v>
      </c>
      <c r="G2" s="16"/>
      <c r="H2" s="42" t="s">
        <v>125</v>
      </c>
      <c r="I2" s="107"/>
      <c r="J2" s="60"/>
    </row>
    <row r="3" spans="1:10" ht="12.75">
      <c r="A3" s="4"/>
      <c r="B3" s="17"/>
      <c r="C3" s="25"/>
      <c r="D3" s="25"/>
      <c r="E3" s="17"/>
      <c r="F3" s="17"/>
      <c r="G3" s="17"/>
      <c r="H3" s="17"/>
      <c r="I3" s="53"/>
      <c r="J3" s="60"/>
    </row>
    <row r="4" spans="1:10" ht="12.75">
      <c r="A4" s="5" t="s">
        <v>2</v>
      </c>
      <c r="B4" s="17"/>
      <c r="C4" s="14" t="str">
        <f>'Stavební rozpočet'!C4</f>
        <v> </v>
      </c>
      <c r="D4" s="17"/>
      <c r="E4" s="14" t="s">
        <v>52</v>
      </c>
      <c r="F4" s="14" t="str">
        <f>'Stavební rozpočet'!J4</f>
        <v> </v>
      </c>
      <c r="G4" s="17"/>
      <c r="H4" s="14" t="s">
        <v>125</v>
      </c>
      <c r="I4" s="108"/>
      <c r="J4" s="60"/>
    </row>
    <row r="5" spans="1:10" ht="12.75">
      <c r="A5" s="4"/>
      <c r="B5" s="17"/>
      <c r="C5" s="17"/>
      <c r="D5" s="17"/>
      <c r="E5" s="17"/>
      <c r="F5" s="17"/>
      <c r="G5" s="17"/>
      <c r="H5" s="17"/>
      <c r="I5" s="53"/>
      <c r="J5" s="60"/>
    </row>
    <row r="6" spans="1:10" ht="12.75">
      <c r="A6" s="5" t="s">
        <v>3</v>
      </c>
      <c r="B6" s="17"/>
      <c r="C6" s="14" t="str">
        <f>'Stavební rozpočet'!C6</f>
        <v>Táborské kasárny,Benešov</v>
      </c>
      <c r="D6" s="17"/>
      <c r="E6" s="14" t="s">
        <v>53</v>
      </c>
      <c r="F6" s="14" t="str">
        <f>'Stavební rozpočet'!J6</f>
        <v> </v>
      </c>
      <c r="G6" s="17"/>
      <c r="H6" s="14" t="s">
        <v>125</v>
      </c>
      <c r="I6" s="108"/>
      <c r="J6" s="60"/>
    </row>
    <row r="7" spans="1:10" ht="12.75">
      <c r="A7" s="4"/>
      <c r="B7" s="17"/>
      <c r="C7" s="17"/>
      <c r="D7" s="17"/>
      <c r="E7" s="17"/>
      <c r="F7" s="17"/>
      <c r="G7" s="17"/>
      <c r="H7" s="17"/>
      <c r="I7" s="53"/>
      <c r="J7" s="60"/>
    </row>
    <row r="8" spans="1:10" ht="12.75">
      <c r="A8" s="5" t="s">
        <v>43</v>
      </c>
      <c r="B8" s="17"/>
      <c r="C8" s="14" t="str">
        <f>'Stavební rozpočet'!G4</f>
        <v>17.03.2022</v>
      </c>
      <c r="D8" s="17"/>
      <c r="E8" s="14" t="s">
        <v>44</v>
      </c>
      <c r="F8" s="14" t="str">
        <f>'Stavební rozpočet'!G6</f>
        <v> </v>
      </c>
      <c r="G8" s="17"/>
      <c r="H8" s="35" t="s">
        <v>126</v>
      </c>
      <c r="I8" s="108" t="s">
        <v>20</v>
      </c>
      <c r="J8" s="60"/>
    </row>
    <row r="9" spans="1:10" ht="12.75">
      <c r="A9" s="4"/>
      <c r="B9" s="17"/>
      <c r="C9" s="17"/>
      <c r="D9" s="17"/>
      <c r="E9" s="17"/>
      <c r="F9" s="17"/>
      <c r="G9" s="17"/>
      <c r="H9" s="17"/>
      <c r="I9" s="53"/>
      <c r="J9" s="60"/>
    </row>
    <row r="10" spans="1:10" ht="12.75">
      <c r="A10" s="5" t="s">
        <v>4</v>
      </c>
      <c r="B10" s="17"/>
      <c r="C10" s="14" t="str">
        <f>'Stavební rozpočet'!C8</f>
        <v> </v>
      </c>
      <c r="D10" s="17"/>
      <c r="E10" s="14" t="s">
        <v>54</v>
      </c>
      <c r="F10" s="14" t="str">
        <f>'Stavební rozpočet'!J8</f>
        <v> </v>
      </c>
      <c r="G10" s="17"/>
      <c r="H10" s="35" t="s">
        <v>127</v>
      </c>
      <c r="I10" s="112" t="str">
        <f>'Stavební rozpočet'!G8</f>
        <v>06.10.2021</v>
      </c>
      <c r="J10" s="60"/>
    </row>
    <row r="11" spans="1:10" ht="12.75">
      <c r="A11" s="71"/>
      <c r="B11" s="83"/>
      <c r="C11" s="83"/>
      <c r="D11" s="83"/>
      <c r="E11" s="83"/>
      <c r="F11" s="83"/>
      <c r="G11" s="83"/>
      <c r="H11" s="83"/>
      <c r="I11" s="109"/>
      <c r="J11" s="60"/>
    </row>
    <row r="12" spans="1:9" ht="23.25" customHeight="1">
      <c r="A12" s="72" t="s">
        <v>85</v>
      </c>
      <c r="B12" s="84"/>
      <c r="C12" s="84"/>
      <c r="D12" s="84"/>
      <c r="E12" s="84"/>
      <c r="F12" s="84"/>
      <c r="G12" s="84"/>
      <c r="H12" s="84"/>
      <c r="I12" s="84"/>
    </row>
    <row r="13" spans="1:10" ht="26.25" customHeight="1">
      <c r="A13" s="73" t="s">
        <v>86</v>
      </c>
      <c r="B13" s="85" t="s">
        <v>98</v>
      </c>
      <c r="C13" s="94"/>
      <c r="D13" s="73" t="s">
        <v>101</v>
      </c>
      <c r="E13" s="85" t="s">
        <v>110</v>
      </c>
      <c r="F13" s="94"/>
      <c r="G13" s="73" t="s">
        <v>111</v>
      </c>
      <c r="H13" s="85" t="s">
        <v>128</v>
      </c>
      <c r="I13" s="94"/>
      <c r="J13" s="60"/>
    </row>
    <row r="14" spans="1:10" ht="15" customHeight="1">
      <c r="A14" s="74" t="s">
        <v>87</v>
      </c>
      <c r="B14" s="86" t="s">
        <v>99</v>
      </c>
      <c r="C14" s="102">
        <f>SUM('Stavební rozpočet'!AB12:AB26)</f>
        <v>0</v>
      </c>
      <c r="D14" s="99" t="s">
        <v>102</v>
      </c>
      <c r="E14" s="101"/>
      <c r="F14" s="102">
        <v>0</v>
      </c>
      <c r="G14" s="99" t="s">
        <v>112</v>
      </c>
      <c r="H14" s="101"/>
      <c r="I14" s="103" t="s">
        <v>129</v>
      </c>
      <c r="J14" s="60"/>
    </row>
    <row r="15" spans="1:10" ht="15" customHeight="1">
      <c r="A15" s="75"/>
      <c r="B15" s="86" t="s">
        <v>61</v>
      </c>
      <c r="C15" s="102">
        <f>SUM('Stavební rozpočet'!AC12:AC26)</f>
        <v>0</v>
      </c>
      <c r="D15" s="99" t="s">
        <v>103</v>
      </c>
      <c r="E15" s="101"/>
      <c r="F15" s="102">
        <v>0</v>
      </c>
      <c r="G15" s="99" t="s">
        <v>113</v>
      </c>
      <c r="H15" s="101"/>
      <c r="I15" s="103" t="s">
        <v>129</v>
      </c>
      <c r="J15" s="60"/>
    </row>
    <row r="16" spans="1:10" ht="15" customHeight="1">
      <c r="A16" s="74" t="s">
        <v>88</v>
      </c>
      <c r="B16" s="86" t="s">
        <v>99</v>
      </c>
      <c r="C16" s="102">
        <f>SUM('Stavební rozpočet'!AD12:AD26)</f>
        <v>0</v>
      </c>
      <c r="D16" s="99" t="s">
        <v>104</v>
      </c>
      <c r="E16" s="101"/>
      <c r="F16" s="102">
        <v>0</v>
      </c>
      <c r="G16" s="99" t="s">
        <v>114</v>
      </c>
      <c r="H16" s="101"/>
      <c r="I16" s="103" t="s">
        <v>129</v>
      </c>
      <c r="J16" s="60"/>
    </row>
    <row r="17" spans="1:10" ht="15" customHeight="1">
      <c r="A17" s="75"/>
      <c r="B17" s="86" t="s">
        <v>61</v>
      </c>
      <c r="C17" s="102">
        <f>SUM('Stavební rozpočet'!AE12:AE26)</f>
        <v>0</v>
      </c>
      <c r="D17" s="99"/>
      <c r="E17" s="101"/>
      <c r="F17" s="103"/>
      <c r="G17" s="99" t="s">
        <v>115</v>
      </c>
      <c r="H17" s="101"/>
      <c r="I17" s="103" t="s">
        <v>129</v>
      </c>
      <c r="J17" s="60"/>
    </row>
    <row r="18" spans="1:10" ht="15" customHeight="1">
      <c r="A18" s="74" t="s">
        <v>89</v>
      </c>
      <c r="B18" s="86" t="s">
        <v>99</v>
      </c>
      <c r="C18" s="102">
        <f>SUM('Stavební rozpočet'!AF12:AF26)</f>
        <v>0</v>
      </c>
      <c r="D18" s="99"/>
      <c r="E18" s="101"/>
      <c r="F18" s="103"/>
      <c r="G18" s="99" t="s">
        <v>116</v>
      </c>
      <c r="H18" s="101"/>
      <c r="I18" s="103" t="s">
        <v>129</v>
      </c>
      <c r="J18" s="60"/>
    </row>
    <row r="19" spans="1:10" ht="15" customHeight="1">
      <c r="A19" s="75"/>
      <c r="B19" s="86" t="s">
        <v>61</v>
      </c>
      <c r="C19" s="102">
        <f>SUM('Stavební rozpočet'!AG12:AG26)</f>
        <v>0</v>
      </c>
      <c r="D19" s="99"/>
      <c r="E19" s="101"/>
      <c r="F19" s="103"/>
      <c r="G19" s="99" t="s">
        <v>117</v>
      </c>
      <c r="H19" s="101"/>
      <c r="I19" s="103" t="s">
        <v>129</v>
      </c>
      <c r="J19" s="60"/>
    </row>
    <row r="20" spans="1:10" ht="15" customHeight="1">
      <c r="A20" s="76" t="s">
        <v>90</v>
      </c>
      <c r="B20" s="87"/>
      <c r="C20" s="102">
        <f>SUM('Stavební rozpočet'!AH12:AH26)</f>
        <v>0</v>
      </c>
      <c r="D20" s="99"/>
      <c r="E20" s="101"/>
      <c r="F20" s="103"/>
      <c r="G20" s="99"/>
      <c r="H20" s="101"/>
      <c r="I20" s="103"/>
      <c r="J20" s="60"/>
    </row>
    <row r="21" spans="1:10" ht="15" customHeight="1">
      <c r="A21" s="76" t="s">
        <v>91</v>
      </c>
      <c r="B21" s="87"/>
      <c r="C21" s="102">
        <f>SUM('Stavební rozpočet'!Z12:Z26)</f>
        <v>0</v>
      </c>
      <c r="D21" s="99"/>
      <c r="E21" s="101"/>
      <c r="F21" s="103"/>
      <c r="G21" s="99"/>
      <c r="H21" s="101"/>
      <c r="I21" s="103"/>
      <c r="J21" s="60"/>
    </row>
    <row r="22" spans="1:10" ht="16.5" customHeight="1">
      <c r="A22" s="76" t="s">
        <v>92</v>
      </c>
      <c r="B22" s="87"/>
      <c r="C22" s="102">
        <f>SUM(C14:C21)</f>
        <v>0</v>
      </c>
      <c r="D22" s="76" t="s">
        <v>105</v>
      </c>
      <c r="E22" s="87"/>
      <c r="F22" s="102">
        <f>SUM(F14:F21)</f>
        <v>0</v>
      </c>
      <c r="G22" s="76" t="s">
        <v>118</v>
      </c>
      <c r="H22" s="87"/>
      <c r="I22" s="102">
        <f>ROUND(C22*(3/100),2)</f>
        <v>0</v>
      </c>
      <c r="J22" s="60"/>
    </row>
    <row r="23" spans="1:10" ht="15" customHeight="1">
      <c r="A23" s="12"/>
      <c r="B23" s="12"/>
      <c r="C23" s="95"/>
      <c r="D23" s="76" t="s">
        <v>106</v>
      </c>
      <c r="E23" s="87"/>
      <c r="F23" s="104">
        <v>0</v>
      </c>
      <c r="G23" s="76" t="s">
        <v>119</v>
      </c>
      <c r="H23" s="87"/>
      <c r="I23" s="102">
        <v>0</v>
      </c>
      <c r="J23" s="60"/>
    </row>
    <row r="24" spans="4:9" ht="15" customHeight="1">
      <c r="D24" s="12"/>
      <c r="E24" s="12"/>
      <c r="F24" s="105"/>
      <c r="G24" s="76" t="s">
        <v>120</v>
      </c>
      <c r="H24" s="87"/>
      <c r="I24" s="110"/>
    </row>
    <row r="25" spans="6:10" ht="15" customHeight="1">
      <c r="F25" s="106"/>
      <c r="G25" s="76" t="s">
        <v>121</v>
      </c>
      <c r="H25" s="87"/>
      <c r="I25" s="102">
        <v>0</v>
      </c>
      <c r="J25" s="60"/>
    </row>
    <row r="26" spans="1:9" ht="12.75">
      <c r="A26" s="70"/>
      <c r="B26" s="70"/>
      <c r="C26" s="70"/>
      <c r="G26" s="12"/>
      <c r="H26" s="12"/>
      <c r="I26" s="12"/>
    </row>
    <row r="27" spans="1:9" ht="15" customHeight="1">
      <c r="A27" s="77" t="s">
        <v>93</v>
      </c>
      <c r="B27" s="88"/>
      <c r="C27" s="111">
        <f>SUM('Stavební rozpočet'!AJ12:AJ26)</f>
        <v>0</v>
      </c>
      <c r="D27" s="100"/>
      <c r="E27" s="70"/>
      <c r="F27" s="70"/>
      <c r="G27" s="70"/>
      <c r="H27" s="70"/>
      <c r="I27" s="70"/>
    </row>
    <row r="28" spans="1:10" ht="15" customHeight="1">
      <c r="A28" s="77" t="s">
        <v>94</v>
      </c>
      <c r="B28" s="88"/>
      <c r="C28" s="111">
        <f>SUM('Stavební rozpočet'!AK12:AK26)</f>
        <v>0</v>
      </c>
      <c r="D28" s="77" t="s">
        <v>107</v>
      </c>
      <c r="E28" s="88"/>
      <c r="F28" s="111">
        <f>ROUND(C28*(15/100),2)</f>
        <v>0</v>
      </c>
      <c r="G28" s="77" t="s">
        <v>122</v>
      </c>
      <c r="H28" s="88"/>
      <c r="I28" s="111">
        <f>SUM(C27:C29)</f>
        <v>0</v>
      </c>
      <c r="J28" s="60"/>
    </row>
    <row r="29" spans="1:10" ht="15" customHeight="1">
      <c r="A29" s="77" t="s">
        <v>95</v>
      </c>
      <c r="B29" s="88"/>
      <c r="C29" s="111">
        <f>SUM('Stavební rozpočet'!AL12:AL26)+(F22+I22+F23+I23+I24+I25)</f>
        <v>0</v>
      </c>
      <c r="D29" s="77" t="s">
        <v>108</v>
      </c>
      <c r="E29" s="88"/>
      <c r="F29" s="111">
        <f>ROUND(C29*(21/100),2)</f>
        <v>0</v>
      </c>
      <c r="G29" s="77" t="s">
        <v>123</v>
      </c>
      <c r="H29" s="88"/>
      <c r="I29" s="111">
        <f>SUM(F28:F29)+I28</f>
        <v>0</v>
      </c>
      <c r="J29" s="60"/>
    </row>
    <row r="30" spans="1:9" ht="12.75">
      <c r="A30" s="78"/>
      <c r="B30" s="78"/>
      <c r="C30" s="78"/>
      <c r="D30" s="78"/>
      <c r="E30" s="78"/>
      <c r="F30" s="78"/>
      <c r="G30" s="78"/>
      <c r="H30" s="78"/>
      <c r="I30" s="78"/>
    </row>
    <row r="31" spans="1:10" ht="14.25" customHeight="1">
      <c r="A31" s="79" t="s">
        <v>96</v>
      </c>
      <c r="B31" s="89"/>
      <c r="C31" s="96"/>
      <c r="D31" s="79" t="s">
        <v>109</v>
      </c>
      <c r="E31" s="89"/>
      <c r="F31" s="96"/>
      <c r="G31" s="79" t="s">
        <v>124</v>
      </c>
      <c r="H31" s="89"/>
      <c r="I31" s="96"/>
      <c r="J31" s="61"/>
    </row>
    <row r="32" spans="1:10" ht="14.25" customHeight="1">
      <c r="A32" s="80"/>
      <c r="B32" s="90"/>
      <c r="C32" s="97"/>
      <c r="D32" s="80"/>
      <c r="E32" s="90"/>
      <c r="F32" s="97"/>
      <c r="G32" s="80"/>
      <c r="H32" s="90"/>
      <c r="I32" s="97"/>
      <c r="J32" s="61"/>
    </row>
    <row r="33" spans="1:10" ht="14.25" customHeight="1">
      <c r="A33" s="80"/>
      <c r="B33" s="90"/>
      <c r="C33" s="97"/>
      <c r="D33" s="80"/>
      <c r="E33" s="90"/>
      <c r="F33" s="97"/>
      <c r="G33" s="80"/>
      <c r="H33" s="90"/>
      <c r="I33" s="97"/>
      <c r="J33" s="61"/>
    </row>
    <row r="34" spans="1:10" ht="14.25" customHeight="1">
      <c r="A34" s="80"/>
      <c r="B34" s="90"/>
      <c r="C34" s="97"/>
      <c r="D34" s="80"/>
      <c r="E34" s="90"/>
      <c r="F34" s="97"/>
      <c r="G34" s="80"/>
      <c r="H34" s="90"/>
      <c r="I34" s="97"/>
      <c r="J34" s="61"/>
    </row>
    <row r="35" spans="1:10" ht="14.25" customHeight="1">
      <c r="A35" s="81" t="s">
        <v>97</v>
      </c>
      <c r="B35" s="91"/>
      <c r="C35" s="98"/>
      <c r="D35" s="81" t="s">
        <v>97</v>
      </c>
      <c r="E35" s="91"/>
      <c r="F35" s="98"/>
      <c r="G35" s="81" t="s">
        <v>97</v>
      </c>
      <c r="H35" s="91"/>
      <c r="I35" s="98"/>
      <c r="J35" s="61"/>
    </row>
    <row r="36" spans="1:9" ht="11.25" customHeight="1">
      <c r="A36" s="82" t="s">
        <v>21</v>
      </c>
      <c r="B36" s="92"/>
      <c r="C36" s="92"/>
      <c r="D36" s="92"/>
      <c r="E36" s="92"/>
      <c r="F36" s="92"/>
      <c r="G36" s="92"/>
      <c r="H36" s="92"/>
      <c r="I36" s="92"/>
    </row>
    <row r="37" spans="1:9" ht="12.75">
      <c r="A37" s="14"/>
      <c r="B37" s="17"/>
      <c r="C37" s="17"/>
      <c r="D37" s="17"/>
      <c r="E37" s="17"/>
      <c r="F37" s="17"/>
      <c r="G37" s="17"/>
      <c r="H37" s="17"/>
      <c r="I37" s="17"/>
    </row>
  </sheetData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4:C34"/>
    <mergeCell ref="D34:F34"/>
    <mergeCell ref="G34:I34"/>
    <mergeCell ref="A35:C35"/>
    <mergeCell ref="D35:F35"/>
    <mergeCell ref="G35:I35"/>
    <mergeCell ref="A37:I37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