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Krycí list rozpočtu" sheetId="1" r:id="rId1"/>
    <sheet name="Rozpočet - vybrané sloupce" sheetId="2" r:id="rId2"/>
    <sheet name="Výkaz výměr" sheetId="3" r:id="rId3"/>
    <sheet name="Stavební rozpočet" sheetId="4" state="veryHidden" r:id="rId4"/>
  </sheets>
  <definedNames/>
  <calcPr fullCalcOnLoad="1"/>
</workbook>
</file>

<file path=xl/sharedStrings.xml><?xml version="1.0" encoding="utf-8"?>
<sst xmlns="http://schemas.openxmlformats.org/spreadsheetml/2006/main" count="579" uniqueCount="188">
  <si>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</si>
  <si>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</si>
  <si>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</si>
  <si>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</si>
  <si>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</si>
  <si>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</si>
  <si>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</si>
  <si>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</si>
  <si>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</si>
  <si>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</si>
  <si>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</si>
  <si>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</si>
  <si>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</si>
  <si>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</si>
  <si>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</si>
  <si>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</si>
  <si>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</si>
  <si>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</si>
  <si>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</si>
  <si>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</si>
  <si>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</si>
  <si>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</si>
  <si>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</si>
  <si>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Kód</t>
  </si>
  <si>
    <t>62</t>
  </si>
  <si>
    <t>620401142R00</t>
  </si>
  <si>
    <t>622459141R01</t>
  </si>
  <si>
    <t>622421111R99</t>
  </si>
  <si>
    <t>622421111RN2</t>
  </si>
  <si>
    <t>94</t>
  </si>
  <si>
    <t>942941021R00</t>
  </si>
  <si>
    <t>942941191RT3</t>
  </si>
  <si>
    <t>942941821R00</t>
  </si>
  <si>
    <t>998009101R00</t>
  </si>
  <si>
    <t>97</t>
  </si>
  <si>
    <t>978015291R00</t>
  </si>
  <si>
    <t>H15</t>
  </si>
  <si>
    <t>998151111R00</t>
  </si>
  <si>
    <t>998151112R09</t>
  </si>
  <si>
    <t>S</t>
  </si>
  <si>
    <t>979094111R00</t>
  </si>
  <si>
    <t>979081111R00</t>
  </si>
  <si>
    <t>979081121R00</t>
  </si>
  <si>
    <t>979082111R00</t>
  </si>
  <si>
    <t>979990001R00</t>
  </si>
  <si>
    <t>Zkrácený popis</t>
  </si>
  <si>
    <t>Úprava povrchů vnější</t>
  </si>
  <si>
    <t>Nátěr zpevňovací Murfan 39</t>
  </si>
  <si>
    <t>Postřik stěn Oxal SM TK5  - lžící</t>
  </si>
  <si>
    <t>Omítka vnější stěn, Oxal SM TK5 do 15mm, hrubá nezatřená podrovnání</t>
  </si>
  <si>
    <t>Omítka vnější stěn, Exzellent STP Historic do 20mm</t>
  </si>
  <si>
    <t>Lešení a stavební výtahy</t>
  </si>
  <si>
    <t>Montáž lešení těž.,řad.s pod.š.2,5, H 10 m,</t>
  </si>
  <si>
    <t>Příplatek za každý měsíc použití lešení k pol.1021</t>
  </si>
  <si>
    <t>Demontáž lešení těž.řad.s pod.š.2,5, H 10 m,</t>
  </si>
  <si>
    <t>Přesun hmot lešení samostatně budovaného</t>
  </si>
  <si>
    <t>Prorážení otvorů a ostatní bourací práce</t>
  </si>
  <si>
    <t>Otlučení omítek vnějších MVC v složit.1-4 do 100 %</t>
  </si>
  <si>
    <t>Objekty pozemní zvláštní</t>
  </si>
  <si>
    <t>Přesun hmot, oplocení zděné do 10m</t>
  </si>
  <si>
    <t>Přesun hmot, oplocení zděné příplatek kžd. dalších 10m</t>
  </si>
  <si>
    <t>Přesuny sutí</t>
  </si>
  <si>
    <t>Nakládání nebo překládání vybouraných hmot</t>
  </si>
  <si>
    <t>Odvoz suti a vybour. hmot na skládku do 1 km</t>
  </si>
  <si>
    <t>Příplatek k odvozu za každý další 1 km</t>
  </si>
  <si>
    <t>Vnitrostaveništní doprava suti do 10 m</t>
  </si>
  <si>
    <t>Poplatek za skládku stavební suti</t>
  </si>
  <si>
    <t>Doba výstavby:</t>
  </si>
  <si>
    <t>Začátek výstavby:</t>
  </si>
  <si>
    <t>Konec výstavby:</t>
  </si>
  <si>
    <t>Zpracováno dne:</t>
  </si>
  <si>
    <t>MJ</t>
  </si>
  <si>
    <t>Objednatel:</t>
  </si>
  <si>
    <t>Projektant:</t>
  </si>
  <si>
    <t>Zhotovitel:</t>
  </si>
  <si>
    <t>Zpracoval:</t>
  </si>
  <si>
    <t>m2</t>
  </si>
  <si>
    <t>t</t>
  </si>
  <si>
    <t>Množství</t>
  </si>
  <si>
    <t>Jednotková cena (Kč)</t>
  </si>
  <si>
    <t>Celkem:</t>
  </si>
  <si>
    <t>Náklady celkem (Kč)</t>
  </si>
  <si>
    <t>Celková hmotnost(t)</t>
  </si>
  <si>
    <t>GROUPCODE</t>
  </si>
  <si>
    <t>ISWORK</t>
  </si>
  <si>
    <t>P</t>
  </si>
  <si>
    <t>Výkaz výměr</t>
  </si>
  <si>
    <t>Poznámka:</t>
  </si>
  <si>
    <t>Objekt</t>
  </si>
  <si>
    <t>347,94</t>
  </si>
  <si>
    <t>2,5*87,7+22*2</t>
  </si>
  <si>
    <t>2*263,25</t>
  </si>
  <si>
    <t>263,25</t>
  </si>
  <si>
    <t>8,71</t>
  </si>
  <si>
    <t>(3,9+3,45)/2*47+(3,45+2,3)/2*40,7+(2,3+2,6)/2*22+2,1*2,05</t>
  </si>
  <si>
    <t>28,81</t>
  </si>
  <si>
    <t>28,81*3</t>
  </si>
  <si>
    <t>20,53</t>
  </si>
  <si>
    <t>18*20,53</t>
  </si>
  <si>
    <t>20,53*5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</si>
  <si>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</si>
  <si>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</si>
  <si>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</si>
  <si>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</si>
  <si>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</si>
  <si>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</si>
  <si>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</si>
  <si>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</si>
  <si>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</si>
  <si>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</si>
  <si>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</si>
  <si>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</si>
  <si>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</si>
  <si>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</si>
  <si>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</si>
  <si>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</si>
  <si>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Montáž</t>
  </si>
  <si>
    <t>Krycí list rozpočtu</t>
  </si>
  <si>
    <t>B</t>
  </si>
  <si>
    <t>Koordinační činnost</t>
  </si>
  <si>
    <t>DIO</t>
  </si>
  <si>
    <t>Dopravné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</si>
  <si>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</si>
  <si>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</si>
  <si>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</si>
  <si>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</si>
  <si>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</si>
  <si>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</si>
  <si>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</si>
  <si>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</si>
  <si>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</si>
  <si>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</si>
  <si>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</si>
  <si>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</si>
  <si>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</si>
  <si>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</si>
  <si>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</si>
  <si>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</si>
  <si>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</si>
  <si>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</si>
  <si>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</si>
  <si>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</si>
  <si>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</si>
  <si>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</si>
  <si>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</si>
  <si>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</si>
  <si>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00231401/CZ00231401</t>
  </si>
  <si>
    <t>Oprava hřbitovní zdi</t>
  </si>
  <si>
    <t>Benešov ul. Na Karlově</t>
  </si>
  <si>
    <t>Rozměry</t>
  </si>
  <si>
    <t>08.08.2022</t>
  </si>
  <si>
    <t>Cena/MJ</t>
  </si>
  <si>
    <t>(Kč)</t>
  </si>
  <si>
    <t>Náklady (Kč)</t>
  </si>
  <si>
    <t>Dodávka</t>
  </si>
  <si>
    <t>Město Benešov Masarykovo náměstí 100, Benešov</t>
  </si>
  <si>
    <t> </t>
  </si>
  <si>
    <t>Stavební firma Dráb a spol.,s.r.o. 257 01 Benešov</t>
  </si>
  <si>
    <t>Celkem</t>
  </si>
  <si>
    <t>Hmotnost (t)</t>
  </si>
  <si>
    <t>Jednot.</t>
  </si>
  <si>
    <t>Cenová</t>
  </si>
  <si>
    <t>soustava</t>
  </si>
  <si>
    <t>RTS 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</si>
  <si>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</si>
  <si>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</si>
  <si>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</si>
  <si>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</si>
  <si>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</si>
  <si>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</si>
  <si>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</si>
  <si>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</si>
  <si>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</si>
  <si>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62_</t>
  </si>
  <si>
    <t>94_</t>
  </si>
  <si>
    <t>97_</t>
  </si>
  <si>
    <t>H15_</t>
  </si>
  <si>
    <t>S_</t>
  </si>
  <si>
    <t>6_</t>
  </si>
  <si>
    <t>9_</t>
  </si>
  <si>
    <t>_</t>
  </si>
  <si>
    <t>MAT</t>
  </si>
  <si>
    <t>WORK</t>
  </si>
  <si>
    <t>CELK</t>
  </si>
  <si>
    <t>4.1</t>
  </si>
  <si>
    <t>622421131R00</t>
  </si>
  <si>
    <t>Omítka vnější stěn, vnitřní část hřbitovní zdi vč. odstranění degradovaných omítek</t>
  </si>
  <si>
    <t>kpl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</si>
</sst>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b/>
      <sz val="10"/>
      <color indexed="56"/>
      <name val="Arial"/>
      <family val="0"/>
    </font>
    <font>
      <i/>
      <sz val="8"/>
      <color indexed="8"/>
      <name val="Arial"/>
      <family val="0"/>
    </font>
    <font>
      <i/>
      <sz val="9"/>
      <color indexed="63"/>
      <name val="Arial"/>
      <family val="0"/>
    </font>
    <font>
      <i/>
      <sz val="9"/>
      <color indexed="50"/>
      <name val="Arial"/>
      <family val="0"/>
    </font>
    <font>
      <i/>
      <sz val="9"/>
      <color indexed="61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color indexed="5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3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33" borderId="11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3" fillId="33" borderId="15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5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4" fontId="3" fillId="33" borderId="15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5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8" xfId="0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4" fontId="3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5" fillId="33" borderId="11" xfId="0" applyNumberFormat="1" applyFont="1" applyFill="1" applyBorder="1" applyAlignment="1" applyProtection="1">
      <alignment horizontal="left" vertical="center"/>
      <protection/>
    </xf>
    <xf numFmtId="49" fontId="5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right" vertical="center"/>
      <protection/>
    </xf>
    <xf numFmtId="49" fontId="5" fillId="33" borderId="15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9" fontId="5" fillId="33" borderId="0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5" fillId="33" borderId="1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5" fillId="33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11" fillId="35" borderId="25" xfId="0" applyNumberFormat="1" applyFont="1" applyFill="1" applyBorder="1" applyAlignment="1" applyProtection="1">
      <alignment horizontal="center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49" fontId="12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13" fillId="0" borderId="25" xfId="0" applyNumberFormat="1" applyFont="1" applyFill="1" applyBorder="1" applyAlignment="1" applyProtection="1">
      <alignment horizontal="right" vertical="center"/>
      <protection/>
    </xf>
    <xf numFmtId="4" fontId="13" fillId="0" borderId="30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13" fillId="0" borderId="25" xfId="0" applyNumberFormat="1" applyFont="1" applyFill="1" applyBorder="1" applyAlignment="1" applyProtection="1">
      <alignment horizontal="right" vertical="center"/>
      <protection/>
    </xf>
    <xf numFmtId="4" fontId="12" fillId="35" borderId="31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5" fillId="33" borderId="11" xfId="0" applyNumberFormat="1" applyFont="1" applyFill="1" applyBorder="1" applyAlignment="1" applyProtection="1">
      <alignment horizontal="left" vertical="center"/>
      <protection/>
    </xf>
    <xf numFmtId="49" fontId="15" fillId="33" borderId="12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5" fillId="33" borderId="15" xfId="0" applyNumberFormat="1" applyFont="1" applyFill="1" applyBorder="1" applyAlignment="1" applyProtection="1">
      <alignment horizontal="left" vertical="center"/>
      <protection/>
    </xf>
    <xf numFmtId="49" fontId="15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right" vertical="center"/>
      <protection/>
    </xf>
    <xf numFmtId="49" fontId="4" fillId="0" borderId="2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49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49" fontId="14" fillId="0" borderId="43" xfId="0" applyNumberFormat="1" applyFont="1" applyFill="1" applyBorder="1" applyAlignment="1" applyProtection="1">
      <alignment horizontal="left" vertical="center"/>
      <protection/>
    </xf>
    <xf numFmtId="0" fontId="14" fillId="0" borderId="31" xfId="0" applyNumberFormat="1" applyFont="1" applyFill="1" applyBorder="1" applyAlignment="1" applyProtection="1">
      <alignment horizontal="left" vertical="center"/>
      <protection/>
    </xf>
    <xf numFmtId="49" fontId="13" fillId="0" borderId="43" xfId="0" applyNumberFormat="1" applyFont="1" applyFill="1" applyBorder="1" applyAlignment="1" applyProtection="1">
      <alignment horizontal="left" vertical="center"/>
      <protection/>
    </xf>
    <xf numFmtId="0" fontId="13" fillId="0" borderId="31" xfId="0" applyNumberFormat="1" applyFont="1" applyFill="1" applyBorder="1" applyAlignment="1" applyProtection="1">
      <alignment horizontal="left" vertical="center"/>
      <protection/>
    </xf>
    <xf numFmtId="49" fontId="12" fillId="0" borderId="43" xfId="0" applyNumberFormat="1" applyFont="1" applyFill="1" applyBorder="1" applyAlignment="1" applyProtection="1">
      <alignment horizontal="left" vertical="center"/>
      <protection/>
    </xf>
    <xf numFmtId="0" fontId="12" fillId="0" borderId="31" xfId="0" applyNumberFormat="1" applyFont="1" applyFill="1" applyBorder="1" applyAlignment="1" applyProtection="1">
      <alignment horizontal="left" vertical="center"/>
      <protection/>
    </xf>
    <xf numFmtId="49" fontId="12" fillId="35" borderId="43" xfId="0" applyNumberFormat="1" applyFont="1" applyFill="1" applyBorder="1" applyAlignment="1" applyProtection="1">
      <alignment horizontal="left" vertical="center"/>
      <protection/>
    </xf>
    <xf numFmtId="0" fontId="12" fillId="35" borderId="42" xfId="0" applyNumberFormat="1" applyFont="1" applyFill="1" applyBorder="1" applyAlignment="1" applyProtection="1">
      <alignment horizontal="left" vertical="center"/>
      <protection/>
    </xf>
    <xf numFmtId="49" fontId="13" fillId="0" borderId="4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45" xfId="0" applyNumberFormat="1" applyFont="1" applyFill="1" applyBorder="1" applyAlignment="1" applyProtection="1">
      <alignment horizontal="left" vertical="center"/>
      <protection/>
    </xf>
    <xf numFmtId="49" fontId="13" fillId="0" borderId="24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46" xfId="0" applyNumberFormat="1" applyFont="1" applyFill="1" applyBorder="1" applyAlignment="1" applyProtection="1">
      <alignment horizontal="left" vertical="center"/>
      <protection/>
    </xf>
    <xf numFmtId="49" fontId="13" fillId="0" borderId="47" xfId="0" applyNumberFormat="1" applyFont="1" applyFill="1" applyBorder="1" applyAlignment="1" applyProtection="1">
      <alignment horizontal="left" vertical="center"/>
      <protection/>
    </xf>
    <xf numFmtId="0" fontId="13" fillId="0" borderId="48" xfId="0" applyNumberFormat="1" applyFont="1" applyFill="1" applyBorder="1" applyAlignment="1" applyProtection="1">
      <alignment horizontal="left" vertical="center"/>
      <protection/>
    </xf>
    <xf numFmtId="0" fontId="13" fillId="0" borderId="49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49" fontId="3" fillId="0" borderId="52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0" fontId="5" fillId="33" borderId="15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6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left" vertical="center"/>
      <protection/>
    </xf>
    <xf numFmtId="0" fontId="3" fillId="0" borderId="51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3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88"/>
      <c r="B1" s="37"/>
      <c r="C1" s="89" t="s">
        <v>117</v>
      </c>
      <c r="D1" s="90"/>
      <c r="E1" s="90"/>
      <c r="F1" s="90"/>
      <c r="G1" s="90"/>
      <c r="H1" s="90"/>
      <c r="I1" s="90"/>
    </row>
    <row r="2" spans="1:10" ht="12.75">
      <c r="A2" s="91" t="s">
        <v>1</v>
      </c>
      <c r="B2" s="92"/>
      <c r="C2" s="95" t="str">
        <f>'Stavební rozpočet'!D2</f>
        <v>Oprava hřbitovní zdi</v>
      </c>
      <c r="D2" s="96"/>
      <c r="E2" s="98" t="s">
        <v>72</v>
      </c>
      <c r="F2" s="98" t="str">
        <f>'Stavební rozpočet'!J2</f>
        <v>Město Benešov Masarykovo náměstí 100, Benešov</v>
      </c>
      <c r="G2" s="92"/>
      <c r="H2" s="98" t="s">
        <v>142</v>
      </c>
      <c r="I2" s="99" t="s">
        <v>146</v>
      </c>
      <c r="J2" s="17"/>
    </row>
    <row r="3" spans="1:10" ht="12.75">
      <c r="A3" s="93"/>
      <c r="B3" s="94"/>
      <c r="C3" s="97"/>
      <c r="D3" s="97"/>
      <c r="E3" s="94"/>
      <c r="F3" s="94"/>
      <c r="G3" s="94"/>
      <c r="H3" s="94"/>
      <c r="I3" s="100"/>
      <c r="J3" s="17"/>
    </row>
    <row r="4" spans="1:10" ht="12.75">
      <c r="A4" s="101" t="s">
        <v>2</v>
      </c>
      <c r="B4" s="94"/>
      <c r="C4" s="102" t="str">
        <f>'Stavební rozpočet'!D4</f>
        <v> </v>
      </c>
      <c r="D4" s="94"/>
      <c r="E4" s="102" t="s">
        <v>73</v>
      </c>
      <c r="F4" s="102" t="str">
        <f>'Stavební rozpočet'!J4</f>
        <v> </v>
      </c>
      <c r="G4" s="94"/>
      <c r="H4" s="102" t="s">
        <v>142</v>
      </c>
      <c r="I4" s="103"/>
      <c r="J4" s="17"/>
    </row>
    <row r="5" spans="1:10" ht="12.75">
      <c r="A5" s="93"/>
      <c r="B5" s="94"/>
      <c r="C5" s="94"/>
      <c r="D5" s="94"/>
      <c r="E5" s="94"/>
      <c r="F5" s="94"/>
      <c r="G5" s="94"/>
      <c r="H5" s="94"/>
      <c r="I5" s="100"/>
      <c r="J5" s="17"/>
    </row>
    <row r="6" spans="1:10" ht="12.75">
      <c r="A6" s="101" t="s">
        <v>3</v>
      </c>
      <c r="B6" s="94"/>
      <c r="C6" s="102" t="str">
        <f>'Stavební rozpočet'!D6</f>
        <v>Benešov ul. Na Karlově</v>
      </c>
      <c r="D6" s="94"/>
      <c r="E6" s="102" t="s">
        <v>74</v>
      </c>
      <c r="F6" s="102"/>
      <c r="G6" s="94"/>
      <c r="H6" s="102" t="s">
        <v>142</v>
      </c>
      <c r="I6" s="103"/>
      <c r="J6" s="17"/>
    </row>
    <row r="7" spans="1:10" ht="12.75">
      <c r="A7" s="93"/>
      <c r="B7" s="94"/>
      <c r="C7" s="94"/>
      <c r="D7" s="94"/>
      <c r="E7" s="94"/>
      <c r="F7" s="94"/>
      <c r="G7" s="94"/>
      <c r="H7" s="94"/>
      <c r="I7" s="100"/>
      <c r="J7" s="17"/>
    </row>
    <row r="8" spans="1:10" ht="12.75">
      <c r="A8" s="101" t="s">
        <v>68</v>
      </c>
      <c r="B8" s="94"/>
      <c r="C8" s="102" t="str">
        <f>'Stavební rozpočet'!H4</f>
        <v> </v>
      </c>
      <c r="D8" s="94"/>
      <c r="E8" s="102" t="s">
        <v>69</v>
      </c>
      <c r="F8" s="102" t="str">
        <f>'Stavební rozpočet'!H6</f>
        <v> </v>
      </c>
      <c r="G8" s="94"/>
      <c r="H8" s="104" t="s">
        <v>143</v>
      </c>
      <c r="I8" s="103" t="s">
        <v>22</v>
      </c>
      <c r="J8" s="17"/>
    </row>
    <row r="9" spans="1:10" ht="12.75">
      <c r="A9" s="93"/>
      <c r="B9" s="94"/>
      <c r="C9" s="94"/>
      <c r="D9" s="94"/>
      <c r="E9" s="94"/>
      <c r="F9" s="94"/>
      <c r="G9" s="94"/>
      <c r="H9" s="94"/>
      <c r="I9" s="100"/>
      <c r="J9" s="17"/>
    </row>
    <row r="10" spans="1:10" ht="12.75">
      <c r="A10" s="101" t="s">
        <v>4</v>
      </c>
      <c r="B10" s="94"/>
      <c r="C10" s="102" t="str">
        <f>'Stavební rozpočet'!D8</f>
        <v> </v>
      </c>
      <c r="D10" s="94"/>
      <c r="E10" s="102" t="s">
        <v>75</v>
      </c>
      <c r="F10" s="102" t="str">
        <f>'Stavební rozpočet'!J8</f>
        <v> </v>
      </c>
      <c r="G10" s="94"/>
      <c r="H10" s="104" t="s">
        <v>144</v>
      </c>
      <c r="I10" s="107"/>
      <c r="J10" s="17"/>
    </row>
    <row r="11" spans="1:10" ht="12.75">
      <c r="A11" s="105"/>
      <c r="B11" s="106"/>
      <c r="C11" s="106"/>
      <c r="D11" s="106"/>
      <c r="E11" s="106"/>
      <c r="F11" s="106"/>
      <c r="G11" s="106"/>
      <c r="H11" s="106"/>
      <c r="I11" s="108"/>
      <c r="J11" s="17"/>
    </row>
    <row r="12" spans="1:9" ht="23.25" customHeight="1">
      <c r="A12" s="109" t="s">
        <v>101</v>
      </c>
      <c r="B12" s="110"/>
      <c r="C12" s="110"/>
      <c r="D12" s="110"/>
      <c r="E12" s="110"/>
      <c r="F12" s="110"/>
      <c r="G12" s="110"/>
      <c r="H12" s="110"/>
      <c r="I12" s="110"/>
    </row>
    <row r="13" spans="1:10" ht="26.25" customHeight="1">
      <c r="A13" s="51" t="s">
        <v>102</v>
      </c>
      <c r="B13" s="111" t="s">
        <v>114</v>
      </c>
      <c r="C13" s="112"/>
      <c r="D13" s="51" t="s">
        <v>118</v>
      </c>
      <c r="E13" s="111" t="s">
        <v>127</v>
      </c>
      <c r="F13" s="112"/>
      <c r="G13" s="51" t="s">
        <v>128</v>
      </c>
      <c r="H13" s="111" t="s">
        <v>145</v>
      </c>
      <c r="I13" s="112"/>
      <c r="J13" s="17"/>
    </row>
    <row r="14" spans="1:10" ht="15" customHeight="1">
      <c r="A14" s="52" t="s">
        <v>103</v>
      </c>
      <c r="B14" s="56" t="s">
        <v>115</v>
      </c>
      <c r="C14" s="62">
        <f>SUM('Stavební rozpočet'!AB12:AB32)</f>
        <v>0</v>
      </c>
      <c r="D14" s="113" t="s">
        <v>119</v>
      </c>
      <c r="E14" s="114"/>
      <c r="F14" s="62">
        <f>ROUND(C22*(0.75/100),2)</f>
        <v>0</v>
      </c>
      <c r="G14" s="113" t="s">
        <v>129</v>
      </c>
      <c r="H14" s="114"/>
      <c r="I14" s="62">
        <v>0</v>
      </c>
      <c r="J14" s="17"/>
    </row>
    <row r="15" spans="1:10" ht="15" customHeight="1">
      <c r="A15" s="53"/>
      <c r="B15" s="56" t="s">
        <v>116</v>
      </c>
      <c r="C15" s="62">
        <f>SUM('Stavební rozpočet'!AC12:AC32)</f>
        <v>0</v>
      </c>
      <c r="D15" s="113" t="s">
        <v>120</v>
      </c>
      <c r="E15" s="114"/>
      <c r="F15" s="62">
        <f>ROUND(C22*(1.75/100),2)</f>
        <v>0</v>
      </c>
      <c r="G15" s="113" t="s">
        <v>130</v>
      </c>
      <c r="H15" s="114"/>
      <c r="I15" s="62">
        <v>0</v>
      </c>
      <c r="J15" s="17"/>
    </row>
    <row r="16" spans="1:10" ht="15" customHeight="1">
      <c r="A16" s="52" t="s">
        <v>104</v>
      </c>
      <c r="B16" s="56" t="s">
        <v>115</v>
      </c>
      <c r="C16" s="62">
        <f>SUM('Stavební rozpočet'!AD12:AD32)</f>
        <v>0</v>
      </c>
      <c r="D16" s="113" t="s">
        <v>121</v>
      </c>
      <c r="E16" s="114"/>
      <c r="F16" s="62">
        <f>ROUND(C22*(0.75/100),2)</f>
        <v>0</v>
      </c>
      <c r="G16" s="113" t="s">
        <v>131</v>
      </c>
      <c r="H16" s="114"/>
      <c r="I16" s="62">
        <v>0</v>
      </c>
      <c r="J16" s="17"/>
    </row>
    <row r="17" spans="1:10" ht="15" customHeight="1">
      <c r="A17" s="53"/>
      <c r="B17" s="56" t="s">
        <v>116</v>
      </c>
      <c r="C17" s="62">
        <f>SUM('Stavební rozpočet'!AE12:AE32)</f>
        <v>0</v>
      </c>
      <c r="D17" s="113"/>
      <c r="E17" s="114"/>
      <c r="F17" s="59"/>
      <c r="G17" s="113" t="s">
        <v>132</v>
      </c>
      <c r="H17" s="114"/>
      <c r="I17" s="62">
        <v>0</v>
      </c>
      <c r="J17" s="17"/>
    </row>
    <row r="18" spans="1:10" ht="15" customHeight="1">
      <c r="A18" s="52" t="s">
        <v>105</v>
      </c>
      <c r="B18" s="56" t="s">
        <v>115</v>
      </c>
      <c r="C18" s="62">
        <f>SUM('Stavební rozpočet'!AF12:AF32)</f>
        <v>0</v>
      </c>
      <c r="D18" s="113"/>
      <c r="E18" s="114"/>
      <c r="F18" s="59"/>
      <c r="G18" s="113" t="s">
        <v>133</v>
      </c>
      <c r="H18" s="114"/>
      <c r="I18" s="62">
        <v>0</v>
      </c>
      <c r="J18" s="17"/>
    </row>
    <row r="19" spans="1:10" ht="15" customHeight="1">
      <c r="A19" s="53"/>
      <c r="B19" s="56" t="s">
        <v>116</v>
      </c>
      <c r="C19" s="62">
        <f>SUM('Stavební rozpočet'!AG12:AG32)</f>
        <v>0</v>
      </c>
      <c r="D19" s="113"/>
      <c r="E19" s="114"/>
      <c r="F19" s="59"/>
      <c r="G19" s="113" t="s">
        <v>134</v>
      </c>
      <c r="H19" s="114"/>
      <c r="I19" s="62">
        <v>0</v>
      </c>
      <c r="J19" s="17"/>
    </row>
    <row r="20" spans="1:10" ht="15" customHeight="1">
      <c r="A20" s="115" t="s">
        <v>106</v>
      </c>
      <c r="B20" s="116"/>
      <c r="C20" s="62">
        <f>SUM('Stavební rozpočet'!AH12:AH32)</f>
        <v>0</v>
      </c>
      <c r="D20" s="113"/>
      <c r="E20" s="114"/>
      <c r="F20" s="59"/>
      <c r="G20" s="113"/>
      <c r="H20" s="114"/>
      <c r="I20" s="59"/>
      <c r="J20" s="17"/>
    </row>
    <row r="21" spans="1:10" ht="15" customHeight="1">
      <c r="A21" s="115" t="s">
        <v>107</v>
      </c>
      <c r="B21" s="116"/>
      <c r="C21" s="62">
        <f>SUM('Stavební rozpočet'!Z12:Z32)</f>
        <v>0</v>
      </c>
      <c r="D21" s="113"/>
      <c r="E21" s="114"/>
      <c r="F21" s="59"/>
      <c r="G21" s="113"/>
      <c r="H21" s="114"/>
      <c r="I21" s="59"/>
      <c r="J21" s="17"/>
    </row>
    <row r="22" spans="1:10" ht="16.5" customHeight="1">
      <c r="A22" s="115" t="s">
        <v>108</v>
      </c>
      <c r="B22" s="116"/>
      <c r="C22" s="62">
        <f>ROUND(SUM(C14:C21),0)</f>
        <v>0</v>
      </c>
      <c r="D22" s="115" t="s">
        <v>122</v>
      </c>
      <c r="E22" s="116"/>
      <c r="F22" s="62">
        <f>SUM(F14:F21)</f>
        <v>0</v>
      </c>
      <c r="G22" s="115" t="s">
        <v>135</v>
      </c>
      <c r="H22" s="116"/>
      <c r="I22" s="62">
        <f>ROUND(C22*(5/100),2)</f>
        <v>0</v>
      </c>
      <c r="J22" s="17"/>
    </row>
    <row r="23" spans="1:10" ht="15" customHeight="1">
      <c r="A23" s="6"/>
      <c r="B23" s="6"/>
      <c r="C23" s="58"/>
      <c r="D23" s="115" t="s">
        <v>123</v>
      </c>
      <c r="E23" s="116"/>
      <c r="F23" s="60">
        <v>0</v>
      </c>
      <c r="G23" s="115" t="s">
        <v>136</v>
      </c>
      <c r="H23" s="116"/>
      <c r="I23" s="62">
        <v>0</v>
      </c>
      <c r="J23" s="17"/>
    </row>
    <row r="24" spans="4:10" ht="15" customHeight="1">
      <c r="D24" s="6"/>
      <c r="E24" s="6"/>
      <c r="F24" s="61"/>
      <c r="G24" s="115" t="s">
        <v>137</v>
      </c>
      <c r="H24" s="116"/>
      <c r="I24" s="62">
        <v>0</v>
      </c>
      <c r="J24" s="17"/>
    </row>
    <row r="25" spans="6:10" ht="15" customHeight="1">
      <c r="F25" s="47"/>
      <c r="G25" s="115" t="s">
        <v>138</v>
      </c>
      <c r="H25" s="116"/>
      <c r="I25" s="62">
        <v>0</v>
      </c>
      <c r="J25" s="17"/>
    </row>
    <row r="26" spans="1:9" ht="12.75">
      <c r="A26" s="37"/>
      <c r="B26" s="37"/>
      <c r="C26" s="37"/>
      <c r="G26" s="6"/>
      <c r="H26" s="6"/>
      <c r="I26" s="6"/>
    </row>
    <row r="27" spans="1:9" ht="15" customHeight="1">
      <c r="A27" s="117" t="s">
        <v>109</v>
      </c>
      <c r="B27" s="118"/>
      <c r="C27" s="63">
        <f>ROUND(SUM('Stavební rozpočet'!AJ12:AJ32),0)</f>
        <v>0</v>
      </c>
      <c r="D27" s="32"/>
      <c r="E27" s="37"/>
      <c r="F27" s="37"/>
      <c r="G27" s="37"/>
      <c r="H27" s="37"/>
      <c r="I27" s="37"/>
    </row>
    <row r="28" spans="1:10" ht="15" customHeight="1">
      <c r="A28" s="117" t="s">
        <v>110</v>
      </c>
      <c r="B28" s="118"/>
      <c r="C28" s="63">
        <f>ROUND(SUM('Stavební rozpočet'!AK12:AK32),0)</f>
        <v>0</v>
      </c>
      <c r="D28" s="117" t="s">
        <v>124</v>
      </c>
      <c r="E28" s="118"/>
      <c r="F28" s="63">
        <f>ROUND(C28*(15/100),2)</f>
        <v>0</v>
      </c>
      <c r="G28" s="117" t="s">
        <v>139</v>
      </c>
      <c r="H28" s="118"/>
      <c r="I28" s="63">
        <f>ROUND(SUM(C27:C29),0)</f>
        <v>0</v>
      </c>
      <c r="J28" s="17"/>
    </row>
    <row r="29" spans="1:10" ht="15" customHeight="1">
      <c r="A29" s="117" t="s">
        <v>111</v>
      </c>
      <c r="B29" s="118"/>
      <c r="C29" s="63">
        <f>ROUND(SUM('Stavební rozpočet'!AL12:AL32)+(F22+I22+F23+I23+I24+I25),0)</f>
        <v>0</v>
      </c>
      <c r="D29" s="117" t="s">
        <v>125</v>
      </c>
      <c r="E29" s="118"/>
      <c r="F29" s="63">
        <f>ROUND(C29*(21/100),2)</f>
        <v>0</v>
      </c>
      <c r="G29" s="117" t="s">
        <v>140</v>
      </c>
      <c r="H29" s="118"/>
      <c r="I29" s="63">
        <f>ROUND(SUM(F28:F29)+I28,0)</f>
        <v>0</v>
      </c>
      <c r="J29" s="17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4.25" customHeight="1">
      <c r="A31" s="119" t="s">
        <v>112</v>
      </c>
      <c r="B31" s="120"/>
      <c r="C31" s="121"/>
      <c r="D31" s="119" t="s">
        <v>126</v>
      </c>
      <c r="E31" s="120"/>
      <c r="F31" s="121"/>
      <c r="G31" s="119" t="s">
        <v>141</v>
      </c>
      <c r="H31" s="120"/>
      <c r="I31" s="121"/>
      <c r="J31" s="50"/>
    </row>
    <row r="32" spans="1:10" ht="14.25" customHeight="1">
      <c r="A32" s="122"/>
      <c r="B32" s="123"/>
      <c r="C32" s="124"/>
      <c r="D32" s="122"/>
      <c r="E32" s="123"/>
      <c r="F32" s="124"/>
      <c r="G32" s="122"/>
      <c r="H32" s="123"/>
      <c r="I32" s="124"/>
      <c r="J32" s="50"/>
    </row>
    <row r="33" spans="1:10" ht="14.25" customHeight="1">
      <c r="A33" s="122"/>
      <c r="B33" s="123"/>
      <c r="C33" s="124"/>
      <c r="D33" s="122"/>
      <c r="E33" s="123"/>
      <c r="F33" s="124"/>
      <c r="G33" s="122"/>
      <c r="H33" s="123"/>
      <c r="I33" s="124"/>
      <c r="J33" s="50"/>
    </row>
    <row r="34" spans="1:10" ht="14.25" customHeight="1">
      <c r="A34" s="122"/>
      <c r="B34" s="123"/>
      <c r="C34" s="124"/>
      <c r="D34" s="122"/>
      <c r="E34" s="123"/>
      <c r="F34" s="124"/>
      <c r="G34" s="122"/>
      <c r="H34" s="123"/>
      <c r="I34" s="124"/>
      <c r="J34" s="50"/>
    </row>
    <row r="35" spans="1:10" ht="14.25" customHeight="1">
      <c r="A35" s="125" t="s">
        <v>113</v>
      </c>
      <c r="B35" s="126"/>
      <c r="C35" s="127"/>
      <c r="D35" s="125" t="s">
        <v>113</v>
      </c>
      <c r="E35" s="126"/>
      <c r="F35" s="127"/>
      <c r="G35" s="125" t="s">
        <v>113</v>
      </c>
      <c r="H35" s="126"/>
      <c r="I35" s="127"/>
      <c r="J35" s="50"/>
    </row>
    <row r="36" spans="1:9" ht="11.25" customHeight="1">
      <c r="A36" s="55" t="s">
        <v>87</v>
      </c>
      <c r="B36" s="57"/>
      <c r="C36" s="57"/>
      <c r="D36" s="57"/>
      <c r="E36" s="57"/>
      <c r="F36" s="57"/>
      <c r="G36" s="57"/>
      <c r="H36" s="57"/>
      <c r="I36" s="57"/>
    </row>
    <row r="37" spans="1:9" ht="12.75">
      <c r="A37" s="102"/>
      <c r="B37" s="94"/>
      <c r="C37" s="94"/>
      <c r="D37" s="94"/>
      <c r="E37" s="94"/>
      <c r="F37" s="94"/>
      <c r="G37" s="94"/>
      <c r="H37" s="94"/>
      <c r="I37" s="94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I15" sqref="I15"/>
    </sheetView>
  </sheetViews>
  <sheetFormatPr defaultColWidth="11.57421875" defaultRowHeight="12.75"/>
  <cols>
    <col min="1" max="1" width="3.7109375" style="0" customWidth="1"/>
    <col min="2" max="2" width="15.00390625" style="0" customWidth="1"/>
    <col min="3" max="3" width="71.421875" style="0" customWidth="1"/>
    <col min="4" max="6" width="12.140625" style="0" customWidth="1"/>
    <col min="7" max="7" width="4.28125" style="0" customWidth="1"/>
    <col min="8" max="8" width="12.8515625" style="0" customWidth="1"/>
    <col min="9" max="11" width="20.7109375" style="0" customWidth="1"/>
    <col min="12" max="229" width="11.57421875" style="0" customWidth="1"/>
    <col min="230" max="231" width="12.140625" style="0" hidden="1" customWidth="1"/>
    <col min="232" max="250" width="11.57421875" style="0" customWidth="1"/>
    <col min="251" max="254" width="12.140625" style="0" hidden="1" customWidth="1"/>
  </cols>
  <sheetData>
    <row r="1" spans="1:11" ht="72.75" customHeight="1">
      <c r="A1" s="128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ht="12.75">
      <c r="A2" s="91" t="s">
        <v>1</v>
      </c>
      <c r="B2" s="92"/>
      <c r="C2" s="95" t="str">
        <f>'Stavební rozpočet'!D2</f>
        <v>Oprava hřbitovní zdi</v>
      </c>
      <c r="D2" s="129" t="s">
        <v>67</v>
      </c>
      <c r="E2" s="92"/>
      <c r="F2" s="98" t="str">
        <f>'Stavební rozpočet'!H2</f>
        <v> </v>
      </c>
      <c r="G2" s="98" t="s">
        <v>72</v>
      </c>
      <c r="H2" s="92"/>
      <c r="I2" s="98" t="str">
        <f>'Stavební rozpočet'!J2</f>
        <v>Město Benešov Masarykovo náměstí 100, Benešov</v>
      </c>
      <c r="J2" s="92"/>
      <c r="K2" s="130"/>
      <c r="L2" s="17"/>
    </row>
    <row r="3" spans="1:12" ht="12.75">
      <c r="A3" s="93"/>
      <c r="B3" s="94"/>
      <c r="C3" s="97"/>
      <c r="D3" s="94"/>
      <c r="E3" s="94"/>
      <c r="F3" s="94"/>
      <c r="G3" s="94"/>
      <c r="H3" s="94"/>
      <c r="I3" s="94"/>
      <c r="J3" s="94"/>
      <c r="K3" s="100"/>
      <c r="L3" s="17"/>
    </row>
    <row r="4" spans="1:12" ht="12.75">
      <c r="A4" s="101" t="s">
        <v>2</v>
      </c>
      <c r="B4" s="94"/>
      <c r="C4" s="102" t="str">
        <f>'Stavební rozpočet'!D4</f>
        <v> </v>
      </c>
      <c r="D4" s="104" t="s">
        <v>68</v>
      </c>
      <c r="E4" s="94"/>
      <c r="F4" s="102" t="str">
        <f>'Stavební rozpočet'!H4</f>
        <v> </v>
      </c>
      <c r="G4" s="102" t="s">
        <v>73</v>
      </c>
      <c r="H4" s="94"/>
      <c r="I4" s="102" t="str">
        <f>'Stavební rozpočet'!J4</f>
        <v> </v>
      </c>
      <c r="J4" s="94"/>
      <c r="K4" s="100"/>
      <c r="L4" s="17"/>
    </row>
    <row r="5" spans="1:12" ht="12.75">
      <c r="A5" s="93"/>
      <c r="B5" s="94"/>
      <c r="C5" s="94"/>
      <c r="D5" s="94"/>
      <c r="E5" s="94"/>
      <c r="F5" s="94"/>
      <c r="G5" s="94"/>
      <c r="H5" s="94"/>
      <c r="I5" s="94"/>
      <c r="J5" s="94"/>
      <c r="K5" s="100"/>
      <c r="L5" s="17"/>
    </row>
    <row r="6" spans="1:12" ht="12.75">
      <c r="A6" s="101" t="s">
        <v>3</v>
      </c>
      <c r="B6" s="94"/>
      <c r="C6" s="102" t="str">
        <f>'Stavební rozpočet'!D6</f>
        <v>Benešov ul. Na Karlově</v>
      </c>
      <c r="D6" s="104" t="s">
        <v>69</v>
      </c>
      <c r="E6" s="94"/>
      <c r="F6" s="102" t="str">
        <f>'Stavební rozpočet'!H6</f>
        <v> </v>
      </c>
      <c r="G6" s="102" t="s">
        <v>74</v>
      </c>
      <c r="H6" s="94"/>
      <c r="I6" s="102"/>
      <c r="J6" s="94"/>
      <c r="K6" s="100"/>
      <c r="L6" s="17"/>
    </row>
    <row r="7" spans="1:12" ht="12.75">
      <c r="A7" s="93"/>
      <c r="B7" s="94"/>
      <c r="C7" s="94"/>
      <c r="D7" s="94"/>
      <c r="E7" s="94"/>
      <c r="F7" s="94"/>
      <c r="G7" s="94"/>
      <c r="H7" s="94"/>
      <c r="I7" s="94"/>
      <c r="J7" s="94"/>
      <c r="K7" s="100"/>
      <c r="L7" s="17"/>
    </row>
    <row r="8" spans="1:12" ht="12.75">
      <c r="A8" s="101" t="s">
        <v>4</v>
      </c>
      <c r="B8" s="94"/>
      <c r="C8" s="102" t="str">
        <f>'Stavební rozpočet'!D8</f>
        <v> </v>
      </c>
      <c r="D8" s="104" t="s">
        <v>70</v>
      </c>
      <c r="E8" s="94"/>
      <c r="F8" s="102"/>
      <c r="G8" s="102" t="s">
        <v>75</v>
      </c>
      <c r="H8" s="94"/>
      <c r="I8" s="102" t="str">
        <f>'Stavební rozpočet'!J8</f>
        <v> </v>
      </c>
      <c r="J8" s="94"/>
      <c r="K8" s="100"/>
      <c r="L8" s="17"/>
    </row>
    <row r="9" spans="1:12" ht="12.75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8"/>
      <c r="L9" s="17"/>
    </row>
    <row r="10" spans="1:231" ht="12.75">
      <c r="A10" s="1" t="s">
        <v>5</v>
      </c>
      <c r="B10" s="1" t="s">
        <v>23</v>
      </c>
      <c r="C10" s="131" t="s">
        <v>45</v>
      </c>
      <c r="D10" s="131"/>
      <c r="E10" s="131"/>
      <c r="F10" s="131"/>
      <c r="G10" s="1" t="s">
        <v>71</v>
      </c>
      <c r="H10" s="1" t="s">
        <v>78</v>
      </c>
      <c r="I10" s="1" t="s">
        <v>79</v>
      </c>
      <c r="J10" s="1" t="s">
        <v>81</v>
      </c>
      <c r="K10" s="16" t="s">
        <v>82</v>
      </c>
      <c r="L10" s="17"/>
      <c r="HV10" s="18" t="s">
        <v>83</v>
      </c>
      <c r="HW10" s="18" t="s">
        <v>84</v>
      </c>
    </row>
    <row r="11" spans="1:12" ht="12.75">
      <c r="A11" s="2" t="s">
        <v>6</v>
      </c>
      <c r="B11" s="7" t="s">
        <v>24</v>
      </c>
      <c r="C11" s="132" t="s">
        <v>46</v>
      </c>
      <c r="D11" s="133"/>
      <c r="E11" s="133"/>
      <c r="F11" s="133"/>
      <c r="G11" s="7" t="s">
        <v>6</v>
      </c>
      <c r="H11" s="11" t="s">
        <v>6</v>
      </c>
      <c r="I11" s="11" t="s">
        <v>6</v>
      </c>
      <c r="J11" s="19">
        <f>SUM(J12:J15)</f>
        <v>0</v>
      </c>
      <c r="K11" s="23">
        <f>SUM(K12:K15)</f>
        <v>28.805952599999998</v>
      </c>
      <c r="L11" s="17"/>
    </row>
    <row r="12" spans="1:253" ht="12.75">
      <c r="A12" s="3" t="s">
        <v>7</v>
      </c>
      <c r="B12" s="8" t="s">
        <v>25</v>
      </c>
      <c r="C12" s="134" t="s">
        <v>47</v>
      </c>
      <c r="D12" s="135"/>
      <c r="E12" s="135"/>
      <c r="F12" s="135"/>
      <c r="G12" s="8" t="s">
        <v>76</v>
      </c>
      <c r="H12" s="12">
        <v>347.94</v>
      </c>
      <c r="I12" s="12"/>
      <c r="J12" s="12">
        <f>IR12*H12+IS12*H12</f>
        <v>0</v>
      </c>
      <c r="K12" s="24">
        <f>0.00105*H12</f>
        <v>0.36533699999999997</v>
      </c>
      <c r="L12" s="17"/>
      <c r="HV12" s="8" t="s">
        <v>24</v>
      </c>
      <c r="HW12" s="8" t="s">
        <v>85</v>
      </c>
      <c r="IR12" s="28">
        <f>I12*0.48748781280468</f>
        <v>0</v>
      </c>
      <c r="IS12" s="28">
        <f>I12*(1-0.48748781280468)</f>
        <v>0</v>
      </c>
    </row>
    <row r="13" spans="1:253" ht="12.75">
      <c r="A13" s="3" t="s">
        <v>8</v>
      </c>
      <c r="B13" s="8" t="s">
        <v>26</v>
      </c>
      <c r="C13" s="134" t="s">
        <v>48</v>
      </c>
      <c r="D13" s="135"/>
      <c r="E13" s="135"/>
      <c r="F13" s="135"/>
      <c r="G13" s="8" t="s">
        <v>76</v>
      </c>
      <c r="H13" s="12">
        <v>347.94</v>
      </c>
      <c r="I13" s="12"/>
      <c r="J13" s="12">
        <f>IR13*H13+IS13*H13</f>
        <v>0</v>
      </c>
      <c r="K13" s="24">
        <f>0.00924*H13</f>
        <v>3.2149655999999998</v>
      </c>
      <c r="L13" s="17"/>
      <c r="HV13" s="8" t="s">
        <v>24</v>
      </c>
      <c r="HW13" s="8" t="s">
        <v>85</v>
      </c>
      <c r="IR13" s="28">
        <f>I13*0.404906832298137</f>
        <v>0</v>
      </c>
      <c r="IS13" s="28">
        <f>I13*(1-0.404906832298137)</f>
        <v>0</v>
      </c>
    </row>
    <row r="14" spans="1:253" ht="12.75">
      <c r="A14" s="3" t="s">
        <v>9</v>
      </c>
      <c r="B14" s="8" t="s">
        <v>27</v>
      </c>
      <c r="C14" s="134" t="s">
        <v>49</v>
      </c>
      <c r="D14" s="135"/>
      <c r="E14" s="135"/>
      <c r="F14" s="135"/>
      <c r="G14" s="8" t="s">
        <v>76</v>
      </c>
      <c r="H14" s="12">
        <v>347.94</v>
      </c>
      <c r="I14" s="12"/>
      <c r="J14" s="12">
        <f>IR14*H14+IS14*H14</f>
        <v>0</v>
      </c>
      <c r="K14" s="24">
        <f>0.04145*H14</f>
        <v>14.422113</v>
      </c>
      <c r="L14" s="17"/>
      <c r="HV14" s="8" t="s">
        <v>24</v>
      </c>
      <c r="HW14" s="8" t="s">
        <v>85</v>
      </c>
      <c r="IR14" s="28">
        <f>I14*0.597176981541802</f>
        <v>0</v>
      </c>
      <c r="IS14" s="28">
        <f>I14*(1-0.597176981541802)</f>
        <v>0</v>
      </c>
    </row>
    <row r="15" spans="1:253" ht="12.75">
      <c r="A15" s="3" t="s">
        <v>10</v>
      </c>
      <c r="B15" s="8" t="s">
        <v>28</v>
      </c>
      <c r="C15" s="134" t="s">
        <v>50</v>
      </c>
      <c r="D15" s="135"/>
      <c r="E15" s="135"/>
      <c r="F15" s="135"/>
      <c r="G15" s="8" t="s">
        <v>76</v>
      </c>
      <c r="H15" s="12">
        <v>347.94</v>
      </c>
      <c r="I15" s="12"/>
      <c r="J15" s="12">
        <f>IR15*H15+IS15*H15</f>
        <v>0</v>
      </c>
      <c r="K15" s="24">
        <f>0.03105*H15</f>
        <v>10.803537</v>
      </c>
      <c r="L15" s="17"/>
      <c r="HV15" s="8" t="s">
        <v>24</v>
      </c>
      <c r="HW15" s="8" t="s">
        <v>85</v>
      </c>
      <c r="IR15" s="28">
        <f>I15*0.784166286220695</f>
        <v>0</v>
      </c>
      <c r="IS15" s="28">
        <f>I15*(1-0.784166286220695)</f>
        <v>0</v>
      </c>
    </row>
    <row r="16" spans="1:253" ht="12.75">
      <c r="A16" s="3" t="s">
        <v>184</v>
      </c>
      <c r="B16" s="8" t="s">
        <v>185</v>
      </c>
      <c r="C16" s="134" t="s">
        <v>186</v>
      </c>
      <c r="D16" s="135"/>
      <c r="E16" s="135"/>
      <c r="F16" s="135"/>
      <c r="G16" s="8" t="s">
        <v>187</v>
      </c>
      <c r="H16" s="12">
        <v>1</v>
      </c>
      <c r="I16" s="12"/>
      <c r="J16" s="12">
        <f>+I16</f>
        <v>0</v>
      </c>
      <c r="K16" s="24">
        <v>0</v>
      </c>
      <c r="L16" s="17"/>
      <c r="HV16" s="8"/>
      <c r="HW16" s="8"/>
      <c r="IR16" s="28"/>
      <c r="IS16" s="28"/>
    </row>
    <row r="17" spans="1:12" ht="12.75">
      <c r="A17" s="4" t="s">
        <v>6</v>
      </c>
      <c r="B17" s="9" t="s">
        <v>29</v>
      </c>
      <c r="C17" s="136" t="s">
        <v>51</v>
      </c>
      <c r="D17" s="137"/>
      <c r="E17" s="137"/>
      <c r="F17" s="137"/>
      <c r="G17" s="9" t="s">
        <v>6</v>
      </c>
      <c r="H17" s="13" t="s">
        <v>6</v>
      </c>
      <c r="I17" s="13"/>
      <c r="J17" s="20">
        <f>SUM(J18:J21)</f>
        <v>0</v>
      </c>
      <c r="K17" s="25">
        <f>SUM(K18:K21)</f>
        <v>8.713574999999999</v>
      </c>
      <c r="L17" s="17"/>
    </row>
    <row r="18" spans="1:253" ht="12.75">
      <c r="A18" s="3" t="s">
        <v>11</v>
      </c>
      <c r="B18" s="8" t="s">
        <v>30</v>
      </c>
      <c r="C18" s="134" t="s">
        <v>52</v>
      </c>
      <c r="D18" s="135"/>
      <c r="E18" s="135"/>
      <c r="F18" s="135"/>
      <c r="G18" s="8" t="s">
        <v>76</v>
      </c>
      <c r="H18" s="12">
        <v>263.25</v>
      </c>
      <c r="I18" s="12"/>
      <c r="J18" s="12">
        <f>IR18*H18+IS18*H18</f>
        <v>0</v>
      </c>
      <c r="K18" s="24">
        <f>0.0331*H18</f>
        <v>8.713574999999999</v>
      </c>
      <c r="L18" s="17"/>
      <c r="HV18" s="8" t="s">
        <v>29</v>
      </c>
      <c r="HW18" s="8" t="s">
        <v>85</v>
      </c>
      <c r="IR18" s="28">
        <f>I18*0.0140869565217391</f>
        <v>0</v>
      </c>
      <c r="IS18" s="28">
        <f>I18*(1-0.0140869565217391)</f>
        <v>0</v>
      </c>
    </row>
    <row r="19" spans="1:253" ht="12.75">
      <c r="A19" s="3" t="s">
        <v>12</v>
      </c>
      <c r="B19" s="8" t="s">
        <v>31</v>
      </c>
      <c r="C19" s="134" t="s">
        <v>53</v>
      </c>
      <c r="D19" s="135"/>
      <c r="E19" s="135"/>
      <c r="F19" s="135"/>
      <c r="G19" s="8" t="s">
        <v>76</v>
      </c>
      <c r="H19" s="12">
        <v>526.5</v>
      </c>
      <c r="I19" s="12"/>
      <c r="J19" s="12">
        <f>IR19*H19+IS19*H19</f>
        <v>0</v>
      </c>
      <c r="K19" s="24">
        <f>0*H19</f>
        <v>0</v>
      </c>
      <c r="L19" s="17"/>
      <c r="HV19" s="8" t="s">
        <v>29</v>
      </c>
      <c r="HW19" s="8" t="s">
        <v>85</v>
      </c>
      <c r="IR19" s="28">
        <f>I19*0</f>
        <v>0</v>
      </c>
      <c r="IS19" s="28">
        <f>I19*(1-0)</f>
        <v>0</v>
      </c>
    </row>
    <row r="20" spans="1:253" ht="12.75">
      <c r="A20" s="3" t="s">
        <v>13</v>
      </c>
      <c r="B20" s="8" t="s">
        <v>32</v>
      </c>
      <c r="C20" s="134" t="s">
        <v>54</v>
      </c>
      <c r="D20" s="135"/>
      <c r="E20" s="135"/>
      <c r="F20" s="135"/>
      <c r="G20" s="8" t="s">
        <v>76</v>
      </c>
      <c r="H20" s="12">
        <v>263.25</v>
      </c>
      <c r="I20" s="12"/>
      <c r="J20" s="12">
        <f>IR20*H20+IS20*H20</f>
        <v>0</v>
      </c>
      <c r="K20" s="24">
        <f>0*H20</f>
        <v>0</v>
      </c>
      <c r="L20" s="17"/>
      <c r="HV20" s="8" t="s">
        <v>29</v>
      </c>
      <c r="HW20" s="8" t="s">
        <v>85</v>
      </c>
      <c r="IR20" s="28">
        <f>I20*0</f>
        <v>0</v>
      </c>
      <c r="IS20" s="28">
        <f>I20*(1-0)</f>
        <v>0</v>
      </c>
    </row>
    <row r="21" spans="1:253" ht="12.75">
      <c r="A21" s="3" t="s">
        <v>14</v>
      </c>
      <c r="B21" s="8" t="s">
        <v>33</v>
      </c>
      <c r="C21" s="134" t="s">
        <v>55</v>
      </c>
      <c r="D21" s="135"/>
      <c r="E21" s="135"/>
      <c r="F21" s="135"/>
      <c r="G21" s="8" t="s">
        <v>77</v>
      </c>
      <c r="H21" s="12">
        <v>8.71</v>
      </c>
      <c r="I21" s="12"/>
      <c r="J21" s="12">
        <f>IR21*H21+IS21*H21</f>
        <v>0</v>
      </c>
      <c r="K21" s="24">
        <f>0*H21</f>
        <v>0</v>
      </c>
      <c r="L21" s="17"/>
      <c r="HV21" s="8" t="s">
        <v>29</v>
      </c>
      <c r="HW21" s="8" t="s">
        <v>85</v>
      </c>
      <c r="IR21" s="28">
        <f>I21*0</f>
        <v>0</v>
      </c>
      <c r="IS21" s="28">
        <f>I21*(1-0)</f>
        <v>0</v>
      </c>
    </row>
    <row r="22" spans="1:12" ht="12.75">
      <c r="A22" s="4" t="s">
        <v>6</v>
      </c>
      <c r="B22" s="9" t="s">
        <v>34</v>
      </c>
      <c r="C22" s="136" t="s">
        <v>56</v>
      </c>
      <c r="D22" s="137"/>
      <c r="E22" s="137"/>
      <c r="F22" s="137"/>
      <c r="G22" s="9" t="s">
        <v>6</v>
      </c>
      <c r="H22" s="13" t="s">
        <v>6</v>
      </c>
      <c r="I22" s="13"/>
      <c r="J22" s="20">
        <f>SUM(J23:J23)</f>
        <v>0</v>
      </c>
      <c r="K22" s="25">
        <f>SUM(K23:K23)</f>
        <v>20.52846</v>
      </c>
      <c r="L22" s="17"/>
    </row>
    <row r="23" spans="1:253" ht="12.75">
      <c r="A23" s="3" t="s">
        <v>15</v>
      </c>
      <c r="B23" s="8" t="s">
        <v>35</v>
      </c>
      <c r="C23" s="134" t="s">
        <v>57</v>
      </c>
      <c r="D23" s="135"/>
      <c r="E23" s="135"/>
      <c r="F23" s="135"/>
      <c r="G23" s="8" t="s">
        <v>76</v>
      </c>
      <c r="H23" s="12">
        <v>347.94</v>
      </c>
      <c r="I23" s="12"/>
      <c r="J23" s="12">
        <f>IR23*H23+IS23*H23</f>
        <v>0</v>
      </c>
      <c r="K23" s="24">
        <f>0.059*H23</f>
        <v>20.52846</v>
      </c>
      <c r="L23" s="17"/>
      <c r="HV23" s="8" t="s">
        <v>34</v>
      </c>
      <c r="HW23" s="8" t="s">
        <v>85</v>
      </c>
      <c r="IR23" s="28">
        <f>I23*0</f>
        <v>0</v>
      </c>
      <c r="IS23" s="28">
        <f>I23*(1-0)</f>
        <v>0</v>
      </c>
    </row>
    <row r="24" spans="1:12" ht="12.75">
      <c r="A24" s="4" t="s">
        <v>6</v>
      </c>
      <c r="B24" s="9" t="s">
        <v>36</v>
      </c>
      <c r="C24" s="136" t="s">
        <v>58</v>
      </c>
      <c r="D24" s="137"/>
      <c r="E24" s="137"/>
      <c r="F24" s="137"/>
      <c r="G24" s="9" t="s">
        <v>6</v>
      </c>
      <c r="H24" s="13" t="s">
        <v>6</v>
      </c>
      <c r="I24" s="13"/>
      <c r="J24" s="20">
        <f>SUM(J25:J26)</f>
        <v>0</v>
      </c>
      <c r="K24" s="25">
        <f>SUM(K25:K26)</f>
        <v>0</v>
      </c>
      <c r="L24" s="17"/>
    </row>
    <row r="25" spans="1:253" ht="12.75">
      <c r="A25" s="3" t="s">
        <v>16</v>
      </c>
      <c r="B25" s="8" t="s">
        <v>37</v>
      </c>
      <c r="C25" s="134" t="s">
        <v>59</v>
      </c>
      <c r="D25" s="135"/>
      <c r="E25" s="135"/>
      <c r="F25" s="135"/>
      <c r="G25" s="8" t="s">
        <v>77</v>
      </c>
      <c r="H25" s="12">
        <v>28.81</v>
      </c>
      <c r="I25" s="12"/>
      <c r="J25" s="12">
        <f>IR25*H25+IS25*H25</f>
        <v>0</v>
      </c>
      <c r="K25" s="24">
        <f>0*H25</f>
        <v>0</v>
      </c>
      <c r="L25" s="17"/>
      <c r="HV25" s="8" t="s">
        <v>36</v>
      </c>
      <c r="HW25" s="8" t="s">
        <v>85</v>
      </c>
      <c r="IR25" s="28">
        <f>I25*0</f>
        <v>0</v>
      </c>
      <c r="IS25" s="28">
        <f>I25*(1-0)</f>
        <v>0</v>
      </c>
    </row>
    <row r="26" spans="1:253" ht="12.75">
      <c r="A26" s="3" t="s">
        <v>17</v>
      </c>
      <c r="B26" s="8" t="s">
        <v>38</v>
      </c>
      <c r="C26" s="134" t="s">
        <v>60</v>
      </c>
      <c r="D26" s="135"/>
      <c r="E26" s="135"/>
      <c r="F26" s="135"/>
      <c r="G26" s="8" t="s">
        <v>77</v>
      </c>
      <c r="H26" s="12">
        <v>86.43</v>
      </c>
      <c r="I26" s="12"/>
      <c r="J26" s="12">
        <f>IR26*H26+IS26*H26</f>
        <v>0</v>
      </c>
      <c r="K26" s="24">
        <f>0*H26</f>
        <v>0</v>
      </c>
      <c r="L26" s="17"/>
      <c r="HV26" s="8" t="s">
        <v>36</v>
      </c>
      <c r="HW26" s="8" t="s">
        <v>85</v>
      </c>
      <c r="IR26" s="28">
        <f>I26*0</f>
        <v>0</v>
      </c>
      <c r="IS26" s="28">
        <f>I26*(1-0)</f>
        <v>0</v>
      </c>
    </row>
    <row r="27" spans="1:12" ht="12.75">
      <c r="A27" s="4" t="s">
        <v>6</v>
      </c>
      <c r="B27" s="9" t="s">
        <v>39</v>
      </c>
      <c r="C27" s="136" t="s">
        <v>61</v>
      </c>
      <c r="D27" s="137"/>
      <c r="E27" s="137"/>
      <c r="F27" s="137"/>
      <c r="G27" s="9" t="s">
        <v>6</v>
      </c>
      <c r="H27" s="13" t="s">
        <v>6</v>
      </c>
      <c r="I27" s="13"/>
      <c r="J27" s="21">
        <f>SUM(J28:J32)</f>
        <v>0</v>
      </c>
      <c r="K27" s="26">
        <f>SUM(K28:K32)</f>
        <v>0</v>
      </c>
      <c r="L27" s="17"/>
    </row>
    <row r="28" spans="1:253" ht="12.75">
      <c r="A28" s="3" t="s">
        <v>18</v>
      </c>
      <c r="B28" s="8" t="s">
        <v>40</v>
      </c>
      <c r="C28" s="134" t="s">
        <v>62</v>
      </c>
      <c r="D28" s="135"/>
      <c r="E28" s="135"/>
      <c r="F28" s="135"/>
      <c r="G28" s="8" t="s">
        <v>77</v>
      </c>
      <c r="H28" s="12">
        <v>20.53</v>
      </c>
      <c r="I28" s="12"/>
      <c r="J28" s="12">
        <f>IR28*H28+IS28*H28</f>
        <v>0</v>
      </c>
      <c r="K28" s="24">
        <f>0*H28</f>
        <v>0</v>
      </c>
      <c r="L28" s="17"/>
      <c r="HV28" s="8" t="s">
        <v>39</v>
      </c>
      <c r="HW28" s="8" t="s">
        <v>85</v>
      </c>
      <c r="IR28" s="28">
        <f>I28*0</f>
        <v>0</v>
      </c>
      <c r="IS28" s="28">
        <f>I28*(1-0)</f>
        <v>0</v>
      </c>
    </row>
    <row r="29" spans="1:253" ht="12.75">
      <c r="A29" s="3" t="s">
        <v>19</v>
      </c>
      <c r="B29" s="8" t="s">
        <v>41</v>
      </c>
      <c r="C29" s="134" t="s">
        <v>63</v>
      </c>
      <c r="D29" s="135"/>
      <c r="E29" s="135"/>
      <c r="F29" s="135"/>
      <c r="G29" s="8" t="s">
        <v>77</v>
      </c>
      <c r="H29" s="12">
        <v>20.53</v>
      </c>
      <c r="I29" s="12"/>
      <c r="J29" s="12">
        <f>IR29*H29+IS29*H29</f>
        <v>0</v>
      </c>
      <c r="K29" s="24">
        <f>0*H29</f>
        <v>0</v>
      </c>
      <c r="L29" s="17"/>
      <c r="HV29" s="8" t="s">
        <v>39</v>
      </c>
      <c r="HW29" s="8" t="s">
        <v>85</v>
      </c>
      <c r="IR29" s="28">
        <f>I29*0</f>
        <v>0</v>
      </c>
      <c r="IS29" s="28">
        <f>I29*(1-0)</f>
        <v>0</v>
      </c>
    </row>
    <row r="30" spans="1:253" ht="12.75">
      <c r="A30" s="3" t="s">
        <v>20</v>
      </c>
      <c r="B30" s="8" t="s">
        <v>42</v>
      </c>
      <c r="C30" s="134" t="s">
        <v>64</v>
      </c>
      <c r="D30" s="135"/>
      <c r="E30" s="135"/>
      <c r="F30" s="135"/>
      <c r="G30" s="8" t="s">
        <v>77</v>
      </c>
      <c r="H30" s="12">
        <v>369.54</v>
      </c>
      <c r="I30" s="12"/>
      <c r="J30" s="12">
        <f>IR30*H30+IS30*H30</f>
        <v>0</v>
      </c>
      <c r="K30" s="24">
        <f>0*H30</f>
        <v>0</v>
      </c>
      <c r="L30" s="17"/>
      <c r="HV30" s="8" t="s">
        <v>39</v>
      </c>
      <c r="HW30" s="8" t="s">
        <v>85</v>
      </c>
      <c r="IR30" s="28">
        <f>I30*0</f>
        <v>0</v>
      </c>
      <c r="IS30" s="28">
        <f>I30*(1-0)</f>
        <v>0</v>
      </c>
    </row>
    <row r="31" spans="1:253" ht="12.75">
      <c r="A31" s="3" t="s">
        <v>21</v>
      </c>
      <c r="B31" s="8" t="s">
        <v>43</v>
      </c>
      <c r="C31" s="134" t="s">
        <v>65</v>
      </c>
      <c r="D31" s="135"/>
      <c r="E31" s="135"/>
      <c r="F31" s="135"/>
      <c r="G31" s="8" t="s">
        <v>77</v>
      </c>
      <c r="H31" s="12">
        <v>102.65</v>
      </c>
      <c r="I31" s="12"/>
      <c r="J31" s="12">
        <f>IR31*H31+IS31*H31</f>
        <v>0</v>
      </c>
      <c r="K31" s="24">
        <f>0*H31</f>
        <v>0</v>
      </c>
      <c r="L31" s="17"/>
      <c r="HV31" s="8" t="s">
        <v>39</v>
      </c>
      <c r="HW31" s="8" t="s">
        <v>85</v>
      </c>
      <c r="IR31" s="28">
        <f>I31*0</f>
        <v>0</v>
      </c>
      <c r="IS31" s="28">
        <f>I31*(1-0)</f>
        <v>0</v>
      </c>
    </row>
    <row r="32" spans="1:253" ht="12.75">
      <c r="A32" s="5" t="s">
        <v>22</v>
      </c>
      <c r="B32" s="10" t="s">
        <v>44</v>
      </c>
      <c r="C32" s="138" t="s">
        <v>66</v>
      </c>
      <c r="D32" s="139"/>
      <c r="E32" s="139"/>
      <c r="F32" s="139"/>
      <c r="G32" s="10" t="s">
        <v>77</v>
      </c>
      <c r="H32" s="14">
        <v>20.53</v>
      </c>
      <c r="I32" s="14"/>
      <c r="J32" s="14">
        <f>IR32*H32+IS32*H32</f>
        <v>0</v>
      </c>
      <c r="K32" s="27">
        <f>0*H32</f>
        <v>0</v>
      </c>
      <c r="L32" s="17"/>
      <c r="HV32" s="8" t="s">
        <v>39</v>
      </c>
      <c r="HW32" s="8" t="s">
        <v>85</v>
      </c>
      <c r="IR32" s="28">
        <f>I32*0</f>
        <v>0</v>
      </c>
      <c r="IS32" s="28">
        <f>I32*(1-0)</f>
        <v>0</v>
      </c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9:10" ht="12.75">
      <c r="I34" s="15" t="s">
        <v>80</v>
      </c>
      <c r="J34" s="22">
        <f>ROUND(J11+J17+J22+J24+J27,0)</f>
        <v>0</v>
      </c>
    </row>
  </sheetData>
  <sheetProtection/>
  <mergeCells count="48">
    <mergeCell ref="C16:F16"/>
    <mergeCell ref="C29:F29"/>
    <mergeCell ref="C30:F30"/>
    <mergeCell ref="C31:F31"/>
    <mergeCell ref="C32:F32"/>
    <mergeCell ref="C23:F23"/>
    <mergeCell ref="C24:F24"/>
    <mergeCell ref="C25:F25"/>
    <mergeCell ref="C26:F26"/>
    <mergeCell ref="C27:F27"/>
    <mergeCell ref="C28:F28"/>
    <mergeCell ref="C17:F17"/>
    <mergeCell ref="C18:F18"/>
    <mergeCell ref="C19:F19"/>
    <mergeCell ref="C20:F20"/>
    <mergeCell ref="C21:F21"/>
    <mergeCell ref="C22:F22"/>
    <mergeCell ref="C10:F10"/>
    <mergeCell ref="C11:F11"/>
    <mergeCell ref="C12:F12"/>
    <mergeCell ref="C13:F13"/>
    <mergeCell ref="C14:F14"/>
    <mergeCell ref="C15:F15"/>
    <mergeCell ref="A8:B9"/>
    <mergeCell ref="C8:C9"/>
    <mergeCell ref="D8:E9"/>
    <mergeCell ref="F8:F9"/>
    <mergeCell ref="G8:H9"/>
    <mergeCell ref="I8:K9"/>
    <mergeCell ref="A6:B7"/>
    <mergeCell ref="C6:C7"/>
    <mergeCell ref="D6:E7"/>
    <mergeCell ref="F6:F7"/>
    <mergeCell ref="G6:H7"/>
    <mergeCell ref="I6:K7"/>
    <mergeCell ref="A4:B5"/>
    <mergeCell ref="C4:C5"/>
    <mergeCell ref="D4:E5"/>
    <mergeCell ref="F4:F5"/>
    <mergeCell ref="G4:H5"/>
    <mergeCell ref="I4:K5"/>
    <mergeCell ref="A1:K1"/>
    <mergeCell ref="A2:B3"/>
    <mergeCell ref="C2:C3"/>
    <mergeCell ref="D2:E3"/>
    <mergeCell ref="F2:F3"/>
    <mergeCell ref="G2:H3"/>
    <mergeCell ref="I2:K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F8" sqref="F8:H9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50.421875" style="0" customWidth="1"/>
    <col min="5" max="5" width="15.710937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128" t="s">
        <v>86</v>
      </c>
      <c r="B1" s="90"/>
      <c r="C1" s="90"/>
      <c r="D1" s="90"/>
      <c r="E1" s="90"/>
      <c r="F1" s="90"/>
      <c r="G1" s="90"/>
      <c r="H1" s="90"/>
    </row>
    <row r="2" spans="1:9" ht="12.75">
      <c r="A2" s="91" t="s">
        <v>1</v>
      </c>
      <c r="B2" s="92"/>
      <c r="C2" s="95" t="str">
        <f>'Stavební rozpočet'!D2</f>
        <v>Oprava hřbitovní zdi</v>
      </c>
      <c r="D2" s="96"/>
      <c r="E2" s="98" t="s">
        <v>72</v>
      </c>
      <c r="F2" s="98" t="str">
        <f>'Stavební rozpočet'!J2</f>
        <v>Město Benešov Masarykovo náměstí 100, Benešov</v>
      </c>
      <c r="G2" s="92"/>
      <c r="H2" s="130"/>
      <c r="I2" s="17"/>
    </row>
    <row r="3" spans="1:9" ht="12.75">
      <c r="A3" s="93"/>
      <c r="B3" s="94"/>
      <c r="C3" s="97"/>
      <c r="D3" s="97"/>
      <c r="E3" s="94"/>
      <c r="F3" s="94"/>
      <c r="G3" s="94"/>
      <c r="H3" s="100"/>
      <c r="I3" s="17"/>
    </row>
    <row r="4" spans="1:9" ht="12.75">
      <c r="A4" s="101" t="s">
        <v>2</v>
      </c>
      <c r="B4" s="94"/>
      <c r="C4" s="102" t="str">
        <f>'Stavební rozpočet'!D4</f>
        <v> </v>
      </c>
      <c r="D4" s="94"/>
      <c r="E4" s="102" t="s">
        <v>73</v>
      </c>
      <c r="F4" s="102" t="str">
        <f>'Stavební rozpočet'!J4</f>
        <v> </v>
      </c>
      <c r="G4" s="94"/>
      <c r="H4" s="100"/>
      <c r="I4" s="17"/>
    </row>
    <row r="5" spans="1:9" ht="12.75">
      <c r="A5" s="93"/>
      <c r="B5" s="94"/>
      <c r="C5" s="94"/>
      <c r="D5" s="94"/>
      <c r="E5" s="94"/>
      <c r="F5" s="94"/>
      <c r="G5" s="94"/>
      <c r="H5" s="100"/>
      <c r="I5" s="17"/>
    </row>
    <row r="6" spans="1:9" ht="12.75">
      <c r="A6" s="101" t="s">
        <v>3</v>
      </c>
      <c r="B6" s="94"/>
      <c r="C6" s="102" t="str">
        <f>'Stavební rozpočet'!D6</f>
        <v>Benešov ul. Na Karlově</v>
      </c>
      <c r="D6" s="94"/>
      <c r="E6" s="102" t="s">
        <v>74</v>
      </c>
      <c r="F6" s="102"/>
      <c r="G6" s="94"/>
      <c r="H6" s="100"/>
      <c r="I6" s="17"/>
    </row>
    <row r="7" spans="1:9" ht="12.75">
      <c r="A7" s="93"/>
      <c r="B7" s="94"/>
      <c r="C7" s="94"/>
      <c r="D7" s="94"/>
      <c r="E7" s="94"/>
      <c r="F7" s="94"/>
      <c r="G7" s="94"/>
      <c r="H7" s="100"/>
      <c r="I7" s="17"/>
    </row>
    <row r="8" spans="1:9" ht="12.75">
      <c r="A8" s="101" t="s">
        <v>75</v>
      </c>
      <c r="B8" s="94"/>
      <c r="C8" s="102" t="str">
        <f>'Stavební rozpočet'!J8</f>
        <v> </v>
      </c>
      <c r="D8" s="94"/>
      <c r="E8" s="102" t="s">
        <v>70</v>
      </c>
      <c r="F8" s="102"/>
      <c r="G8" s="94"/>
      <c r="H8" s="100"/>
      <c r="I8" s="17"/>
    </row>
    <row r="9" spans="1:9" ht="12.75">
      <c r="A9" s="140"/>
      <c r="B9" s="141"/>
      <c r="C9" s="141"/>
      <c r="D9" s="141"/>
      <c r="E9" s="141"/>
      <c r="F9" s="141"/>
      <c r="G9" s="141"/>
      <c r="H9" s="142"/>
      <c r="I9" s="17"/>
    </row>
    <row r="10" spans="1:9" ht="12.75">
      <c r="A10" s="29" t="s">
        <v>5</v>
      </c>
      <c r="B10" s="34" t="s">
        <v>88</v>
      </c>
      <c r="C10" s="34" t="s">
        <v>23</v>
      </c>
      <c r="D10" s="143" t="s">
        <v>45</v>
      </c>
      <c r="E10" s="144"/>
      <c r="F10" s="34" t="s">
        <v>71</v>
      </c>
      <c r="G10" s="40" t="s">
        <v>78</v>
      </c>
      <c r="H10" s="45" t="s">
        <v>100</v>
      </c>
      <c r="I10" s="50"/>
    </row>
    <row r="11" spans="1:9" ht="12.75">
      <c r="A11" s="30"/>
      <c r="B11" s="35"/>
      <c r="C11" s="35" t="s">
        <v>24</v>
      </c>
      <c r="D11" s="145" t="s">
        <v>46</v>
      </c>
      <c r="E11" s="146"/>
      <c r="F11" s="35"/>
      <c r="G11" s="86"/>
      <c r="H11" s="46"/>
      <c r="I11" s="17"/>
    </row>
    <row r="12" spans="1:9" ht="12.75">
      <c r="A12" s="3" t="s">
        <v>7</v>
      </c>
      <c r="B12" s="8"/>
      <c r="C12" s="8" t="s">
        <v>25</v>
      </c>
      <c r="D12" s="147" t="s">
        <v>47</v>
      </c>
      <c r="E12" s="135"/>
      <c r="F12" s="8" t="s">
        <v>76</v>
      </c>
      <c r="G12" s="12">
        <v>347.94</v>
      </c>
      <c r="H12" s="24">
        <v>0</v>
      </c>
      <c r="I12" s="17"/>
    </row>
    <row r="13" spans="1:9" ht="12" customHeight="1">
      <c r="A13" s="17"/>
      <c r="D13" s="38" t="s">
        <v>89</v>
      </c>
      <c r="E13" s="148"/>
      <c r="F13" s="149"/>
      <c r="G13" s="42">
        <v>347.94</v>
      </c>
      <c r="H13" s="47"/>
      <c r="I13" s="17"/>
    </row>
    <row r="14" spans="1:9" ht="12.75">
      <c r="A14" s="3" t="s">
        <v>8</v>
      </c>
      <c r="B14" s="8"/>
      <c r="C14" s="8" t="s">
        <v>26</v>
      </c>
      <c r="D14" s="147" t="s">
        <v>48</v>
      </c>
      <c r="E14" s="135"/>
      <c r="F14" s="8" t="s">
        <v>76</v>
      </c>
      <c r="G14" s="12">
        <v>347.94</v>
      </c>
      <c r="H14" s="24">
        <v>0</v>
      </c>
      <c r="I14" s="17"/>
    </row>
    <row r="15" spans="1:9" ht="12" customHeight="1">
      <c r="A15" s="17"/>
      <c r="D15" s="38" t="s">
        <v>89</v>
      </c>
      <c r="E15" s="148"/>
      <c r="F15" s="149"/>
      <c r="G15" s="42">
        <v>347.94</v>
      </c>
      <c r="H15" s="47"/>
      <c r="I15" s="17"/>
    </row>
    <row r="16" spans="1:9" ht="12.75">
      <c r="A16" s="3" t="s">
        <v>9</v>
      </c>
      <c r="B16" s="8"/>
      <c r="C16" s="8" t="s">
        <v>27</v>
      </c>
      <c r="D16" s="147" t="s">
        <v>49</v>
      </c>
      <c r="E16" s="135"/>
      <c r="F16" s="8" t="s">
        <v>76</v>
      </c>
      <c r="G16" s="12">
        <v>347.94</v>
      </c>
      <c r="H16" s="24">
        <v>0</v>
      </c>
      <c r="I16" s="17"/>
    </row>
    <row r="17" spans="1:9" ht="12" customHeight="1">
      <c r="A17" s="17"/>
      <c r="D17" s="38" t="s">
        <v>89</v>
      </c>
      <c r="E17" s="148"/>
      <c r="F17" s="149"/>
      <c r="G17" s="42">
        <v>347.94</v>
      </c>
      <c r="H17" s="47"/>
      <c r="I17" s="17"/>
    </row>
    <row r="18" spans="1:9" ht="12.75">
      <c r="A18" s="3" t="s">
        <v>10</v>
      </c>
      <c r="B18" s="8"/>
      <c r="C18" s="8" t="s">
        <v>28</v>
      </c>
      <c r="D18" s="147" t="s">
        <v>50</v>
      </c>
      <c r="E18" s="135"/>
      <c r="F18" s="8" t="s">
        <v>76</v>
      </c>
      <c r="G18" s="12">
        <v>347.94</v>
      </c>
      <c r="H18" s="24">
        <v>0</v>
      </c>
      <c r="I18" s="17"/>
    </row>
    <row r="19" spans="1:9" ht="12" customHeight="1">
      <c r="A19" s="17"/>
      <c r="D19" s="38" t="s">
        <v>89</v>
      </c>
      <c r="E19" s="148"/>
      <c r="F19" s="149"/>
      <c r="G19" s="42">
        <v>347.94</v>
      </c>
      <c r="H19" s="47"/>
      <c r="I19" s="17"/>
    </row>
    <row r="20" spans="1:9" ht="12.75">
      <c r="A20" s="31"/>
      <c r="B20" s="36"/>
      <c r="C20" s="36" t="s">
        <v>29</v>
      </c>
      <c r="D20" s="150" t="s">
        <v>51</v>
      </c>
      <c r="E20" s="151"/>
      <c r="F20" s="36"/>
      <c r="G20" s="21"/>
      <c r="H20" s="48"/>
      <c r="I20" s="17"/>
    </row>
    <row r="21" spans="1:9" ht="12.75">
      <c r="A21" s="3" t="s">
        <v>11</v>
      </c>
      <c r="B21" s="8"/>
      <c r="C21" s="8" t="s">
        <v>30</v>
      </c>
      <c r="D21" s="147" t="s">
        <v>52</v>
      </c>
      <c r="E21" s="135"/>
      <c r="F21" s="8" t="s">
        <v>76</v>
      </c>
      <c r="G21" s="12">
        <v>263.25</v>
      </c>
      <c r="H21" s="24">
        <v>0</v>
      </c>
      <c r="I21" s="17"/>
    </row>
    <row r="22" spans="1:9" ht="12" customHeight="1">
      <c r="A22" s="17"/>
      <c r="D22" s="38" t="s">
        <v>90</v>
      </c>
      <c r="E22" s="148"/>
      <c r="F22" s="149"/>
      <c r="G22" s="42">
        <v>263.25</v>
      </c>
      <c r="H22" s="47"/>
      <c r="I22" s="17"/>
    </row>
    <row r="23" spans="1:9" ht="12.75">
      <c r="A23" s="3" t="s">
        <v>12</v>
      </c>
      <c r="B23" s="8"/>
      <c r="C23" s="8" t="s">
        <v>31</v>
      </c>
      <c r="D23" s="147" t="s">
        <v>53</v>
      </c>
      <c r="E23" s="135"/>
      <c r="F23" s="8" t="s">
        <v>76</v>
      </c>
      <c r="G23" s="12">
        <v>526.5</v>
      </c>
      <c r="H23" s="24">
        <v>0</v>
      </c>
      <c r="I23" s="17"/>
    </row>
    <row r="24" spans="1:9" ht="12" customHeight="1">
      <c r="A24" s="17"/>
      <c r="D24" s="38" t="s">
        <v>91</v>
      </c>
      <c r="E24" s="148"/>
      <c r="F24" s="149"/>
      <c r="G24" s="42">
        <v>526.5</v>
      </c>
      <c r="H24" s="47"/>
      <c r="I24" s="17"/>
    </row>
    <row r="25" spans="1:9" ht="12.75">
      <c r="A25" s="3" t="s">
        <v>13</v>
      </c>
      <c r="B25" s="8"/>
      <c r="C25" s="8" t="s">
        <v>32</v>
      </c>
      <c r="D25" s="147" t="s">
        <v>54</v>
      </c>
      <c r="E25" s="135"/>
      <c r="F25" s="8" t="s">
        <v>76</v>
      </c>
      <c r="G25" s="12">
        <v>263.25</v>
      </c>
      <c r="H25" s="24">
        <v>0</v>
      </c>
      <c r="I25" s="17"/>
    </row>
    <row r="26" spans="1:9" ht="12" customHeight="1">
      <c r="A26" s="17"/>
      <c r="D26" s="38" t="s">
        <v>92</v>
      </c>
      <c r="E26" s="148"/>
      <c r="F26" s="149"/>
      <c r="G26" s="42">
        <v>263.25</v>
      </c>
      <c r="H26" s="47"/>
      <c r="I26" s="17"/>
    </row>
    <row r="27" spans="1:9" ht="12.75">
      <c r="A27" s="3" t="s">
        <v>14</v>
      </c>
      <c r="B27" s="8"/>
      <c r="C27" s="8" t="s">
        <v>33</v>
      </c>
      <c r="D27" s="147" t="s">
        <v>55</v>
      </c>
      <c r="E27" s="135"/>
      <c r="F27" s="8" t="s">
        <v>77</v>
      </c>
      <c r="G27" s="12">
        <v>8.71</v>
      </c>
      <c r="H27" s="24">
        <v>0</v>
      </c>
      <c r="I27" s="17"/>
    </row>
    <row r="28" spans="1:9" ht="12" customHeight="1">
      <c r="A28" s="17"/>
      <c r="D28" s="38" t="s">
        <v>93</v>
      </c>
      <c r="E28" s="148"/>
      <c r="F28" s="149"/>
      <c r="G28" s="42">
        <v>8.71</v>
      </c>
      <c r="H28" s="47"/>
      <c r="I28" s="17"/>
    </row>
    <row r="29" spans="1:9" ht="12.75">
      <c r="A29" s="31"/>
      <c r="B29" s="36"/>
      <c r="C29" s="36" t="s">
        <v>34</v>
      </c>
      <c r="D29" s="150" t="s">
        <v>56</v>
      </c>
      <c r="E29" s="151"/>
      <c r="F29" s="36"/>
      <c r="G29" s="21"/>
      <c r="H29" s="48"/>
      <c r="I29" s="17"/>
    </row>
    <row r="30" spans="1:9" ht="12.75">
      <c r="A30" s="3" t="s">
        <v>15</v>
      </c>
      <c r="B30" s="8"/>
      <c r="C30" s="8" t="s">
        <v>35</v>
      </c>
      <c r="D30" s="147" t="s">
        <v>57</v>
      </c>
      <c r="E30" s="135"/>
      <c r="F30" s="8" t="s">
        <v>76</v>
      </c>
      <c r="G30" s="12">
        <v>347.94</v>
      </c>
      <c r="H30" s="24">
        <v>0</v>
      </c>
      <c r="I30" s="17"/>
    </row>
    <row r="31" spans="1:9" ht="12" customHeight="1">
      <c r="A31" s="17"/>
      <c r="D31" s="38" t="s">
        <v>94</v>
      </c>
      <c r="E31" s="148"/>
      <c r="F31" s="149"/>
      <c r="G31" s="42">
        <v>347.94</v>
      </c>
      <c r="H31" s="47"/>
      <c r="I31" s="17"/>
    </row>
    <row r="32" spans="1:9" ht="12.75">
      <c r="A32" s="31"/>
      <c r="B32" s="36"/>
      <c r="C32" s="36" t="s">
        <v>36</v>
      </c>
      <c r="D32" s="150" t="s">
        <v>58</v>
      </c>
      <c r="E32" s="151"/>
      <c r="F32" s="36"/>
      <c r="G32" s="21"/>
      <c r="H32" s="48"/>
      <c r="I32" s="17"/>
    </row>
    <row r="33" spans="1:9" ht="12.75">
      <c r="A33" s="3" t="s">
        <v>16</v>
      </c>
      <c r="B33" s="8"/>
      <c r="C33" s="8" t="s">
        <v>37</v>
      </c>
      <c r="D33" s="147" t="s">
        <v>59</v>
      </c>
      <c r="E33" s="135"/>
      <c r="F33" s="8" t="s">
        <v>77</v>
      </c>
      <c r="G33" s="12">
        <v>28.81</v>
      </c>
      <c r="H33" s="24">
        <v>0</v>
      </c>
      <c r="I33" s="17"/>
    </row>
    <row r="34" spans="1:9" ht="12" customHeight="1">
      <c r="A34" s="17"/>
      <c r="D34" s="38" t="s">
        <v>95</v>
      </c>
      <c r="E34" s="148"/>
      <c r="F34" s="149"/>
      <c r="G34" s="42">
        <v>28.81</v>
      </c>
      <c r="H34" s="47"/>
      <c r="I34" s="17"/>
    </row>
    <row r="35" spans="1:9" ht="12.75">
      <c r="A35" s="3" t="s">
        <v>17</v>
      </c>
      <c r="B35" s="8"/>
      <c r="C35" s="8" t="s">
        <v>38</v>
      </c>
      <c r="D35" s="147" t="s">
        <v>60</v>
      </c>
      <c r="E35" s="135"/>
      <c r="F35" s="8" t="s">
        <v>77</v>
      </c>
      <c r="G35" s="12">
        <v>86.43</v>
      </c>
      <c r="H35" s="24">
        <v>0</v>
      </c>
      <c r="I35" s="17"/>
    </row>
    <row r="36" spans="1:9" ht="12" customHeight="1">
      <c r="A36" s="17"/>
      <c r="D36" s="38" t="s">
        <v>96</v>
      </c>
      <c r="E36" s="148"/>
      <c r="F36" s="149"/>
      <c r="G36" s="42">
        <v>86.43</v>
      </c>
      <c r="H36" s="47"/>
      <c r="I36" s="17"/>
    </row>
    <row r="37" spans="1:9" ht="12.75">
      <c r="A37" s="31"/>
      <c r="B37" s="36"/>
      <c r="C37" s="36" t="s">
        <v>39</v>
      </c>
      <c r="D37" s="150" t="s">
        <v>61</v>
      </c>
      <c r="E37" s="151"/>
      <c r="F37" s="36"/>
      <c r="G37" s="21"/>
      <c r="H37" s="48"/>
      <c r="I37" s="17"/>
    </row>
    <row r="38" spans="1:9" ht="12.75">
      <c r="A38" s="3" t="s">
        <v>18</v>
      </c>
      <c r="B38" s="8"/>
      <c r="C38" s="8" t="s">
        <v>40</v>
      </c>
      <c r="D38" s="147" t="s">
        <v>62</v>
      </c>
      <c r="E38" s="135"/>
      <c r="F38" s="8" t="s">
        <v>77</v>
      </c>
      <c r="G38" s="12">
        <v>20.53</v>
      </c>
      <c r="H38" s="24">
        <v>0</v>
      </c>
      <c r="I38" s="17"/>
    </row>
    <row r="39" spans="1:9" ht="12" customHeight="1">
      <c r="A39" s="17"/>
      <c r="D39" s="38" t="s">
        <v>97</v>
      </c>
      <c r="E39" s="148"/>
      <c r="F39" s="149"/>
      <c r="G39" s="42">
        <v>20.53</v>
      </c>
      <c r="H39" s="47"/>
      <c r="I39" s="17"/>
    </row>
    <row r="40" spans="1:9" ht="12.75">
      <c r="A40" s="3" t="s">
        <v>19</v>
      </c>
      <c r="B40" s="8"/>
      <c r="C40" s="8" t="s">
        <v>41</v>
      </c>
      <c r="D40" s="147" t="s">
        <v>63</v>
      </c>
      <c r="E40" s="135"/>
      <c r="F40" s="8" t="s">
        <v>77</v>
      </c>
      <c r="G40" s="12">
        <v>20.53</v>
      </c>
      <c r="H40" s="24">
        <v>0</v>
      </c>
      <c r="I40" s="17"/>
    </row>
    <row r="41" spans="1:9" ht="12" customHeight="1">
      <c r="A41" s="17"/>
      <c r="D41" s="38" t="s">
        <v>97</v>
      </c>
      <c r="E41" s="148"/>
      <c r="F41" s="149"/>
      <c r="G41" s="42">
        <v>20.53</v>
      </c>
      <c r="H41" s="47"/>
      <c r="I41" s="17"/>
    </row>
    <row r="42" spans="1:9" ht="12.75">
      <c r="A42" s="3" t="s">
        <v>20</v>
      </c>
      <c r="B42" s="8"/>
      <c r="C42" s="8" t="s">
        <v>42</v>
      </c>
      <c r="D42" s="147" t="s">
        <v>64</v>
      </c>
      <c r="E42" s="135"/>
      <c r="F42" s="8" t="s">
        <v>77</v>
      </c>
      <c r="G42" s="12">
        <v>369.54</v>
      </c>
      <c r="H42" s="24">
        <v>0</v>
      </c>
      <c r="I42" s="17"/>
    </row>
    <row r="43" spans="1:9" ht="12" customHeight="1">
      <c r="A43" s="17"/>
      <c r="D43" s="38" t="s">
        <v>98</v>
      </c>
      <c r="E43" s="148"/>
      <c r="F43" s="149"/>
      <c r="G43" s="42">
        <v>369.54</v>
      </c>
      <c r="H43" s="47"/>
      <c r="I43" s="17"/>
    </row>
    <row r="44" spans="1:9" ht="12.75">
      <c r="A44" s="3" t="s">
        <v>21</v>
      </c>
      <c r="B44" s="8"/>
      <c r="C44" s="8" t="s">
        <v>43</v>
      </c>
      <c r="D44" s="147" t="s">
        <v>65</v>
      </c>
      <c r="E44" s="135"/>
      <c r="F44" s="8" t="s">
        <v>77</v>
      </c>
      <c r="G44" s="12">
        <v>102.65</v>
      </c>
      <c r="H44" s="24">
        <v>0</v>
      </c>
      <c r="I44" s="17"/>
    </row>
    <row r="45" spans="1:9" ht="12" customHeight="1">
      <c r="A45" s="17"/>
      <c r="D45" s="38" t="s">
        <v>99</v>
      </c>
      <c r="E45" s="148"/>
      <c r="F45" s="149"/>
      <c r="G45" s="42">
        <v>102.65</v>
      </c>
      <c r="H45" s="47"/>
      <c r="I45" s="17"/>
    </row>
    <row r="46" spans="1:9" ht="12.75">
      <c r="A46" s="3" t="s">
        <v>22</v>
      </c>
      <c r="B46" s="8"/>
      <c r="C46" s="8" t="s">
        <v>44</v>
      </c>
      <c r="D46" s="147" t="s">
        <v>66</v>
      </c>
      <c r="E46" s="135"/>
      <c r="F46" s="8" t="s">
        <v>77</v>
      </c>
      <c r="G46" s="12">
        <v>20.53</v>
      </c>
      <c r="H46" s="24">
        <v>0</v>
      </c>
      <c r="I46" s="17"/>
    </row>
    <row r="47" spans="1:9" ht="12" customHeight="1">
      <c r="A47" s="32"/>
      <c r="B47" s="37"/>
      <c r="C47" s="37"/>
      <c r="D47" s="39" t="s">
        <v>97</v>
      </c>
      <c r="E47" s="152"/>
      <c r="F47" s="153"/>
      <c r="G47" s="44">
        <v>20.53</v>
      </c>
      <c r="H47" s="49"/>
      <c r="I47" s="17"/>
    </row>
    <row r="48" spans="1:8" ht="12.75">
      <c r="A48" s="6"/>
      <c r="B48" s="6"/>
      <c r="C48" s="6"/>
      <c r="D48" s="6"/>
      <c r="E48" s="6"/>
      <c r="F48" s="6"/>
      <c r="G48" s="6"/>
      <c r="H48" s="6"/>
    </row>
    <row r="49" ht="11.25" customHeight="1">
      <c r="A49" s="33" t="s">
        <v>87</v>
      </c>
    </row>
    <row r="50" spans="1:7" ht="12.75">
      <c r="A50" s="102"/>
      <c r="B50" s="94"/>
      <c r="C50" s="94"/>
      <c r="D50" s="94"/>
      <c r="E50" s="94"/>
      <c r="F50" s="94"/>
      <c r="G50" s="94"/>
    </row>
  </sheetData>
  <sheetProtection/>
  <mergeCells count="56">
    <mergeCell ref="D46:E46"/>
    <mergeCell ref="E47:F47"/>
    <mergeCell ref="A50:G50"/>
    <mergeCell ref="D40:E40"/>
    <mergeCell ref="E41:F41"/>
    <mergeCell ref="D42:E42"/>
    <mergeCell ref="E43:F43"/>
    <mergeCell ref="D44:E44"/>
    <mergeCell ref="E45:F45"/>
    <mergeCell ref="E34:F34"/>
    <mergeCell ref="D35:E35"/>
    <mergeCell ref="E36:F36"/>
    <mergeCell ref="D37:E37"/>
    <mergeCell ref="D38:E38"/>
    <mergeCell ref="E39:F39"/>
    <mergeCell ref="E28:F28"/>
    <mergeCell ref="D29:E29"/>
    <mergeCell ref="D30:E30"/>
    <mergeCell ref="E31:F31"/>
    <mergeCell ref="D32:E32"/>
    <mergeCell ref="D33:E33"/>
    <mergeCell ref="E22:F22"/>
    <mergeCell ref="D23:E23"/>
    <mergeCell ref="E24:F24"/>
    <mergeCell ref="D25:E25"/>
    <mergeCell ref="E26:F26"/>
    <mergeCell ref="D27:E27"/>
    <mergeCell ref="D16:E16"/>
    <mergeCell ref="E17:F17"/>
    <mergeCell ref="D18:E18"/>
    <mergeCell ref="E19:F19"/>
    <mergeCell ref="D20:E20"/>
    <mergeCell ref="D21:E21"/>
    <mergeCell ref="D10:E10"/>
    <mergeCell ref="D11:E11"/>
    <mergeCell ref="D12:E12"/>
    <mergeCell ref="E13:F13"/>
    <mergeCell ref="D14:E14"/>
    <mergeCell ref="E15:F15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5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N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1.421875" style="0" customWidth="1"/>
    <col min="5" max="5" width="59.00390625" style="0" customWidth="1"/>
    <col min="6" max="6" width="4.2812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28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 ht="12.75">
      <c r="A2" s="91" t="s">
        <v>1</v>
      </c>
      <c r="B2" s="92"/>
      <c r="C2" s="92"/>
      <c r="D2" s="95" t="s">
        <v>147</v>
      </c>
      <c r="E2" s="96"/>
      <c r="F2" s="129" t="s">
        <v>67</v>
      </c>
      <c r="G2" s="92"/>
      <c r="H2" s="129" t="s">
        <v>6</v>
      </c>
      <c r="I2" s="98" t="s">
        <v>72</v>
      </c>
      <c r="J2" s="98" t="s">
        <v>155</v>
      </c>
      <c r="K2" s="92"/>
      <c r="L2" s="92"/>
      <c r="M2" s="92"/>
      <c r="N2" s="130"/>
      <c r="O2" s="17"/>
    </row>
    <row r="3" spans="1:15" ht="12.75">
      <c r="A3" s="93"/>
      <c r="B3" s="94"/>
      <c r="C3" s="94"/>
      <c r="D3" s="97"/>
      <c r="E3" s="97"/>
      <c r="F3" s="94"/>
      <c r="G3" s="94"/>
      <c r="H3" s="94"/>
      <c r="I3" s="94"/>
      <c r="J3" s="94"/>
      <c r="K3" s="94"/>
      <c r="L3" s="94"/>
      <c r="M3" s="94"/>
      <c r="N3" s="100"/>
      <c r="O3" s="17"/>
    </row>
    <row r="4" spans="1:15" ht="12.75">
      <c r="A4" s="101" t="s">
        <v>2</v>
      </c>
      <c r="B4" s="94"/>
      <c r="C4" s="94"/>
      <c r="D4" s="102" t="s">
        <v>6</v>
      </c>
      <c r="E4" s="94"/>
      <c r="F4" s="104" t="s">
        <v>68</v>
      </c>
      <c r="G4" s="94"/>
      <c r="H4" s="104" t="s">
        <v>6</v>
      </c>
      <c r="I4" s="102" t="s">
        <v>73</v>
      </c>
      <c r="J4" s="104" t="s">
        <v>156</v>
      </c>
      <c r="K4" s="94"/>
      <c r="L4" s="94"/>
      <c r="M4" s="94"/>
      <c r="N4" s="100"/>
      <c r="O4" s="17"/>
    </row>
    <row r="5" spans="1:15" ht="12.7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100"/>
      <c r="O5" s="17"/>
    </row>
    <row r="6" spans="1:15" ht="12.75">
      <c r="A6" s="101" t="s">
        <v>3</v>
      </c>
      <c r="B6" s="94"/>
      <c r="C6" s="94"/>
      <c r="D6" s="102" t="s">
        <v>148</v>
      </c>
      <c r="E6" s="94"/>
      <c r="F6" s="104" t="s">
        <v>69</v>
      </c>
      <c r="G6" s="94"/>
      <c r="H6" s="104" t="s">
        <v>6</v>
      </c>
      <c r="I6" s="102" t="s">
        <v>74</v>
      </c>
      <c r="J6" s="102" t="s">
        <v>157</v>
      </c>
      <c r="K6" s="94"/>
      <c r="L6" s="94"/>
      <c r="M6" s="94"/>
      <c r="N6" s="100"/>
      <c r="O6" s="17"/>
    </row>
    <row r="7" spans="1:15" ht="12.75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100"/>
      <c r="O7" s="17"/>
    </row>
    <row r="8" spans="1:15" ht="12.75">
      <c r="A8" s="101" t="s">
        <v>4</v>
      </c>
      <c r="B8" s="94"/>
      <c r="C8" s="94"/>
      <c r="D8" s="102" t="s">
        <v>6</v>
      </c>
      <c r="E8" s="94"/>
      <c r="F8" s="104" t="s">
        <v>70</v>
      </c>
      <c r="G8" s="94"/>
      <c r="H8" s="104" t="s">
        <v>150</v>
      </c>
      <c r="I8" s="102" t="s">
        <v>75</v>
      </c>
      <c r="J8" s="104" t="s">
        <v>156</v>
      </c>
      <c r="K8" s="94"/>
      <c r="L8" s="94"/>
      <c r="M8" s="94"/>
      <c r="N8" s="100"/>
      <c r="O8" s="17"/>
    </row>
    <row r="9" spans="1:15" ht="12.75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  <c r="O9" s="17"/>
    </row>
    <row r="10" spans="1:64" ht="12.75">
      <c r="A10" s="64" t="s">
        <v>5</v>
      </c>
      <c r="B10" s="68" t="s">
        <v>88</v>
      </c>
      <c r="C10" s="68" t="s">
        <v>23</v>
      </c>
      <c r="D10" s="154" t="s">
        <v>45</v>
      </c>
      <c r="E10" s="155"/>
      <c r="F10" s="68" t="s">
        <v>71</v>
      </c>
      <c r="G10" s="72" t="s">
        <v>78</v>
      </c>
      <c r="H10" s="73" t="s">
        <v>151</v>
      </c>
      <c r="I10" s="156" t="s">
        <v>153</v>
      </c>
      <c r="J10" s="157"/>
      <c r="K10" s="158"/>
      <c r="L10" s="156" t="s">
        <v>159</v>
      </c>
      <c r="M10" s="158"/>
      <c r="N10" s="78" t="s">
        <v>161</v>
      </c>
      <c r="O10" s="50"/>
      <c r="BK10" s="43" t="s">
        <v>84</v>
      </c>
      <c r="BL10" s="85" t="s">
        <v>83</v>
      </c>
    </row>
    <row r="11" spans="1:62" ht="12.75">
      <c r="A11" s="65" t="s">
        <v>6</v>
      </c>
      <c r="B11" s="69" t="s">
        <v>6</v>
      </c>
      <c r="C11" s="69" t="s">
        <v>6</v>
      </c>
      <c r="D11" s="159" t="s">
        <v>149</v>
      </c>
      <c r="E11" s="160"/>
      <c r="F11" s="69" t="s">
        <v>6</v>
      </c>
      <c r="G11" s="69" t="s">
        <v>6</v>
      </c>
      <c r="H11" s="74" t="s">
        <v>152</v>
      </c>
      <c r="I11" s="75" t="s">
        <v>154</v>
      </c>
      <c r="J11" s="76" t="s">
        <v>116</v>
      </c>
      <c r="K11" s="77" t="s">
        <v>158</v>
      </c>
      <c r="L11" s="75" t="s">
        <v>160</v>
      </c>
      <c r="M11" s="77" t="s">
        <v>158</v>
      </c>
      <c r="N11" s="79" t="s">
        <v>162</v>
      </c>
      <c r="O11" s="50"/>
      <c r="Z11" s="43" t="s">
        <v>164</v>
      </c>
      <c r="AA11" s="43" t="s">
        <v>165</v>
      </c>
      <c r="AB11" s="43" t="s">
        <v>166</v>
      </c>
      <c r="AC11" s="43" t="s">
        <v>167</v>
      </c>
      <c r="AD11" s="43" t="s">
        <v>168</v>
      </c>
      <c r="AE11" s="43" t="s">
        <v>169</v>
      </c>
      <c r="AF11" s="43" t="s">
        <v>170</v>
      </c>
      <c r="AG11" s="43" t="s">
        <v>171</v>
      </c>
      <c r="AH11" s="43" t="s">
        <v>172</v>
      </c>
      <c r="BH11" s="43" t="s">
        <v>181</v>
      </c>
      <c r="BI11" s="43" t="s">
        <v>182</v>
      </c>
      <c r="BJ11" s="43" t="s">
        <v>183</v>
      </c>
    </row>
    <row r="12" spans="1:47" ht="12.75">
      <c r="A12" s="66"/>
      <c r="B12" s="35"/>
      <c r="C12" s="35" t="s">
        <v>24</v>
      </c>
      <c r="D12" s="145" t="s">
        <v>46</v>
      </c>
      <c r="E12" s="146"/>
      <c r="F12" s="70" t="s">
        <v>6</v>
      </c>
      <c r="G12" s="70" t="s">
        <v>6</v>
      </c>
      <c r="H12" s="70" t="s">
        <v>6</v>
      </c>
      <c r="I12" s="86">
        <f>SUM(I13:I16)</f>
        <v>0</v>
      </c>
      <c r="J12" s="86">
        <f>SUM(J13:J16)</f>
        <v>0</v>
      </c>
      <c r="K12" s="86">
        <f>SUM(K13:K16)</f>
        <v>0</v>
      </c>
      <c r="L12" s="41"/>
      <c r="M12" s="86">
        <f>SUM(M13:M16)</f>
        <v>28.805952599999998</v>
      </c>
      <c r="N12" s="46"/>
      <c r="O12" s="17"/>
      <c r="AI12" s="43"/>
      <c r="AS12" s="21">
        <f>SUM(AJ13:AJ16)</f>
        <v>0</v>
      </c>
      <c r="AT12" s="21">
        <f>SUM(AK13:AK16)</f>
        <v>0</v>
      </c>
      <c r="AU12" s="21">
        <f>SUM(AL13:AL16)</f>
        <v>0</v>
      </c>
    </row>
    <row r="13" spans="1:64" ht="12.75">
      <c r="A13" s="3" t="s">
        <v>7</v>
      </c>
      <c r="B13" s="8"/>
      <c r="C13" s="8" t="s">
        <v>25</v>
      </c>
      <c r="D13" s="147" t="s">
        <v>47</v>
      </c>
      <c r="E13" s="135"/>
      <c r="F13" s="8" t="s">
        <v>76</v>
      </c>
      <c r="G13" s="12">
        <f>'Rozpočet - vybrané sloupce'!H12</f>
        <v>347.94</v>
      </c>
      <c r="H13" s="12">
        <f>'Rozpočet - vybrané sloupce'!I12</f>
        <v>0</v>
      </c>
      <c r="I13" s="12">
        <f>G13*AO13</f>
        <v>0</v>
      </c>
      <c r="J13" s="12">
        <f>G13*AP13</f>
        <v>0</v>
      </c>
      <c r="K13" s="12">
        <f>G13*H13</f>
        <v>0</v>
      </c>
      <c r="L13" s="12">
        <v>0.00105</v>
      </c>
      <c r="M13" s="12">
        <f>G13*L13</f>
        <v>0.36533699999999997</v>
      </c>
      <c r="N13" s="80" t="s">
        <v>163</v>
      </c>
      <c r="O13" s="17"/>
      <c r="Z13" s="82">
        <f>IF(AQ13="5",BJ13,0)</f>
        <v>0</v>
      </c>
      <c r="AB13" s="82">
        <f>IF(AQ13="1",BH13,0)</f>
        <v>0</v>
      </c>
      <c r="AC13" s="82">
        <f>IF(AQ13="1",BI13,0)</f>
        <v>0</v>
      </c>
      <c r="AD13" s="82">
        <f>IF(AQ13="7",BH13,0)</f>
        <v>0</v>
      </c>
      <c r="AE13" s="82">
        <f>IF(AQ13="7",BI13,0)</f>
        <v>0</v>
      </c>
      <c r="AF13" s="82">
        <f>IF(AQ13="2",BH13,0)</f>
        <v>0</v>
      </c>
      <c r="AG13" s="82">
        <f>IF(AQ13="2",BI13,0)</f>
        <v>0</v>
      </c>
      <c r="AH13" s="82">
        <f>IF(AQ13="0",BJ13,0)</f>
        <v>0</v>
      </c>
      <c r="AI13" s="43"/>
      <c r="AJ13" s="12">
        <f>IF(AN13=0,K13,0)</f>
        <v>0</v>
      </c>
      <c r="AK13" s="12">
        <f>IF(AN13=15,K13,0)</f>
        <v>0</v>
      </c>
      <c r="AL13" s="12">
        <f>IF(AN13=21,K13,0)</f>
        <v>0</v>
      </c>
      <c r="AN13" s="82">
        <v>21</v>
      </c>
      <c r="AO13" s="82">
        <f>H13*0.487492994582477</f>
        <v>0</v>
      </c>
      <c r="AP13" s="82">
        <f>H13*(1-0.487492994582477)</f>
        <v>0</v>
      </c>
      <c r="AQ13" s="83" t="s">
        <v>7</v>
      </c>
      <c r="AV13" s="82">
        <f>AW13+AX13</f>
        <v>0</v>
      </c>
      <c r="AW13" s="82">
        <f>G13*AO13</f>
        <v>0</v>
      </c>
      <c r="AX13" s="82">
        <f>G13*AP13</f>
        <v>0</v>
      </c>
      <c r="AY13" s="84" t="s">
        <v>173</v>
      </c>
      <c r="AZ13" s="84" t="s">
        <v>178</v>
      </c>
      <c r="BA13" s="43" t="s">
        <v>180</v>
      </c>
      <c r="BC13" s="82">
        <f>AW13+AX13</f>
        <v>0</v>
      </c>
      <c r="BD13" s="82">
        <f>H13/(100-BE13)*100</f>
        <v>0</v>
      </c>
      <c r="BE13" s="82">
        <v>0</v>
      </c>
      <c r="BF13" s="82">
        <f>M13</f>
        <v>0.36533699999999997</v>
      </c>
      <c r="BH13" s="12">
        <f>G13*AO13</f>
        <v>0</v>
      </c>
      <c r="BI13" s="12">
        <f>G13*AP13</f>
        <v>0</v>
      </c>
      <c r="BJ13" s="12">
        <f>G13*H13</f>
        <v>0</v>
      </c>
      <c r="BK13" s="12" t="s">
        <v>85</v>
      </c>
      <c r="BL13" s="82">
        <v>62</v>
      </c>
    </row>
    <row r="14" spans="1:64" ht="12.75">
      <c r="A14" s="3" t="s">
        <v>8</v>
      </c>
      <c r="B14" s="8"/>
      <c r="C14" s="8" t="s">
        <v>26</v>
      </c>
      <c r="D14" s="147" t="s">
        <v>48</v>
      </c>
      <c r="E14" s="135"/>
      <c r="F14" s="8" t="s">
        <v>76</v>
      </c>
      <c r="G14" s="12">
        <f>'Rozpočet - vybrané sloupce'!H13</f>
        <v>347.94</v>
      </c>
      <c r="H14" s="12">
        <f>'Rozpočet - vybrané sloupce'!I13</f>
        <v>0</v>
      </c>
      <c r="I14" s="12">
        <f>G14*AO14</f>
        <v>0</v>
      </c>
      <c r="J14" s="12">
        <f>G14*AP14</f>
        <v>0</v>
      </c>
      <c r="K14" s="12">
        <f>G14*H14</f>
        <v>0</v>
      </c>
      <c r="L14" s="12">
        <v>0.00924</v>
      </c>
      <c r="M14" s="12">
        <f>G14*L14</f>
        <v>3.2149655999999998</v>
      </c>
      <c r="N14" s="80" t="s">
        <v>163</v>
      </c>
      <c r="O14" s="17"/>
      <c r="Z14" s="82">
        <f>IF(AQ14="5",BJ14,0)</f>
        <v>0</v>
      </c>
      <c r="AB14" s="82">
        <f>IF(AQ14="1",BH14,0)</f>
        <v>0</v>
      </c>
      <c r="AC14" s="82">
        <f>IF(AQ14="1",BI14,0)</f>
        <v>0</v>
      </c>
      <c r="AD14" s="82">
        <f>IF(AQ14="7",BH14,0)</f>
        <v>0</v>
      </c>
      <c r="AE14" s="82">
        <f>IF(AQ14="7",BI14,0)</f>
        <v>0</v>
      </c>
      <c r="AF14" s="82">
        <f>IF(AQ14="2",BH14,0)</f>
        <v>0</v>
      </c>
      <c r="AG14" s="82">
        <f>IF(AQ14="2",BI14,0)</f>
        <v>0</v>
      </c>
      <c r="AH14" s="82">
        <f>IF(AQ14="0",BJ14,0)</f>
        <v>0</v>
      </c>
      <c r="AI14" s="43"/>
      <c r="AJ14" s="12">
        <f>IF(AN14=0,K14,0)</f>
        <v>0</v>
      </c>
      <c r="AK14" s="12">
        <f>IF(AN14=15,K14,0)</f>
        <v>0</v>
      </c>
      <c r="AL14" s="12">
        <f>IF(AN14=21,K14,0)</f>
        <v>0</v>
      </c>
      <c r="AN14" s="82">
        <v>21</v>
      </c>
      <c r="AO14" s="82">
        <f>H14*0.404909289871113</f>
        <v>0</v>
      </c>
      <c r="AP14" s="82">
        <f>H14*(1-0.404909289871113)</f>
        <v>0</v>
      </c>
      <c r="AQ14" s="83" t="s">
        <v>7</v>
      </c>
      <c r="AV14" s="82">
        <f>AW14+AX14</f>
        <v>0</v>
      </c>
      <c r="AW14" s="82">
        <f>G14*AO14</f>
        <v>0</v>
      </c>
      <c r="AX14" s="82">
        <f>G14*AP14</f>
        <v>0</v>
      </c>
      <c r="AY14" s="84" t="s">
        <v>173</v>
      </c>
      <c r="AZ14" s="84" t="s">
        <v>178</v>
      </c>
      <c r="BA14" s="43" t="s">
        <v>180</v>
      </c>
      <c r="BC14" s="82">
        <f>AW14+AX14</f>
        <v>0</v>
      </c>
      <c r="BD14" s="82">
        <f>H14/(100-BE14)*100</f>
        <v>0</v>
      </c>
      <c r="BE14" s="82">
        <v>0</v>
      </c>
      <c r="BF14" s="82">
        <f>M14</f>
        <v>3.2149655999999998</v>
      </c>
      <c r="BH14" s="12">
        <f>G14*AO14</f>
        <v>0</v>
      </c>
      <c r="BI14" s="12">
        <f>G14*AP14</f>
        <v>0</v>
      </c>
      <c r="BJ14" s="12">
        <f>G14*H14</f>
        <v>0</v>
      </c>
      <c r="BK14" s="12" t="s">
        <v>85</v>
      </c>
      <c r="BL14" s="82">
        <v>62</v>
      </c>
    </row>
    <row r="15" spans="1:64" ht="12.75">
      <c r="A15" s="3" t="s">
        <v>9</v>
      </c>
      <c r="B15" s="8"/>
      <c r="C15" s="8" t="s">
        <v>27</v>
      </c>
      <c r="D15" s="147" t="s">
        <v>49</v>
      </c>
      <c r="E15" s="135"/>
      <c r="F15" s="8" t="s">
        <v>76</v>
      </c>
      <c r="G15" s="12">
        <f>'Rozpočet - vybrané sloupce'!H14</f>
        <v>347.94</v>
      </c>
      <c r="H15" s="12">
        <f>'Rozpočet - vybrané sloupce'!I14</f>
        <v>0</v>
      </c>
      <c r="I15" s="12">
        <f>G15*AO15</f>
        <v>0</v>
      </c>
      <c r="J15" s="12">
        <f>G15*AP15</f>
        <v>0</v>
      </c>
      <c r="K15" s="12">
        <f>G15*H15</f>
        <v>0</v>
      </c>
      <c r="L15" s="12">
        <v>0.04145</v>
      </c>
      <c r="M15" s="12">
        <f>G15*L15</f>
        <v>14.422113</v>
      </c>
      <c r="N15" s="80" t="s">
        <v>163</v>
      </c>
      <c r="O15" s="17"/>
      <c r="Z15" s="82">
        <f>IF(AQ15="5",BJ15,0)</f>
        <v>0</v>
      </c>
      <c r="AB15" s="82">
        <f>IF(AQ15="1",BH15,0)</f>
        <v>0</v>
      </c>
      <c r="AC15" s="82">
        <f>IF(AQ15="1",BI15,0)</f>
        <v>0</v>
      </c>
      <c r="AD15" s="82">
        <f>IF(AQ15="7",BH15,0)</f>
        <v>0</v>
      </c>
      <c r="AE15" s="82">
        <f>IF(AQ15="7",BI15,0)</f>
        <v>0</v>
      </c>
      <c r="AF15" s="82">
        <f>IF(AQ15="2",BH15,0)</f>
        <v>0</v>
      </c>
      <c r="AG15" s="82">
        <f>IF(AQ15="2",BI15,0)</f>
        <v>0</v>
      </c>
      <c r="AH15" s="82">
        <f>IF(AQ15="0",BJ15,0)</f>
        <v>0</v>
      </c>
      <c r="AI15" s="43"/>
      <c r="AJ15" s="12">
        <f>IF(AN15=0,K15,0)</f>
        <v>0</v>
      </c>
      <c r="AK15" s="12">
        <f>IF(AN15=15,K15,0)</f>
        <v>0</v>
      </c>
      <c r="AL15" s="12">
        <f>IF(AN15=21,K15,0)</f>
        <v>0</v>
      </c>
      <c r="AN15" s="82">
        <v>21</v>
      </c>
      <c r="AO15" s="82">
        <f>H15*0.597175875842556</f>
        <v>0</v>
      </c>
      <c r="AP15" s="82">
        <f>H15*(1-0.597175875842556)</f>
        <v>0</v>
      </c>
      <c r="AQ15" s="83" t="s">
        <v>7</v>
      </c>
      <c r="AV15" s="82">
        <f>AW15+AX15</f>
        <v>0</v>
      </c>
      <c r="AW15" s="82">
        <f>G15*AO15</f>
        <v>0</v>
      </c>
      <c r="AX15" s="82">
        <f>G15*AP15</f>
        <v>0</v>
      </c>
      <c r="AY15" s="84" t="s">
        <v>173</v>
      </c>
      <c r="AZ15" s="84" t="s">
        <v>178</v>
      </c>
      <c r="BA15" s="43" t="s">
        <v>180</v>
      </c>
      <c r="BC15" s="82">
        <f>AW15+AX15</f>
        <v>0</v>
      </c>
      <c r="BD15" s="82">
        <f>H15/(100-BE15)*100</f>
        <v>0</v>
      </c>
      <c r="BE15" s="82">
        <v>0</v>
      </c>
      <c r="BF15" s="82">
        <f>M15</f>
        <v>14.422113</v>
      </c>
      <c r="BH15" s="12">
        <f>G15*AO15</f>
        <v>0</v>
      </c>
      <c r="BI15" s="12">
        <f>G15*AP15</f>
        <v>0</v>
      </c>
      <c r="BJ15" s="12">
        <f>G15*H15</f>
        <v>0</v>
      </c>
      <c r="BK15" s="12" t="s">
        <v>85</v>
      </c>
      <c r="BL15" s="82">
        <v>62</v>
      </c>
    </row>
    <row r="16" spans="1:64" ht="12.75">
      <c r="A16" s="3" t="s">
        <v>10</v>
      </c>
      <c r="B16" s="8"/>
      <c r="C16" s="8" t="s">
        <v>28</v>
      </c>
      <c r="D16" s="147" t="s">
        <v>50</v>
      </c>
      <c r="E16" s="135"/>
      <c r="F16" s="8" t="s">
        <v>76</v>
      </c>
      <c r="G16" s="12">
        <f>'Rozpočet - vybrané sloupce'!H15</f>
        <v>347.94</v>
      </c>
      <c r="H16" s="12">
        <f>'Rozpočet - vybrané sloupce'!I15</f>
        <v>0</v>
      </c>
      <c r="I16" s="12">
        <f>G16*AO16</f>
        <v>0</v>
      </c>
      <c r="J16" s="12">
        <f>G16*AP16</f>
        <v>0</v>
      </c>
      <c r="K16" s="12">
        <f>G16*H16</f>
        <v>0</v>
      </c>
      <c r="L16" s="12">
        <v>0.03105</v>
      </c>
      <c r="M16" s="12">
        <f>G16*L16</f>
        <v>10.803537</v>
      </c>
      <c r="N16" s="80" t="s">
        <v>163</v>
      </c>
      <c r="O16" s="17"/>
      <c r="Z16" s="82">
        <f>IF(AQ16="5",BJ16,0)</f>
        <v>0</v>
      </c>
      <c r="AB16" s="82">
        <f>IF(AQ16="1",BH16,0)</f>
        <v>0</v>
      </c>
      <c r="AC16" s="82">
        <f>IF(AQ16="1",BI16,0)</f>
        <v>0</v>
      </c>
      <c r="AD16" s="82">
        <f>IF(AQ16="7",BH16,0)</f>
        <v>0</v>
      </c>
      <c r="AE16" s="82">
        <f>IF(AQ16="7",BI16,0)</f>
        <v>0</v>
      </c>
      <c r="AF16" s="82">
        <f>IF(AQ16="2",BH16,0)</f>
        <v>0</v>
      </c>
      <c r="AG16" s="82">
        <f>IF(AQ16="2",BI16,0)</f>
        <v>0</v>
      </c>
      <c r="AH16" s="82">
        <f>IF(AQ16="0",BJ16,0)</f>
        <v>0</v>
      </c>
      <c r="AI16" s="43"/>
      <c r="AJ16" s="12">
        <f>IF(AN16=0,K16,0)</f>
        <v>0</v>
      </c>
      <c r="AK16" s="12">
        <f>IF(AN16=15,K16,0)</f>
        <v>0</v>
      </c>
      <c r="AL16" s="12">
        <f>IF(AN16=21,K16,0)</f>
        <v>0</v>
      </c>
      <c r="AN16" s="82">
        <v>21</v>
      </c>
      <c r="AO16" s="82">
        <f>H16*0.784165788712012</f>
        <v>0</v>
      </c>
      <c r="AP16" s="82">
        <f>H16*(1-0.784165788712012)</f>
        <v>0</v>
      </c>
      <c r="AQ16" s="83" t="s">
        <v>7</v>
      </c>
      <c r="AV16" s="82">
        <f>AW16+AX16</f>
        <v>0</v>
      </c>
      <c r="AW16" s="82">
        <f>G16*AO16</f>
        <v>0</v>
      </c>
      <c r="AX16" s="82">
        <f>G16*AP16</f>
        <v>0</v>
      </c>
      <c r="AY16" s="84" t="s">
        <v>173</v>
      </c>
      <c r="AZ16" s="84" t="s">
        <v>178</v>
      </c>
      <c r="BA16" s="43" t="s">
        <v>180</v>
      </c>
      <c r="BC16" s="82">
        <f>AW16+AX16</f>
        <v>0</v>
      </c>
      <c r="BD16" s="82">
        <f>H16/(100-BE16)*100</f>
        <v>0</v>
      </c>
      <c r="BE16" s="82">
        <v>0</v>
      </c>
      <c r="BF16" s="82">
        <f>M16</f>
        <v>10.803537</v>
      </c>
      <c r="BH16" s="12">
        <f>G16*AO16</f>
        <v>0</v>
      </c>
      <c r="BI16" s="12">
        <f>G16*AP16</f>
        <v>0</v>
      </c>
      <c r="BJ16" s="12">
        <f>G16*H16</f>
        <v>0</v>
      </c>
      <c r="BK16" s="12" t="s">
        <v>85</v>
      </c>
      <c r="BL16" s="82">
        <v>62</v>
      </c>
    </row>
    <row r="17" spans="1:47" ht="12.75">
      <c r="A17" s="67"/>
      <c r="B17" s="36"/>
      <c r="C17" s="36" t="s">
        <v>29</v>
      </c>
      <c r="D17" s="150" t="s">
        <v>51</v>
      </c>
      <c r="E17" s="151"/>
      <c r="F17" s="71" t="s">
        <v>6</v>
      </c>
      <c r="G17" s="71" t="s">
        <v>6</v>
      </c>
      <c r="H17" s="71" t="s">
        <v>6</v>
      </c>
      <c r="I17" s="21">
        <f>SUM(I18:I21)</f>
        <v>0</v>
      </c>
      <c r="J17" s="21">
        <f>SUM(J18:J21)</f>
        <v>0</v>
      </c>
      <c r="K17" s="21">
        <f>SUM(K18:K21)</f>
        <v>0</v>
      </c>
      <c r="L17" s="43"/>
      <c r="M17" s="21">
        <f>SUM(M18:M21)</f>
        <v>8.713574999999999</v>
      </c>
      <c r="N17" s="48"/>
      <c r="O17" s="17"/>
      <c r="AI17" s="43"/>
      <c r="AS17" s="21">
        <f>SUM(AJ18:AJ21)</f>
        <v>0</v>
      </c>
      <c r="AT17" s="21">
        <f>SUM(AK18:AK21)</f>
        <v>0</v>
      </c>
      <c r="AU17" s="21">
        <f>SUM(AL18:AL21)</f>
        <v>0</v>
      </c>
    </row>
    <row r="18" spans="1:64" ht="12.75">
      <c r="A18" s="3" t="s">
        <v>11</v>
      </c>
      <c r="B18" s="8"/>
      <c r="C18" s="8" t="s">
        <v>30</v>
      </c>
      <c r="D18" s="147" t="s">
        <v>52</v>
      </c>
      <c r="E18" s="135"/>
      <c r="F18" s="8" t="s">
        <v>76</v>
      </c>
      <c r="G18" s="12">
        <f>'Rozpočet - vybrané sloupce'!H18</f>
        <v>263.25</v>
      </c>
      <c r="H18" s="12">
        <f>'Rozpočet - vybrané sloupce'!I18</f>
        <v>0</v>
      </c>
      <c r="I18" s="12">
        <f>G18*AO18</f>
        <v>0</v>
      </c>
      <c r="J18" s="12">
        <f>G18*AP18</f>
        <v>0</v>
      </c>
      <c r="K18" s="12">
        <f>G18*H18</f>
        <v>0</v>
      </c>
      <c r="L18" s="12">
        <v>0.0331</v>
      </c>
      <c r="M18" s="12">
        <f>G18*L18</f>
        <v>8.713574999999999</v>
      </c>
      <c r="N18" s="80" t="s">
        <v>163</v>
      </c>
      <c r="O18" s="17"/>
      <c r="Z18" s="82">
        <f>IF(AQ18="5",BJ18,0)</f>
        <v>0</v>
      </c>
      <c r="AB18" s="82">
        <f>IF(AQ18="1",BH18,0)</f>
        <v>0</v>
      </c>
      <c r="AC18" s="82">
        <f>IF(AQ18="1",BI18,0)</f>
        <v>0</v>
      </c>
      <c r="AD18" s="82">
        <f>IF(AQ18="7",BH18,0)</f>
        <v>0</v>
      </c>
      <c r="AE18" s="82">
        <f>IF(AQ18="7",BI18,0)</f>
        <v>0</v>
      </c>
      <c r="AF18" s="82">
        <f>IF(AQ18="2",BH18,0)</f>
        <v>0</v>
      </c>
      <c r="AG18" s="82">
        <f>IF(AQ18="2",BI18,0)</f>
        <v>0</v>
      </c>
      <c r="AH18" s="82">
        <f>IF(AQ18="0",BJ18,0)</f>
        <v>0</v>
      </c>
      <c r="AI18" s="43"/>
      <c r="AJ18" s="12">
        <f>IF(AN18=0,K18,0)</f>
        <v>0</v>
      </c>
      <c r="AK18" s="12">
        <f>IF(AN18=15,K18,0)</f>
        <v>0</v>
      </c>
      <c r="AL18" s="12">
        <f>IF(AN18=21,K18,0)</f>
        <v>0</v>
      </c>
      <c r="AN18" s="82">
        <v>21</v>
      </c>
      <c r="AO18" s="82">
        <f>H18*0.0140868401929048</f>
        <v>0</v>
      </c>
      <c r="AP18" s="82">
        <f>H18*(1-0.0140868401929048)</f>
        <v>0</v>
      </c>
      <c r="AQ18" s="83" t="s">
        <v>7</v>
      </c>
      <c r="AV18" s="82">
        <f>AW18+AX18</f>
        <v>0</v>
      </c>
      <c r="AW18" s="82">
        <f>G18*AO18</f>
        <v>0</v>
      </c>
      <c r="AX18" s="82">
        <f>G18*AP18</f>
        <v>0</v>
      </c>
      <c r="AY18" s="84" t="s">
        <v>174</v>
      </c>
      <c r="AZ18" s="84" t="s">
        <v>179</v>
      </c>
      <c r="BA18" s="43" t="s">
        <v>180</v>
      </c>
      <c r="BC18" s="82">
        <f>AW18+AX18</f>
        <v>0</v>
      </c>
      <c r="BD18" s="82">
        <f>H18/(100-BE18)*100</f>
        <v>0</v>
      </c>
      <c r="BE18" s="82">
        <v>0</v>
      </c>
      <c r="BF18" s="82">
        <f>M18</f>
        <v>8.713574999999999</v>
      </c>
      <c r="BH18" s="12">
        <f>G18*AO18</f>
        <v>0</v>
      </c>
      <c r="BI18" s="12">
        <f>G18*AP18</f>
        <v>0</v>
      </c>
      <c r="BJ18" s="12">
        <f>G18*H18</f>
        <v>0</v>
      </c>
      <c r="BK18" s="12" t="s">
        <v>85</v>
      </c>
      <c r="BL18" s="82">
        <v>94</v>
      </c>
    </row>
    <row r="19" spans="1:64" ht="12.75">
      <c r="A19" s="3" t="s">
        <v>12</v>
      </c>
      <c r="B19" s="8"/>
      <c r="C19" s="8" t="s">
        <v>31</v>
      </c>
      <c r="D19" s="147" t="s">
        <v>53</v>
      </c>
      <c r="E19" s="135"/>
      <c r="F19" s="8" t="s">
        <v>76</v>
      </c>
      <c r="G19" s="12">
        <f>'Rozpočet - vybrané sloupce'!H19</f>
        <v>526.5</v>
      </c>
      <c r="H19" s="12">
        <f>'Rozpočet - vybrané sloupce'!I19</f>
        <v>0</v>
      </c>
      <c r="I19" s="12">
        <f>G19*AO19</f>
        <v>0</v>
      </c>
      <c r="J19" s="12">
        <f>G19*AP19</f>
        <v>0</v>
      </c>
      <c r="K19" s="12">
        <f>G19*H19</f>
        <v>0</v>
      </c>
      <c r="L19" s="12">
        <v>0</v>
      </c>
      <c r="M19" s="12">
        <f>G19*L19</f>
        <v>0</v>
      </c>
      <c r="N19" s="80" t="s">
        <v>163</v>
      </c>
      <c r="O19" s="17"/>
      <c r="Z19" s="82">
        <f>IF(AQ19="5",BJ19,0)</f>
        <v>0</v>
      </c>
      <c r="AB19" s="82">
        <f>IF(AQ19="1",BH19,0)</f>
        <v>0</v>
      </c>
      <c r="AC19" s="82">
        <f>IF(AQ19="1",BI19,0)</f>
        <v>0</v>
      </c>
      <c r="AD19" s="82">
        <f>IF(AQ19="7",BH19,0)</f>
        <v>0</v>
      </c>
      <c r="AE19" s="82">
        <f>IF(AQ19="7",BI19,0)</f>
        <v>0</v>
      </c>
      <c r="AF19" s="82">
        <f>IF(AQ19="2",BH19,0)</f>
        <v>0</v>
      </c>
      <c r="AG19" s="82">
        <f>IF(AQ19="2",BI19,0)</f>
        <v>0</v>
      </c>
      <c r="AH19" s="82">
        <f>IF(AQ19="0",BJ19,0)</f>
        <v>0</v>
      </c>
      <c r="AI19" s="43"/>
      <c r="AJ19" s="12">
        <f>IF(AN19=0,K19,0)</f>
        <v>0</v>
      </c>
      <c r="AK19" s="12">
        <f>IF(AN19=15,K19,0)</f>
        <v>0</v>
      </c>
      <c r="AL19" s="12">
        <f>IF(AN19=21,K19,0)</f>
        <v>0</v>
      </c>
      <c r="AN19" s="82">
        <v>21</v>
      </c>
      <c r="AO19" s="82">
        <f>H19*0</f>
        <v>0</v>
      </c>
      <c r="AP19" s="82">
        <f>H19*(1-0)</f>
        <v>0</v>
      </c>
      <c r="AQ19" s="83" t="s">
        <v>7</v>
      </c>
      <c r="AV19" s="82">
        <f>AW19+AX19</f>
        <v>0</v>
      </c>
      <c r="AW19" s="82">
        <f>G19*AO19</f>
        <v>0</v>
      </c>
      <c r="AX19" s="82">
        <f>G19*AP19</f>
        <v>0</v>
      </c>
      <c r="AY19" s="84" t="s">
        <v>174</v>
      </c>
      <c r="AZ19" s="84" t="s">
        <v>179</v>
      </c>
      <c r="BA19" s="43" t="s">
        <v>180</v>
      </c>
      <c r="BC19" s="82">
        <f>AW19+AX19</f>
        <v>0</v>
      </c>
      <c r="BD19" s="82">
        <f>H19/(100-BE19)*100</f>
        <v>0</v>
      </c>
      <c r="BE19" s="82">
        <v>0</v>
      </c>
      <c r="BF19" s="82">
        <f>M19</f>
        <v>0</v>
      </c>
      <c r="BH19" s="12">
        <f>G19*AO19</f>
        <v>0</v>
      </c>
      <c r="BI19" s="12">
        <f>G19*AP19</f>
        <v>0</v>
      </c>
      <c r="BJ19" s="12">
        <f>G19*H19</f>
        <v>0</v>
      </c>
      <c r="BK19" s="12" t="s">
        <v>85</v>
      </c>
      <c r="BL19" s="82">
        <v>94</v>
      </c>
    </row>
    <row r="20" spans="1:64" ht="12.75">
      <c r="A20" s="3" t="s">
        <v>13</v>
      </c>
      <c r="B20" s="8"/>
      <c r="C20" s="8" t="s">
        <v>32</v>
      </c>
      <c r="D20" s="147" t="s">
        <v>54</v>
      </c>
      <c r="E20" s="135"/>
      <c r="F20" s="8" t="s">
        <v>76</v>
      </c>
      <c r="G20" s="12">
        <f>'Rozpočet - vybrané sloupce'!H20</f>
        <v>263.25</v>
      </c>
      <c r="H20" s="12">
        <f>'Rozpočet - vybrané sloupce'!I20</f>
        <v>0</v>
      </c>
      <c r="I20" s="12">
        <f>G20*AO20</f>
        <v>0</v>
      </c>
      <c r="J20" s="12">
        <f>G20*AP20</f>
        <v>0</v>
      </c>
      <c r="K20" s="12">
        <f>G20*H20</f>
        <v>0</v>
      </c>
      <c r="L20" s="12">
        <v>0</v>
      </c>
      <c r="M20" s="12">
        <f>G20*L20</f>
        <v>0</v>
      </c>
      <c r="N20" s="80" t="s">
        <v>163</v>
      </c>
      <c r="O20" s="17"/>
      <c r="Z20" s="82">
        <f>IF(AQ20="5",BJ20,0)</f>
        <v>0</v>
      </c>
      <c r="AB20" s="82">
        <f>IF(AQ20="1",BH20,0)</f>
        <v>0</v>
      </c>
      <c r="AC20" s="82">
        <f>IF(AQ20="1",BI20,0)</f>
        <v>0</v>
      </c>
      <c r="AD20" s="82">
        <f>IF(AQ20="7",BH20,0)</f>
        <v>0</v>
      </c>
      <c r="AE20" s="82">
        <f>IF(AQ20="7",BI20,0)</f>
        <v>0</v>
      </c>
      <c r="AF20" s="82">
        <f>IF(AQ20="2",BH20,0)</f>
        <v>0</v>
      </c>
      <c r="AG20" s="82">
        <f>IF(AQ20="2",BI20,0)</f>
        <v>0</v>
      </c>
      <c r="AH20" s="82">
        <f>IF(AQ20="0",BJ20,0)</f>
        <v>0</v>
      </c>
      <c r="AI20" s="43"/>
      <c r="AJ20" s="12">
        <f>IF(AN20=0,K20,0)</f>
        <v>0</v>
      </c>
      <c r="AK20" s="12">
        <f>IF(AN20=15,K20,0)</f>
        <v>0</v>
      </c>
      <c r="AL20" s="12">
        <f>IF(AN20=21,K20,0)</f>
        <v>0</v>
      </c>
      <c r="AN20" s="82">
        <v>21</v>
      </c>
      <c r="AO20" s="82">
        <f>H20*0</f>
        <v>0</v>
      </c>
      <c r="AP20" s="82">
        <f>H20*(1-0)</f>
        <v>0</v>
      </c>
      <c r="AQ20" s="83" t="s">
        <v>7</v>
      </c>
      <c r="AV20" s="82">
        <f>AW20+AX20</f>
        <v>0</v>
      </c>
      <c r="AW20" s="82">
        <f>G20*AO20</f>
        <v>0</v>
      </c>
      <c r="AX20" s="82">
        <f>G20*AP20</f>
        <v>0</v>
      </c>
      <c r="AY20" s="84" t="s">
        <v>174</v>
      </c>
      <c r="AZ20" s="84" t="s">
        <v>179</v>
      </c>
      <c r="BA20" s="43" t="s">
        <v>180</v>
      </c>
      <c r="BC20" s="82">
        <f>AW20+AX20</f>
        <v>0</v>
      </c>
      <c r="BD20" s="82">
        <f>H20/(100-BE20)*100</f>
        <v>0</v>
      </c>
      <c r="BE20" s="82">
        <v>0</v>
      </c>
      <c r="BF20" s="82">
        <f>M20</f>
        <v>0</v>
      </c>
      <c r="BH20" s="12">
        <f>G20*AO20</f>
        <v>0</v>
      </c>
      <c r="BI20" s="12">
        <f>G20*AP20</f>
        <v>0</v>
      </c>
      <c r="BJ20" s="12">
        <f>G20*H20</f>
        <v>0</v>
      </c>
      <c r="BK20" s="12" t="s">
        <v>85</v>
      </c>
      <c r="BL20" s="82">
        <v>94</v>
      </c>
    </row>
    <row r="21" spans="1:64" ht="12.75">
      <c r="A21" s="3" t="s">
        <v>14</v>
      </c>
      <c r="B21" s="8"/>
      <c r="C21" s="8" t="s">
        <v>33</v>
      </c>
      <c r="D21" s="147" t="s">
        <v>55</v>
      </c>
      <c r="E21" s="135"/>
      <c r="F21" s="8" t="s">
        <v>77</v>
      </c>
      <c r="G21" s="12">
        <f>'Rozpočet - vybrané sloupce'!H21</f>
        <v>8.71</v>
      </c>
      <c r="H21" s="12">
        <f>'Rozpočet - vybrané sloupce'!I21</f>
        <v>0</v>
      </c>
      <c r="I21" s="12">
        <f>G21*AO21</f>
        <v>0</v>
      </c>
      <c r="J21" s="12">
        <f>G21*AP21</f>
        <v>0</v>
      </c>
      <c r="K21" s="12">
        <f>G21*H21</f>
        <v>0</v>
      </c>
      <c r="L21" s="12">
        <v>0</v>
      </c>
      <c r="M21" s="12">
        <f>G21*L21</f>
        <v>0</v>
      </c>
      <c r="N21" s="80" t="s">
        <v>163</v>
      </c>
      <c r="O21" s="17"/>
      <c r="Z21" s="82">
        <f>IF(AQ21="5",BJ21,0)</f>
        <v>0</v>
      </c>
      <c r="AB21" s="82">
        <f>IF(AQ21="1",BH21,0)</f>
        <v>0</v>
      </c>
      <c r="AC21" s="82">
        <f>IF(AQ21="1",BI21,0)</f>
        <v>0</v>
      </c>
      <c r="AD21" s="82">
        <f>IF(AQ21="7",BH21,0)</f>
        <v>0</v>
      </c>
      <c r="AE21" s="82">
        <f>IF(AQ21="7",BI21,0)</f>
        <v>0</v>
      </c>
      <c r="AF21" s="82">
        <f>IF(AQ21="2",BH21,0)</f>
        <v>0</v>
      </c>
      <c r="AG21" s="82">
        <f>IF(AQ21="2",BI21,0)</f>
        <v>0</v>
      </c>
      <c r="AH21" s="82">
        <f>IF(AQ21="0",BJ21,0)</f>
        <v>0</v>
      </c>
      <c r="AI21" s="43"/>
      <c r="AJ21" s="12">
        <f>IF(AN21=0,K21,0)</f>
        <v>0</v>
      </c>
      <c r="AK21" s="12">
        <f>IF(AN21=15,K21,0)</f>
        <v>0</v>
      </c>
      <c r="AL21" s="12">
        <f>IF(AN21=21,K21,0)</f>
        <v>0</v>
      </c>
      <c r="AN21" s="82">
        <v>21</v>
      </c>
      <c r="AO21" s="82">
        <f>H21*0</f>
        <v>0</v>
      </c>
      <c r="AP21" s="82">
        <f>H21*(1-0)</f>
        <v>0</v>
      </c>
      <c r="AQ21" s="83" t="s">
        <v>11</v>
      </c>
      <c r="AV21" s="82">
        <f>AW21+AX21</f>
        <v>0</v>
      </c>
      <c r="AW21" s="82">
        <f>G21*AO21</f>
        <v>0</v>
      </c>
      <c r="AX21" s="82">
        <f>G21*AP21</f>
        <v>0</v>
      </c>
      <c r="AY21" s="84" t="s">
        <v>174</v>
      </c>
      <c r="AZ21" s="84" t="s">
        <v>179</v>
      </c>
      <c r="BA21" s="43" t="s">
        <v>180</v>
      </c>
      <c r="BC21" s="82">
        <f>AW21+AX21</f>
        <v>0</v>
      </c>
      <c r="BD21" s="82">
        <f>H21/(100-BE21)*100</f>
        <v>0</v>
      </c>
      <c r="BE21" s="82">
        <v>0</v>
      </c>
      <c r="BF21" s="82">
        <f>M21</f>
        <v>0</v>
      </c>
      <c r="BH21" s="12">
        <f>G21*AO21</f>
        <v>0</v>
      </c>
      <c r="BI21" s="12">
        <f>G21*AP21</f>
        <v>0</v>
      </c>
      <c r="BJ21" s="12">
        <f>G21*H21</f>
        <v>0</v>
      </c>
      <c r="BK21" s="12" t="s">
        <v>85</v>
      </c>
      <c r="BL21" s="82">
        <v>94</v>
      </c>
    </row>
    <row r="22" spans="1:47" ht="12.75">
      <c r="A22" s="67"/>
      <c r="B22" s="36"/>
      <c r="C22" s="36" t="s">
        <v>34</v>
      </c>
      <c r="D22" s="150" t="s">
        <v>56</v>
      </c>
      <c r="E22" s="151"/>
      <c r="F22" s="71" t="s">
        <v>6</v>
      </c>
      <c r="G22" s="71" t="s">
        <v>6</v>
      </c>
      <c r="H22" s="71" t="s">
        <v>6</v>
      </c>
      <c r="I22" s="21">
        <f>SUM(I23:I23)</f>
        <v>0</v>
      </c>
      <c r="J22" s="21">
        <f>SUM(J23:J23)</f>
        <v>0</v>
      </c>
      <c r="K22" s="21">
        <f>SUM(K23:K23)</f>
        <v>0</v>
      </c>
      <c r="L22" s="43"/>
      <c r="M22" s="21">
        <f>SUM(M23:M23)</f>
        <v>20.52846</v>
      </c>
      <c r="N22" s="48"/>
      <c r="O22" s="17"/>
      <c r="AI22" s="43"/>
      <c r="AS22" s="21">
        <f>SUM(AJ23:AJ23)</f>
        <v>0</v>
      </c>
      <c r="AT22" s="21">
        <f>SUM(AK23:AK23)</f>
        <v>0</v>
      </c>
      <c r="AU22" s="21">
        <f>SUM(AL23:AL23)</f>
        <v>0</v>
      </c>
    </row>
    <row r="23" spans="1:64" ht="12.75">
      <c r="A23" s="3" t="s">
        <v>15</v>
      </c>
      <c r="B23" s="8"/>
      <c r="C23" s="8" t="s">
        <v>35</v>
      </c>
      <c r="D23" s="147" t="s">
        <v>57</v>
      </c>
      <c r="E23" s="135"/>
      <c r="F23" s="8" t="s">
        <v>76</v>
      </c>
      <c r="G23" s="12">
        <f>'Rozpočet - vybrané sloupce'!H23</f>
        <v>347.94</v>
      </c>
      <c r="H23" s="12">
        <f>'Rozpočet - vybrané sloupce'!I23</f>
        <v>0</v>
      </c>
      <c r="I23" s="12">
        <f>G23*AO23</f>
        <v>0</v>
      </c>
      <c r="J23" s="12">
        <f>G23*AP23</f>
        <v>0</v>
      </c>
      <c r="K23" s="12">
        <f>G23*H23</f>
        <v>0</v>
      </c>
      <c r="L23" s="12">
        <v>0.059</v>
      </c>
      <c r="M23" s="12">
        <f>G23*L23</f>
        <v>20.52846</v>
      </c>
      <c r="N23" s="80" t="s">
        <v>163</v>
      </c>
      <c r="O23" s="17"/>
      <c r="Z23" s="82">
        <f>IF(AQ23="5",BJ23,0)</f>
        <v>0</v>
      </c>
      <c r="AB23" s="82">
        <f>IF(AQ23="1",BH23,0)</f>
        <v>0</v>
      </c>
      <c r="AC23" s="82">
        <f>IF(AQ23="1",BI23,0)</f>
        <v>0</v>
      </c>
      <c r="AD23" s="82">
        <f>IF(AQ23="7",BH23,0)</f>
        <v>0</v>
      </c>
      <c r="AE23" s="82">
        <f>IF(AQ23="7",BI23,0)</f>
        <v>0</v>
      </c>
      <c r="AF23" s="82">
        <f>IF(AQ23="2",BH23,0)</f>
        <v>0</v>
      </c>
      <c r="AG23" s="82">
        <f>IF(AQ23="2",BI23,0)</f>
        <v>0</v>
      </c>
      <c r="AH23" s="82">
        <f>IF(AQ23="0",BJ23,0)</f>
        <v>0</v>
      </c>
      <c r="AI23" s="43"/>
      <c r="AJ23" s="12">
        <f>IF(AN23=0,K23,0)</f>
        <v>0</v>
      </c>
      <c r="AK23" s="12">
        <f>IF(AN23=15,K23,0)</f>
        <v>0</v>
      </c>
      <c r="AL23" s="12">
        <f>IF(AN23=21,K23,0)</f>
        <v>0</v>
      </c>
      <c r="AN23" s="82">
        <v>21</v>
      </c>
      <c r="AO23" s="82">
        <f>H23*0</f>
        <v>0</v>
      </c>
      <c r="AP23" s="82">
        <f>H23*(1-0)</f>
        <v>0</v>
      </c>
      <c r="AQ23" s="83" t="s">
        <v>7</v>
      </c>
      <c r="AV23" s="82">
        <f>AW23+AX23</f>
        <v>0</v>
      </c>
      <c r="AW23" s="82">
        <f>G23*AO23</f>
        <v>0</v>
      </c>
      <c r="AX23" s="82">
        <f>G23*AP23</f>
        <v>0</v>
      </c>
      <c r="AY23" s="84" t="s">
        <v>175</v>
      </c>
      <c r="AZ23" s="84" t="s">
        <v>179</v>
      </c>
      <c r="BA23" s="43" t="s">
        <v>180</v>
      </c>
      <c r="BC23" s="82">
        <f>AW23+AX23</f>
        <v>0</v>
      </c>
      <c r="BD23" s="82">
        <f>H23/(100-BE23)*100</f>
        <v>0</v>
      </c>
      <c r="BE23" s="82">
        <v>0</v>
      </c>
      <c r="BF23" s="82">
        <f>M23</f>
        <v>20.52846</v>
      </c>
      <c r="BH23" s="12">
        <f>G23*AO23</f>
        <v>0</v>
      </c>
      <c r="BI23" s="12">
        <f>G23*AP23</f>
        <v>0</v>
      </c>
      <c r="BJ23" s="12">
        <f>G23*H23</f>
        <v>0</v>
      </c>
      <c r="BK23" s="12" t="s">
        <v>85</v>
      </c>
      <c r="BL23" s="82">
        <v>97</v>
      </c>
    </row>
    <row r="24" spans="1:47" ht="12.75">
      <c r="A24" s="67"/>
      <c r="B24" s="36"/>
      <c r="C24" s="36" t="s">
        <v>36</v>
      </c>
      <c r="D24" s="150" t="s">
        <v>58</v>
      </c>
      <c r="E24" s="151"/>
      <c r="F24" s="71" t="s">
        <v>6</v>
      </c>
      <c r="G24" s="71" t="s">
        <v>6</v>
      </c>
      <c r="H24" s="71" t="s">
        <v>6</v>
      </c>
      <c r="I24" s="21">
        <f>SUM(I25:I26)</f>
        <v>0</v>
      </c>
      <c r="J24" s="21">
        <f>SUM(J25:J26)</f>
        <v>0</v>
      </c>
      <c r="K24" s="21">
        <f>SUM(K25:K26)</f>
        <v>0</v>
      </c>
      <c r="L24" s="43"/>
      <c r="M24" s="21">
        <f>SUM(M25:M26)</f>
        <v>0</v>
      </c>
      <c r="N24" s="48"/>
      <c r="O24" s="17"/>
      <c r="AI24" s="43"/>
      <c r="AS24" s="21">
        <f>SUM(AJ25:AJ26)</f>
        <v>0</v>
      </c>
      <c r="AT24" s="21">
        <f>SUM(AK25:AK26)</f>
        <v>0</v>
      </c>
      <c r="AU24" s="21">
        <f>SUM(AL25:AL26)</f>
        <v>0</v>
      </c>
    </row>
    <row r="25" spans="1:64" ht="12.75">
      <c r="A25" s="3" t="s">
        <v>16</v>
      </c>
      <c r="B25" s="8"/>
      <c r="C25" s="8" t="s">
        <v>37</v>
      </c>
      <c r="D25" s="147" t="s">
        <v>59</v>
      </c>
      <c r="E25" s="135"/>
      <c r="F25" s="8" t="s">
        <v>77</v>
      </c>
      <c r="G25" s="12">
        <f>'Rozpočet - vybrané sloupce'!H25</f>
        <v>28.81</v>
      </c>
      <c r="H25" s="12">
        <f>'Rozpočet - vybrané sloupce'!I25</f>
        <v>0</v>
      </c>
      <c r="I25" s="12">
        <f>G25*AO25</f>
        <v>0</v>
      </c>
      <c r="J25" s="12">
        <f>G25*AP25</f>
        <v>0</v>
      </c>
      <c r="K25" s="12">
        <f>G25*H25</f>
        <v>0</v>
      </c>
      <c r="L25" s="12">
        <v>0</v>
      </c>
      <c r="M25" s="12">
        <f>G25*L25</f>
        <v>0</v>
      </c>
      <c r="N25" s="80" t="s">
        <v>163</v>
      </c>
      <c r="O25" s="17"/>
      <c r="Z25" s="82">
        <f>IF(AQ25="5",BJ25,0)</f>
        <v>0</v>
      </c>
      <c r="AB25" s="82">
        <f>IF(AQ25="1",BH25,0)</f>
        <v>0</v>
      </c>
      <c r="AC25" s="82">
        <f>IF(AQ25="1",BI25,0)</f>
        <v>0</v>
      </c>
      <c r="AD25" s="82">
        <f>IF(AQ25="7",BH25,0)</f>
        <v>0</v>
      </c>
      <c r="AE25" s="82">
        <f>IF(AQ25="7",BI25,0)</f>
        <v>0</v>
      </c>
      <c r="AF25" s="82">
        <f>IF(AQ25="2",BH25,0)</f>
        <v>0</v>
      </c>
      <c r="AG25" s="82">
        <f>IF(AQ25="2",BI25,0)</f>
        <v>0</v>
      </c>
      <c r="AH25" s="82">
        <f>IF(AQ25="0",BJ25,0)</f>
        <v>0</v>
      </c>
      <c r="AI25" s="43"/>
      <c r="AJ25" s="12">
        <f>IF(AN25=0,K25,0)</f>
        <v>0</v>
      </c>
      <c r="AK25" s="12">
        <f>IF(AN25=15,K25,0)</f>
        <v>0</v>
      </c>
      <c r="AL25" s="12">
        <f>IF(AN25=21,K25,0)</f>
        <v>0</v>
      </c>
      <c r="AN25" s="82">
        <v>21</v>
      </c>
      <c r="AO25" s="82">
        <f>H25*0</f>
        <v>0</v>
      </c>
      <c r="AP25" s="82">
        <f>H25*(1-0)</f>
        <v>0</v>
      </c>
      <c r="AQ25" s="83" t="s">
        <v>11</v>
      </c>
      <c r="AV25" s="82">
        <f>AW25+AX25</f>
        <v>0</v>
      </c>
      <c r="AW25" s="82">
        <f>G25*AO25</f>
        <v>0</v>
      </c>
      <c r="AX25" s="82">
        <f>G25*AP25</f>
        <v>0</v>
      </c>
      <c r="AY25" s="84" t="s">
        <v>176</v>
      </c>
      <c r="AZ25" s="84" t="s">
        <v>179</v>
      </c>
      <c r="BA25" s="43" t="s">
        <v>180</v>
      </c>
      <c r="BC25" s="82">
        <f>AW25+AX25</f>
        <v>0</v>
      </c>
      <c r="BD25" s="82">
        <f>H25/(100-BE25)*100</f>
        <v>0</v>
      </c>
      <c r="BE25" s="82">
        <v>0</v>
      </c>
      <c r="BF25" s="82">
        <f>M25</f>
        <v>0</v>
      </c>
      <c r="BH25" s="12">
        <f>G25*AO25</f>
        <v>0</v>
      </c>
      <c r="BI25" s="12">
        <f>G25*AP25</f>
        <v>0</v>
      </c>
      <c r="BJ25" s="12">
        <f>G25*H25</f>
        <v>0</v>
      </c>
      <c r="BK25" s="12" t="s">
        <v>85</v>
      </c>
      <c r="BL25" s="82" t="s">
        <v>36</v>
      </c>
    </row>
    <row r="26" spans="1:64" ht="12.75">
      <c r="A26" s="3" t="s">
        <v>17</v>
      </c>
      <c r="B26" s="8"/>
      <c r="C26" s="8" t="s">
        <v>38</v>
      </c>
      <c r="D26" s="147" t="s">
        <v>60</v>
      </c>
      <c r="E26" s="135"/>
      <c r="F26" s="8" t="s">
        <v>77</v>
      </c>
      <c r="G26" s="12">
        <f>'Rozpočet - vybrané sloupce'!H26</f>
        <v>86.43</v>
      </c>
      <c r="H26" s="12">
        <f>'Rozpočet - vybrané sloupce'!I26</f>
        <v>0</v>
      </c>
      <c r="I26" s="12">
        <f>G26*AO26</f>
        <v>0</v>
      </c>
      <c r="J26" s="12">
        <f>G26*AP26</f>
        <v>0</v>
      </c>
      <c r="K26" s="12">
        <f>G26*H26</f>
        <v>0</v>
      </c>
      <c r="L26" s="12">
        <v>0</v>
      </c>
      <c r="M26" s="12">
        <f>G26*L26</f>
        <v>0</v>
      </c>
      <c r="N26" s="80" t="s">
        <v>163</v>
      </c>
      <c r="O26" s="17"/>
      <c r="Z26" s="82">
        <f>IF(AQ26="5",BJ26,0)</f>
        <v>0</v>
      </c>
      <c r="AB26" s="82">
        <f>IF(AQ26="1",BH26,0)</f>
        <v>0</v>
      </c>
      <c r="AC26" s="82">
        <f>IF(AQ26="1",BI26,0)</f>
        <v>0</v>
      </c>
      <c r="AD26" s="82">
        <f>IF(AQ26="7",BH26,0)</f>
        <v>0</v>
      </c>
      <c r="AE26" s="82">
        <f>IF(AQ26="7",BI26,0)</f>
        <v>0</v>
      </c>
      <c r="AF26" s="82">
        <f>IF(AQ26="2",BH26,0)</f>
        <v>0</v>
      </c>
      <c r="AG26" s="82">
        <f>IF(AQ26="2",BI26,0)</f>
        <v>0</v>
      </c>
      <c r="AH26" s="82">
        <f>IF(AQ26="0",BJ26,0)</f>
        <v>0</v>
      </c>
      <c r="AI26" s="43"/>
      <c r="AJ26" s="12">
        <f>IF(AN26=0,K26,0)</f>
        <v>0</v>
      </c>
      <c r="AK26" s="12">
        <f>IF(AN26=15,K26,0)</f>
        <v>0</v>
      </c>
      <c r="AL26" s="12">
        <f>IF(AN26=21,K26,0)</f>
        <v>0</v>
      </c>
      <c r="AN26" s="82">
        <v>21</v>
      </c>
      <c r="AO26" s="82">
        <f>H26*0</f>
        <v>0</v>
      </c>
      <c r="AP26" s="82">
        <f>H26*(1-0)</f>
        <v>0</v>
      </c>
      <c r="AQ26" s="83" t="s">
        <v>11</v>
      </c>
      <c r="AV26" s="82">
        <f>AW26+AX26</f>
        <v>0</v>
      </c>
      <c r="AW26" s="82">
        <f>G26*AO26</f>
        <v>0</v>
      </c>
      <c r="AX26" s="82">
        <f>G26*AP26</f>
        <v>0</v>
      </c>
      <c r="AY26" s="84" t="s">
        <v>176</v>
      </c>
      <c r="AZ26" s="84" t="s">
        <v>179</v>
      </c>
      <c r="BA26" s="43" t="s">
        <v>180</v>
      </c>
      <c r="BC26" s="82">
        <f>AW26+AX26</f>
        <v>0</v>
      </c>
      <c r="BD26" s="82">
        <f>H26/(100-BE26)*100</f>
        <v>0</v>
      </c>
      <c r="BE26" s="82">
        <v>0</v>
      </c>
      <c r="BF26" s="82">
        <f>M26</f>
        <v>0</v>
      </c>
      <c r="BH26" s="12">
        <f>G26*AO26</f>
        <v>0</v>
      </c>
      <c r="BI26" s="12">
        <f>G26*AP26</f>
        <v>0</v>
      </c>
      <c r="BJ26" s="12">
        <f>G26*H26</f>
        <v>0</v>
      </c>
      <c r="BK26" s="12" t="s">
        <v>85</v>
      </c>
      <c r="BL26" s="82" t="s">
        <v>36</v>
      </c>
    </row>
    <row r="27" spans="1:47" ht="12.75">
      <c r="A27" s="67"/>
      <c r="B27" s="36"/>
      <c r="C27" s="36" t="s">
        <v>39</v>
      </c>
      <c r="D27" s="150" t="s">
        <v>61</v>
      </c>
      <c r="E27" s="151"/>
      <c r="F27" s="71" t="s">
        <v>6</v>
      </c>
      <c r="G27" s="71" t="s">
        <v>6</v>
      </c>
      <c r="H27" s="71" t="s">
        <v>6</v>
      </c>
      <c r="I27" s="21">
        <f>SUM(I28:I32)</f>
        <v>0</v>
      </c>
      <c r="J27" s="21">
        <f>SUM(J28:J32)</f>
        <v>0</v>
      </c>
      <c r="K27" s="21">
        <f>SUM(K28:K32)</f>
        <v>0</v>
      </c>
      <c r="L27" s="43"/>
      <c r="M27" s="21">
        <f>SUM(M28:M32)</f>
        <v>0</v>
      </c>
      <c r="N27" s="48"/>
      <c r="O27" s="17"/>
      <c r="AI27" s="43"/>
      <c r="AS27" s="21">
        <f>SUM(AJ28:AJ32)</f>
        <v>0</v>
      </c>
      <c r="AT27" s="21">
        <f>SUM(AK28:AK32)</f>
        <v>0</v>
      </c>
      <c r="AU27" s="21">
        <f>SUM(AL28:AL32)</f>
        <v>0</v>
      </c>
    </row>
    <row r="28" spans="1:64" ht="12.75">
      <c r="A28" s="3" t="s">
        <v>18</v>
      </c>
      <c r="B28" s="8"/>
      <c r="C28" s="8" t="s">
        <v>40</v>
      </c>
      <c r="D28" s="147" t="s">
        <v>62</v>
      </c>
      <c r="E28" s="135"/>
      <c r="F28" s="8" t="s">
        <v>77</v>
      </c>
      <c r="G28" s="12">
        <f>'Rozpočet - vybrané sloupce'!H28</f>
        <v>20.53</v>
      </c>
      <c r="H28" s="12">
        <f>'Rozpočet - vybrané sloupce'!I28</f>
        <v>0</v>
      </c>
      <c r="I28" s="12">
        <f>G28*AO28</f>
        <v>0</v>
      </c>
      <c r="J28" s="12">
        <f>G28*AP28</f>
        <v>0</v>
      </c>
      <c r="K28" s="12">
        <f>G28*H28</f>
        <v>0</v>
      </c>
      <c r="L28" s="12">
        <v>0</v>
      </c>
      <c r="M28" s="12">
        <f>G28*L28</f>
        <v>0</v>
      </c>
      <c r="N28" s="80" t="s">
        <v>163</v>
      </c>
      <c r="O28" s="17"/>
      <c r="Z28" s="82">
        <f>IF(AQ28="5",BJ28,0)</f>
        <v>0</v>
      </c>
      <c r="AB28" s="82">
        <f>IF(AQ28="1",BH28,0)</f>
        <v>0</v>
      </c>
      <c r="AC28" s="82">
        <f>IF(AQ28="1",BI28,0)</f>
        <v>0</v>
      </c>
      <c r="AD28" s="82">
        <f>IF(AQ28="7",BH28,0)</f>
        <v>0</v>
      </c>
      <c r="AE28" s="82">
        <f>IF(AQ28="7",BI28,0)</f>
        <v>0</v>
      </c>
      <c r="AF28" s="82">
        <f>IF(AQ28="2",BH28,0)</f>
        <v>0</v>
      </c>
      <c r="AG28" s="82">
        <f>IF(AQ28="2",BI28,0)</f>
        <v>0</v>
      </c>
      <c r="AH28" s="82">
        <f>IF(AQ28="0",BJ28,0)</f>
        <v>0</v>
      </c>
      <c r="AI28" s="43"/>
      <c r="AJ28" s="12">
        <f>IF(AN28=0,K28,0)</f>
        <v>0</v>
      </c>
      <c r="AK28" s="12">
        <f>IF(AN28=15,K28,0)</f>
        <v>0</v>
      </c>
      <c r="AL28" s="12">
        <f>IF(AN28=21,K28,0)</f>
        <v>0</v>
      </c>
      <c r="AN28" s="82">
        <v>21</v>
      </c>
      <c r="AO28" s="82">
        <f>H28*0</f>
        <v>0</v>
      </c>
      <c r="AP28" s="82">
        <f>H28*(1-0)</f>
        <v>0</v>
      </c>
      <c r="AQ28" s="83" t="s">
        <v>11</v>
      </c>
      <c r="AV28" s="82">
        <f>AW28+AX28</f>
        <v>0</v>
      </c>
      <c r="AW28" s="82">
        <f>G28*AO28</f>
        <v>0</v>
      </c>
      <c r="AX28" s="82">
        <f>G28*AP28</f>
        <v>0</v>
      </c>
      <c r="AY28" s="84" t="s">
        <v>177</v>
      </c>
      <c r="AZ28" s="84" t="s">
        <v>179</v>
      </c>
      <c r="BA28" s="43" t="s">
        <v>180</v>
      </c>
      <c r="BC28" s="82">
        <f>AW28+AX28</f>
        <v>0</v>
      </c>
      <c r="BD28" s="82">
        <f>H28/(100-BE28)*100</f>
        <v>0</v>
      </c>
      <c r="BE28" s="82">
        <v>0</v>
      </c>
      <c r="BF28" s="82">
        <f>M28</f>
        <v>0</v>
      </c>
      <c r="BH28" s="12">
        <f>G28*AO28</f>
        <v>0</v>
      </c>
      <c r="BI28" s="12">
        <f>G28*AP28</f>
        <v>0</v>
      </c>
      <c r="BJ28" s="12">
        <f>G28*H28</f>
        <v>0</v>
      </c>
      <c r="BK28" s="12" t="s">
        <v>85</v>
      </c>
      <c r="BL28" s="82" t="s">
        <v>39</v>
      </c>
    </row>
    <row r="29" spans="1:64" ht="12.75">
      <c r="A29" s="3" t="s">
        <v>19</v>
      </c>
      <c r="B29" s="8"/>
      <c r="C29" s="8" t="s">
        <v>41</v>
      </c>
      <c r="D29" s="147" t="s">
        <v>63</v>
      </c>
      <c r="E29" s="135"/>
      <c r="F29" s="8" t="s">
        <v>77</v>
      </c>
      <c r="G29" s="12">
        <f>'Rozpočet - vybrané sloupce'!H29</f>
        <v>20.53</v>
      </c>
      <c r="H29" s="12">
        <f>'Rozpočet - vybrané sloupce'!I29</f>
        <v>0</v>
      </c>
      <c r="I29" s="12">
        <f>G29*AO29</f>
        <v>0</v>
      </c>
      <c r="J29" s="12">
        <f>G29*AP29</f>
        <v>0</v>
      </c>
      <c r="K29" s="12">
        <f>G29*H29</f>
        <v>0</v>
      </c>
      <c r="L29" s="12">
        <v>0</v>
      </c>
      <c r="M29" s="12">
        <f>G29*L29</f>
        <v>0</v>
      </c>
      <c r="N29" s="80" t="s">
        <v>163</v>
      </c>
      <c r="O29" s="17"/>
      <c r="Z29" s="82">
        <f>IF(AQ29="5",BJ29,0)</f>
        <v>0</v>
      </c>
      <c r="AB29" s="82">
        <f>IF(AQ29="1",BH29,0)</f>
        <v>0</v>
      </c>
      <c r="AC29" s="82">
        <f>IF(AQ29="1",BI29,0)</f>
        <v>0</v>
      </c>
      <c r="AD29" s="82">
        <f>IF(AQ29="7",BH29,0)</f>
        <v>0</v>
      </c>
      <c r="AE29" s="82">
        <f>IF(AQ29="7",BI29,0)</f>
        <v>0</v>
      </c>
      <c r="AF29" s="82">
        <f>IF(AQ29="2",BH29,0)</f>
        <v>0</v>
      </c>
      <c r="AG29" s="82">
        <f>IF(AQ29="2",BI29,0)</f>
        <v>0</v>
      </c>
      <c r="AH29" s="82">
        <f>IF(AQ29="0",BJ29,0)</f>
        <v>0</v>
      </c>
      <c r="AI29" s="43"/>
      <c r="AJ29" s="12">
        <f>IF(AN29=0,K29,0)</f>
        <v>0</v>
      </c>
      <c r="AK29" s="12">
        <f>IF(AN29=15,K29,0)</f>
        <v>0</v>
      </c>
      <c r="AL29" s="12">
        <f>IF(AN29=21,K29,0)</f>
        <v>0</v>
      </c>
      <c r="AN29" s="82">
        <v>21</v>
      </c>
      <c r="AO29" s="82">
        <f>H29*0</f>
        <v>0</v>
      </c>
      <c r="AP29" s="82">
        <f>H29*(1-0)</f>
        <v>0</v>
      </c>
      <c r="AQ29" s="83" t="s">
        <v>11</v>
      </c>
      <c r="AV29" s="82">
        <f>AW29+AX29</f>
        <v>0</v>
      </c>
      <c r="AW29" s="82">
        <f>G29*AO29</f>
        <v>0</v>
      </c>
      <c r="AX29" s="82">
        <f>G29*AP29</f>
        <v>0</v>
      </c>
      <c r="AY29" s="84" t="s">
        <v>177</v>
      </c>
      <c r="AZ29" s="84" t="s">
        <v>179</v>
      </c>
      <c r="BA29" s="43" t="s">
        <v>180</v>
      </c>
      <c r="BC29" s="82">
        <f>AW29+AX29</f>
        <v>0</v>
      </c>
      <c r="BD29" s="82">
        <f>H29/(100-BE29)*100</f>
        <v>0</v>
      </c>
      <c r="BE29" s="82">
        <v>0</v>
      </c>
      <c r="BF29" s="82">
        <f>M29</f>
        <v>0</v>
      </c>
      <c r="BH29" s="12">
        <f>G29*AO29</f>
        <v>0</v>
      </c>
      <c r="BI29" s="12">
        <f>G29*AP29</f>
        <v>0</v>
      </c>
      <c r="BJ29" s="12">
        <f>G29*H29</f>
        <v>0</v>
      </c>
      <c r="BK29" s="12" t="s">
        <v>85</v>
      </c>
      <c r="BL29" s="82" t="s">
        <v>39</v>
      </c>
    </row>
    <row r="30" spans="1:64" ht="12.75">
      <c r="A30" s="3" t="s">
        <v>20</v>
      </c>
      <c r="B30" s="8"/>
      <c r="C30" s="8" t="s">
        <v>42</v>
      </c>
      <c r="D30" s="147" t="s">
        <v>64</v>
      </c>
      <c r="E30" s="135"/>
      <c r="F30" s="8" t="s">
        <v>77</v>
      </c>
      <c r="G30" s="12">
        <f>'Rozpočet - vybrané sloupce'!H30</f>
        <v>369.54</v>
      </c>
      <c r="H30" s="12">
        <f>'Rozpočet - vybrané sloupce'!I30</f>
        <v>0</v>
      </c>
      <c r="I30" s="12">
        <f>G30*AO30</f>
        <v>0</v>
      </c>
      <c r="J30" s="12">
        <f>G30*AP30</f>
        <v>0</v>
      </c>
      <c r="K30" s="12">
        <f>G30*H30</f>
        <v>0</v>
      </c>
      <c r="L30" s="12">
        <v>0</v>
      </c>
      <c r="M30" s="12">
        <f>G30*L30</f>
        <v>0</v>
      </c>
      <c r="N30" s="80" t="s">
        <v>163</v>
      </c>
      <c r="O30" s="17"/>
      <c r="Z30" s="82">
        <f>IF(AQ30="5",BJ30,0)</f>
        <v>0</v>
      </c>
      <c r="AB30" s="82">
        <f>IF(AQ30="1",BH30,0)</f>
        <v>0</v>
      </c>
      <c r="AC30" s="82">
        <f>IF(AQ30="1",BI30,0)</f>
        <v>0</v>
      </c>
      <c r="AD30" s="82">
        <f>IF(AQ30="7",BH30,0)</f>
        <v>0</v>
      </c>
      <c r="AE30" s="82">
        <f>IF(AQ30="7",BI30,0)</f>
        <v>0</v>
      </c>
      <c r="AF30" s="82">
        <f>IF(AQ30="2",BH30,0)</f>
        <v>0</v>
      </c>
      <c r="AG30" s="82">
        <f>IF(AQ30="2",BI30,0)</f>
        <v>0</v>
      </c>
      <c r="AH30" s="82">
        <f>IF(AQ30="0",BJ30,0)</f>
        <v>0</v>
      </c>
      <c r="AI30" s="43"/>
      <c r="AJ30" s="12">
        <f>IF(AN30=0,K30,0)</f>
        <v>0</v>
      </c>
      <c r="AK30" s="12">
        <f>IF(AN30=15,K30,0)</f>
        <v>0</v>
      </c>
      <c r="AL30" s="12">
        <f>IF(AN30=21,K30,0)</f>
        <v>0</v>
      </c>
      <c r="AN30" s="82">
        <v>21</v>
      </c>
      <c r="AO30" s="82">
        <f>H30*0</f>
        <v>0</v>
      </c>
      <c r="AP30" s="82">
        <f>H30*(1-0)</f>
        <v>0</v>
      </c>
      <c r="AQ30" s="83" t="s">
        <v>11</v>
      </c>
      <c r="AV30" s="82">
        <f>AW30+AX30</f>
        <v>0</v>
      </c>
      <c r="AW30" s="82">
        <f>G30*AO30</f>
        <v>0</v>
      </c>
      <c r="AX30" s="82">
        <f>G30*AP30</f>
        <v>0</v>
      </c>
      <c r="AY30" s="84" t="s">
        <v>177</v>
      </c>
      <c r="AZ30" s="84" t="s">
        <v>179</v>
      </c>
      <c r="BA30" s="43" t="s">
        <v>180</v>
      </c>
      <c r="BC30" s="82">
        <f>AW30+AX30</f>
        <v>0</v>
      </c>
      <c r="BD30" s="82">
        <f>H30/(100-BE30)*100</f>
        <v>0</v>
      </c>
      <c r="BE30" s="82">
        <v>0</v>
      </c>
      <c r="BF30" s="82">
        <f>M30</f>
        <v>0</v>
      </c>
      <c r="BH30" s="12">
        <f>G30*AO30</f>
        <v>0</v>
      </c>
      <c r="BI30" s="12">
        <f>G30*AP30</f>
        <v>0</v>
      </c>
      <c r="BJ30" s="12">
        <f>G30*H30</f>
        <v>0</v>
      </c>
      <c r="BK30" s="12" t="s">
        <v>85</v>
      </c>
      <c r="BL30" s="82" t="s">
        <v>39</v>
      </c>
    </row>
    <row r="31" spans="1:64" ht="12.75">
      <c r="A31" s="3" t="s">
        <v>21</v>
      </c>
      <c r="B31" s="8"/>
      <c r="C31" s="8" t="s">
        <v>43</v>
      </c>
      <c r="D31" s="147" t="s">
        <v>65</v>
      </c>
      <c r="E31" s="135"/>
      <c r="F31" s="8" t="s">
        <v>77</v>
      </c>
      <c r="G31" s="12">
        <f>'Rozpočet - vybrané sloupce'!H31</f>
        <v>102.65</v>
      </c>
      <c r="H31" s="12">
        <f>'Rozpočet - vybrané sloupce'!I31</f>
        <v>0</v>
      </c>
      <c r="I31" s="12">
        <f>G31*AO31</f>
        <v>0</v>
      </c>
      <c r="J31" s="12">
        <f>G31*AP31</f>
        <v>0</v>
      </c>
      <c r="K31" s="12">
        <f>G31*H31</f>
        <v>0</v>
      </c>
      <c r="L31" s="12">
        <v>0</v>
      </c>
      <c r="M31" s="12">
        <f>G31*L31</f>
        <v>0</v>
      </c>
      <c r="N31" s="80" t="s">
        <v>163</v>
      </c>
      <c r="O31" s="17"/>
      <c r="Z31" s="82">
        <f>IF(AQ31="5",BJ31,0)</f>
        <v>0</v>
      </c>
      <c r="AB31" s="82">
        <f>IF(AQ31="1",BH31,0)</f>
        <v>0</v>
      </c>
      <c r="AC31" s="82">
        <f>IF(AQ31="1",BI31,0)</f>
        <v>0</v>
      </c>
      <c r="AD31" s="82">
        <f>IF(AQ31="7",BH31,0)</f>
        <v>0</v>
      </c>
      <c r="AE31" s="82">
        <f>IF(AQ31="7",BI31,0)</f>
        <v>0</v>
      </c>
      <c r="AF31" s="82">
        <f>IF(AQ31="2",BH31,0)</f>
        <v>0</v>
      </c>
      <c r="AG31" s="82">
        <f>IF(AQ31="2",BI31,0)</f>
        <v>0</v>
      </c>
      <c r="AH31" s="82">
        <f>IF(AQ31="0",BJ31,0)</f>
        <v>0</v>
      </c>
      <c r="AI31" s="43"/>
      <c r="AJ31" s="12">
        <f>IF(AN31=0,K31,0)</f>
        <v>0</v>
      </c>
      <c r="AK31" s="12">
        <f>IF(AN31=15,K31,0)</f>
        <v>0</v>
      </c>
      <c r="AL31" s="12">
        <f>IF(AN31=21,K31,0)</f>
        <v>0</v>
      </c>
      <c r="AN31" s="82">
        <v>21</v>
      </c>
      <c r="AO31" s="82">
        <f>H31*0</f>
        <v>0</v>
      </c>
      <c r="AP31" s="82">
        <f>H31*(1-0)</f>
        <v>0</v>
      </c>
      <c r="AQ31" s="83" t="s">
        <v>11</v>
      </c>
      <c r="AV31" s="82">
        <f>AW31+AX31</f>
        <v>0</v>
      </c>
      <c r="AW31" s="82">
        <f>G31*AO31</f>
        <v>0</v>
      </c>
      <c r="AX31" s="82">
        <f>G31*AP31</f>
        <v>0</v>
      </c>
      <c r="AY31" s="84" t="s">
        <v>177</v>
      </c>
      <c r="AZ31" s="84" t="s">
        <v>179</v>
      </c>
      <c r="BA31" s="43" t="s">
        <v>180</v>
      </c>
      <c r="BC31" s="82">
        <f>AW31+AX31</f>
        <v>0</v>
      </c>
      <c r="BD31" s="82">
        <f>H31/(100-BE31)*100</f>
        <v>0</v>
      </c>
      <c r="BE31" s="82">
        <v>0</v>
      </c>
      <c r="BF31" s="82">
        <f>M31</f>
        <v>0</v>
      </c>
      <c r="BH31" s="12">
        <f>G31*AO31</f>
        <v>0</v>
      </c>
      <c r="BI31" s="12">
        <f>G31*AP31</f>
        <v>0</v>
      </c>
      <c r="BJ31" s="12">
        <f>G31*H31</f>
        <v>0</v>
      </c>
      <c r="BK31" s="12" t="s">
        <v>85</v>
      </c>
      <c r="BL31" s="82" t="s">
        <v>39</v>
      </c>
    </row>
    <row r="32" spans="1:64" ht="12.75">
      <c r="A32" s="5" t="s">
        <v>22</v>
      </c>
      <c r="B32" s="10"/>
      <c r="C32" s="10" t="s">
        <v>44</v>
      </c>
      <c r="D32" s="161" t="s">
        <v>66</v>
      </c>
      <c r="E32" s="139"/>
      <c r="F32" s="10" t="s">
        <v>77</v>
      </c>
      <c r="G32" s="14">
        <f>'Rozpočet - vybrané sloupce'!H32</f>
        <v>20.53</v>
      </c>
      <c r="H32" s="14">
        <f>'Rozpočet - vybrané sloupce'!I32</f>
        <v>0</v>
      </c>
      <c r="I32" s="14">
        <f>G32*AO32</f>
        <v>0</v>
      </c>
      <c r="J32" s="14">
        <f>G32*AP32</f>
        <v>0</v>
      </c>
      <c r="K32" s="14">
        <f>G32*H32</f>
        <v>0</v>
      </c>
      <c r="L32" s="14">
        <v>0</v>
      </c>
      <c r="M32" s="14">
        <f>G32*L32</f>
        <v>0</v>
      </c>
      <c r="N32" s="81" t="s">
        <v>163</v>
      </c>
      <c r="O32" s="17"/>
      <c r="Z32" s="82">
        <f>IF(AQ32="5",BJ32,0)</f>
        <v>0</v>
      </c>
      <c r="AB32" s="82">
        <f>IF(AQ32="1",BH32,0)</f>
        <v>0</v>
      </c>
      <c r="AC32" s="82">
        <f>IF(AQ32="1",BI32,0)</f>
        <v>0</v>
      </c>
      <c r="AD32" s="82">
        <f>IF(AQ32="7",BH32,0)</f>
        <v>0</v>
      </c>
      <c r="AE32" s="82">
        <f>IF(AQ32="7",BI32,0)</f>
        <v>0</v>
      </c>
      <c r="AF32" s="82">
        <f>IF(AQ32="2",BH32,0)</f>
        <v>0</v>
      </c>
      <c r="AG32" s="82">
        <f>IF(AQ32="2",BI32,0)</f>
        <v>0</v>
      </c>
      <c r="AH32" s="82">
        <f>IF(AQ32="0",BJ32,0)</f>
        <v>0</v>
      </c>
      <c r="AI32" s="43"/>
      <c r="AJ32" s="12">
        <f>IF(AN32=0,K32,0)</f>
        <v>0</v>
      </c>
      <c r="AK32" s="12">
        <f>IF(AN32=15,K32,0)</f>
        <v>0</v>
      </c>
      <c r="AL32" s="12">
        <f>IF(AN32=21,K32,0)</f>
        <v>0</v>
      </c>
      <c r="AN32" s="82">
        <v>21</v>
      </c>
      <c r="AO32" s="82">
        <f>H32*0</f>
        <v>0</v>
      </c>
      <c r="AP32" s="82">
        <f>H32*(1-0)</f>
        <v>0</v>
      </c>
      <c r="AQ32" s="83" t="s">
        <v>11</v>
      </c>
      <c r="AV32" s="82">
        <f>AW32+AX32</f>
        <v>0</v>
      </c>
      <c r="AW32" s="82">
        <f>G32*AO32</f>
        <v>0</v>
      </c>
      <c r="AX32" s="82">
        <f>G32*AP32</f>
        <v>0</v>
      </c>
      <c r="AY32" s="84" t="s">
        <v>177</v>
      </c>
      <c r="AZ32" s="84" t="s">
        <v>179</v>
      </c>
      <c r="BA32" s="43" t="s">
        <v>180</v>
      </c>
      <c r="BC32" s="82">
        <f>AW32+AX32</f>
        <v>0</v>
      </c>
      <c r="BD32" s="82">
        <f>H32/(100-BE32)*100</f>
        <v>0</v>
      </c>
      <c r="BE32" s="82">
        <v>0</v>
      </c>
      <c r="BF32" s="82">
        <f>M32</f>
        <v>0</v>
      </c>
      <c r="BH32" s="12">
        <f>G32*AO32</f>
        <v>0</v>
      </c>
      <c r="BI32" s="12">
        <f>G32*AP32</f>
        <v>0</v>
      </c>
      <c r="BJ32" s="12">
        <f>G32*H32</f>
        <v>0</v>
      </c>
      <c r="BK32" s="12" t="s">
        <v>85</v>
      </c>
      <c r="BL32" s="82" t="s">
        <v>39</v>
      </c>
    </row>
    <row r="33" spans="1:14" ht="12.75">
      <c r="A33" s="6"/>
      <c r="B33" s="6"/>
      <c r="C33" s="6"/>
      <c r="D33" s="6"/>
      <c r="E33" s="6"/>
      <c r="F33" s="6"/>
      <c r="G33" s="6"/>
      <c r="H33" s="6"/>
      <c r="I33" s="162" t="s">
        <v>80</v>
      </c>
      <c r="J33" s="96"/>
      <c r="K33" s="87">
        <f>ROUND(K12+K17+K22+K24+K27,0)</f>
        <v>0</v>
      </c>
      <c r="L33" s="6"/>
      <c r="M33" s="6"/>
      <c r="N33" s="6"/>
    </row>
    <row r="34" ht="11.25" customHeight="1">
      <c r="A34" s="33" t="s">
        <v>87</v>
      </c>
    </row>
    <row r="35" spans="1:14" ht="12.75">
      <c r="A35" s="102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</sheetData>
  <sheetProtection/>
  <mergeCells count="52">
    <mergeCell ref="D32:E32"/>
    <mergeCell ref="I33:J33"/>
    <mergeCell ref="A35:N35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10:E10"/>
    <mergeCell ref="I10:K10"/>
    <mergeCell ref="L10:M10"/>
    <mergeCell ref="D11:E11"/>
    <mergeCell ref="D12:E12"/>
    <mergeCell ref="D13:E13"/>
    <mergeCell ref="A8:C9"/>
    <mergeCell ref="D8:E9"/>
    <mergeCell ref="F8:G9"/>
    <mergeCell ref="H8:H9"/>
    <mergeCell ref="I8:I9"/>
    <mergeCell ref="J8:N9"/>
    <mergeCell ref="A6:C7"/>
    <mergeCell ref="D6:E7"/>
    <mergeCell ref="F6:G7"/>
    <mergeCell ref="H6:H7"/>
    <mergeCell ref="I6:I7"/>
    <mergeCell ref="J6:N7"/>
    <mergeCell ref="A4:C5"/>
    <mergeCell ref="D4:E5"/>
    <mergeCell ref="F4:G5"/>
    <mergeCell ref="H4:H5"/>
    <mergeCell ref="I4:I5"/>
    <mergeCell ref="J4:N5"/>
    <mergeCell ref="A1:N1"/>
    <mergeCell ref="A2:C3"/>
    <mergeCell ref="D2:E3"/>
    <mergeCell ref="F2:G3"/>
    <mergeCell ref="H2:H3"/>
    <mergeCell ref="I2:I3"/>
    <mergeCell ref="J2:N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Vávra</dc:creator>
  <cp:keywords/>
  <dc:description/>
  <cp:lastModifiedBy>Pavlína Tůmová</cp:lastModifiedBy>
  <dcterms:created xsi:type="dcterms:W3CDTF">2022-08-26T09:07:09Z</dcterms:created>
  <dcterms:modified xsi:type="dcterms:W3CDTF">2022-08-29T09:15:51Z</dcterms:modified>
  <cp:category/>
  <cp:version/>
  <cp:contentType/>
  <cp:contentStatus/>
</cp:coreProperties>
</file>