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tavební rozpočet" sheetId="1" r:id="rId1"/>
    <sheet name="Výkaz výměr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<sst xmlns="http://schemas.openxmlformats.org/spreadsheetml/2006/main" count="1830" uniqueCount="550">
  <si>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</si>
  <si>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</si>
  <si>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</si>
  <si>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</si>
  <si>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</si>
  <si>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</si>
  <si>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</si>
  <si>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</si>
  <si>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</si>
  <si>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</si>
  <si>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</si>
  <si>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</si>
  <si>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</si>
  <si>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</si>
  <si>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</si>
  <si>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</si>
  <si>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</si>
  <si>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</si>
  <si>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</si>
  <si>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</si>
  <si>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</si>
  <si>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</si>
  <si>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</si>
  <si>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</si>
  <si>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</si>
  <si>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</si>
  <si>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</si>
  <si>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</si>
  <si>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</si>
  <si>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</si>
  <si>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</si>
  <si>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</si>
  <si>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</si>
  <si>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</si>
  <si>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</si>
  <si>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</si>
  <si>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</si>
  <si>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</si>
  <si>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</si>
  <si>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</si>
  <si>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</si>
  <si>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</si>
  <si>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</si>
  <si>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</si>
  <si>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</si>
  <si>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</si>
  <si>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</si>
  <si>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</si>
  <si>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</si>
  <si>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</si>
  <si>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</si>
  <si>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</si>
  <si>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</si>
  <si>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</si>
  <si>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</si>
  <si>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</si>
  <si>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</si>
  <si>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</si>
  <si>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</si>
  <si>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</si>
  <si>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</si>
  <si>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</si>
  <si>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</si>
  <si>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</si>
  <si>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</si>
  <si>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</si>
  <si>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</si>
  <si>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</si>
  <si>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</si>
  <si>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</si>
  <si>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</si>
  <si>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</si>
  <si>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</si>
  <si>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</si>
  <si>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</si>
  <si>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</si>
  <si>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</si>
  <si>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</si>
  <si>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</si>
  <si>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</si>
  <si>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</si>
  <si>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</si>
  <si>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</si>
  <si>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</si>
  <si>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</si>
  <si>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</si>
  <si>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</si>
  <si>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</si>
  <si>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</si>
  <si>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</si>
  <si>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</si>
  <si>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</si>
  <si>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</si>
  <si>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</si>
  <si>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</si>
  <si>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</si>
  <si>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</si>
  <si>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</si>
  <si>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</si>
  <si>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</si>
  <si>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</si>
  <si>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</si>
  <si>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</si>
  <si>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</si>
  <si>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</si>
  <si>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</si>
  <si>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</si>
  <si>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</si>
  <si>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</si>
  <si>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</si>
  <si>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</si>
  <si>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</si>
  <si>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</si>
  <si>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</si>
  <si>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</si>
  <si>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</si>
  <si>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Poznámka:</t>
  </si>
  <si>
    <t>Objekt</t>
  </si>
  <si>
    <t>Kód</t>
  </si>
  <si>
    <t>0</t>
  </si>
  <si>
    <t>073877111R00</t>
  </si>
  <si>
    <t>317944313R00</t>
  </si>
  <si>
    <t>342255026RT1</t>
  </si>
  <si>
    <t>342255024RT1</t>
  </si>
  <si>
    <t>416020113R00</t>
  </si>
  <si>
    <t>596811111RT5</t>
  </si>
  <si>
    <t>612473182R00</t>
  </si>
  <si>
    <t>612409991R00</t>
  </si>
  <si>
    <t>612403399RT2</t>
  </si>
  <si>
    <t>612421331RT2</t>
  </si>
  <si>
    <t>622325134RT1</t>
  </si>
  <si>
    <t>622432112R00</t>
  </si>
  <si>
    <t>622325522RV1</t>
  </si>
  <si>
    <t>622325015R00</t>
  </si>
  <si>
    <t>631312141R00</t>
  </si>
  <si>
    <t>642942111RU4</t>
  </si>
  <si>
    <t>642942221RU3</t>
  </si>
  <si>
    <t>713</t>
  </si>
  <si>
    <t>713111130RV7</t>
  </si>
  <si>
    <t>721</t>
  </si>
  <si>
    <t>721176223R00</t>
  </si>
  <si>
    <t>721100906R00</t>
  </si>
  <si>
    <t>722</t>
  </si>
  <si>
    <t>722171213R00</t>
  </si>
  <si>
    <t>722110114R00</t>
  </si>
  <si>
    <t>723</t>
  </si>
  <si>
    <t>723160314R00</t>
  </si>
  <si>
    <t>723110202R00</t>
  </si>
  <si>
    <t>723110204R00</t>
  </si>
  <si>
    <t>725</t>
  </si>
  <si>
    <t>725122221R00</t>
  </si>
  <si>
    <t>725534226R00</t>
  </si>
  <si>
    <t>725823121RT0</t>
  </si>
  <si>
    <t>725845111RT1</t>
  </si>
  <si>
    <t>725291146R00</t>
  </si>
  <si>
    <t>725013125R00</t>
  </si>
  <si>
    <t>725017122R00</t>
  </si>
  <si>
    <t>725119401R00</t>
  </si>
  <si>
    <t>725014121RT1</t>
  </si>
  <si>
    <t>725716129R00</t>
  </si>
  <si>
    <t>725212370R00</t>
  </si>
  <si>
    <t>725110813R00</t>
  </si>
  <si>
    <t>725210821R00</t>
  </si>
  <si>
    <t>725319201R00</t>
  </si>
  <si>
    <t>731</t>
  </si>
  <si>
    <t>731249124R00</t>
  </si>
  <si>
    <t>733</t>
  </si>
  <si>
    <t>733110806R00</t>
  </si>
  <si>
    <t>733163105R00</t>
  </si>
  <si>
    <t>734</t>
  </si>
  <si>
    <t>734100811R00</t>
  </si>
  <si>
    <t>734224511RT1</t>
  </si>
  <si>
    <t>735</t>
  </si>
  <si>
    <t>735111530R00</t>
  </si>
  <si>
    <t>735111810R00</t>
  </si>
  <si>
    <t>735118110R00</t>
  </si>
  <si>
    <t>764</t>
  </si>
  <si>
    <t>764231450R00</t>
  </si>
  <si>
    <t>764511650RT1</t>
  </si>
  <si>
    <t>764454902R00</t>
  </si>
  <si>
    <t>765</t>
  </si>
  <si>
    <t>765901221R00</t>
  </si>
  <si>
    <t>766</t>
  </si>
  <si>
    <t>766629302R00</t>
  </si>
  <si>
    <t>766661512R00</t>
  </si>
  <si>
    <t>766661522R00</t>
  </si>
  <si>
    <t>766695213R00</t>
  </si>
  <si>
    <t>766694113R00</t>
  </si>
  <si>
    <t>766629304R00</t>
  </si>
  <si>
    <t>766711021R00</t>
  </si>
  <si>
    <t>771</t>
  </si>
  <si>
    <t>771589793R00</t>
  </si>
  <si>
    <t>771101116R00</t>
  </si>
  <si>
    <t>771101121R00</t>
  </si>
  <si>
    <t>771575109RT4</t>
  </si>
  <si>
    <t>776</t>
  </si>
  <si>
    <t>776101115R00</t>
  </si>
  <si>
    <t>776101121R00</t>
  </si>
  <si>
    <t>776421100RU1</t>
  </si>
  <si>
    <t>776521100RU3</t>
  </si>
  <si>
    <t>776511820RT1</t>
  </si>
  <si>
    <t>781</t>
  </si>
  <si>
    <t>781101141R00</t>
  </si>
  <si>
    <t>781101210R00</t>
  </si>
  <si>
    <t>781415016RT7</t>
  </si>
  <si>
    <t>783</t>
  </si>
  <si>
    <t>783222100R00</t>
  </si>
  <si>
    <t>784</t>
  </si>
  <si>
    <t>784111101R00</t>
  </si>
  <si>
    <t>784115422R00</t>
  </si>
  <si>
    <t>941955004R00</t>
  </si>
  <si>
    <t>941941031R00</t>
  </si>
  <si>
    <t>952901114R00</t>
  </si>
  <si>
    <t>953941212R00</t>
  </si>
  <si>
    <t>962031133R00</t>
  </si>
  <si>
    <t>962032241R00</t>
  </si>
  <si>
    <t>968062355R00</t>
  </si>
  <si>
    <t>968072456R00</t>
  </si>
  <si>
    <t>968072455R00</t>
  </si>
  <si>
    <t>968061125R00</t>
  </si>
  <si>
    <t>967031741R00</t>
  </si>
  <si>
    <t>965042231RT2</t>
  </si>
  <si>
    <t>976082131R00</t>
  </si>
  <si>
    <t>974031144R00</t>
  </si>
  <si>
    <t>974042584R00</t>
  </si>
  <si>
    <t>974042564R00</t>
  </si>
  <si>
    <t>974031143R00</t>
  </si>
  <si>
    <t>976074141R00</t>
  </si>
  <si>
    <t>M21</t>
  </si>
  <si>
    <t>210010001R00</t>
  </si>
  <si>
    <t>M22</t>
  </si>
  <si>
    <t>220010001R00</t>
  </si>
  <si>
    <t>S</t>
  </si>
  <si>
    <t>979990001R00</t>
  </si>
  <si>
    <t>979083117R00</t>
  </si>
  <si>
    <t>979082212R00</t>
  </si>
  <si>
    <t>979086112R00</t>
  </si>
  <si>
    <t>61143637</t>
  </si>
  <si>
    <t>61143632</t>
  </si>
  <si>
    <t>61143580</t>
  </si>
  <si>
    <t>611601202</t>
  </si>
  <si>
    <t>611601203</t>
  </si>
  <si>
    <t>611601204</t>
  </si>
  <si>
    <t>611601207</t>
  </si>
  <si>
    <t>611731997</t>
  </si>
  <si>
    <t>611731993</t>
  </si>
  <si>
    <t>59764203</t>
  </si>
  <si>
    <t>597813601</t>
  </si>
  <si>
    <t>59764210</t>
  </si>
  <si>
    <t>Zkrácený popis</t>
  </si>
  <si>
    <t>Rozměry</t>
  </si>
  <si>
    <t>Všeobecné konstrukce a práce</t>
  </si>
  <si>
    <t>Úprava a doplnění hromosvodu vč.revize</t>
  </si>
  <si>
    <t>Zdi podpěrné a volné</t>
  </si>
  <si>
    <t>Válcované nosníky č.14-22 do připravených otvorů</t>
  </si>
  <si>
    <t>Stěny a příčky</t>
  </si>
  <si>
    <t>Příčky z desek Ytong tl. 12,5 cm</t>
  </si>
  <si>
    <t>Příčky z desek Ytong tl. 10 cm</t>
  </si>
  <si>
    <t>Stropy a stropní konstrukce (pro pozemní stavby)</t>
  </si>
  <si>
    <t>Podhledy SDK, kovová kce.HUT 1x deska RBI 12,5 mm</t>
  </si>
  <si>
    <t>Dlažby a předlažby pozemních komunikací a zpevněných ploch</t>
  </si>
  <si>
    <t>Kladení dlaždic kom.pro pěší, lože z kameniva těž.</t>
  </si>
  <si>
    <t>Úprava povrchů vnitřní</t>
  </si>
  <si>
    <t>Omítka vnitř.zdiva ze such.směsi, štuková, strojně</t>
  </si>
  <si>
    <t>Začištění omítek kolem oken,dveří apod.</t>
  </si>
  <si>
    <t>Hrubá výplň rýh ve stěnách maltou</t>
  </si>
  <si>
    <t>Oprava vápen.omítek stěn do 30 % pl. - štukových</t>
  </si>
  <si>
    <t>Úprava povrchů vnější</t>
  </si>
  <si>
    <t>Zateplovací systém Cemix,fasáda, EPS F tl. 140 mm</t>
  </si>
  <si>
    <t>Omítka stěn weber-pas marmolit střednězrnná</t>
  </si>
  <si>
    <t>Zateplovací systém Cemix, sokl, XPS tl. 100 mm</t>
  </si>
  <si>
    <t>Soklová lišta hliník KZS Cemix tl. 160 mm</t>
  </si>
  <si>
    <t>Podlahy a podlahové konstrukce</t>
  </si>
  <si>
    <t>Doplnění rýh betonem v dosavadních mazaninách</t>
  </si>
  <si>
    <t>Výplně otvorů</t>
  </si>
  <si>
    <t>Osazení zárubní dveřních ocelových, pl. do 2,5 m2</t>
  </si>
  <si>
    <t>Osazení zárubní dveřních ocelových, pl. do 4,5 m2</t>
  </si>
  <si>
    <t>Izolace tepelné</t>
  </si>
  <si>
    <t>Izolace tepelné stropů, vložené mezi krokve</t>
  </si>
  <si>
    <t>Vnitřní kanalizace</t>
  </si>
  <si>
    <t>Potrubí KG svodné (ležaté) v zemi</t>
  </si>
  <si>
    <t>Vnitřní rozvody kanalizace HT</t>
  </si>
  <si>
    <t>Vnitřní-vodovod</t>
  </si>
  <si>
    <t>Vnější přípojka-potrubí z PEHD,sv.32mm</t>
  </si>
  <si>
    <t>Vnitřní rozvody-PPR,izolace,,uzávěry M+D</t>
  </si>
  <si>
    <t>Vnější přípojka plynovod</t>
  </si>
  <si>
    <t>Přípojka k plynoměru, STL,PD,revize</t>
  </si>
  <si>
    <t>Plyn NTL+revize</t>
  </si>
  <si>
    <t>Komín+revize</t>
  </si>
  <si>
    <t>Zařizovací předměty</t>
  </si>
  <si>
    <t>Pisoár Domino s automatickým splachovačem, SLP 17</t>
  </si>
  <si>
    <t>Ohřívač elek. zásob. závěsný DZ Dražice OKCE 160</t>
  </si>
  <si>
    <t>Baterie umyvadlová stoján. ruční, vč. otvír.odpadu</t>
  </si>
  <si>
    <t>Baterie sprchová nástěnná ruční, bez příslušenství</t>
  </si>
  <si>
    <t>Madlo dvojité sklopné nerez Novaservis dl. 813 mm</t>
  </si>
  <si>
    <t>Kloz.kombi ZTP,nádrž s arm.odpad vodor,bílý</t>
  </si>
  <si>
    <t>Umyvadlo na šrouby  55 x 42 cm, bílé</t>
  </si>
  <si>
    <t>M+D předstěnových systémů pro zazdění</t>
  </si>
  <si>
    <t>Klozet závěsný , hlub. splach., bílý</t>
  </si>
  <si>
    <t>Montáž výlevky z chem. kameniny, se zadní stěnou</t>
  </si>
  <si>
    <t>Umyvadlo pro invalidy, se zápachovou uzávěrkou</t>
  </si>
  <si>
    <t>Demontáž klozetů dřepových</t>
  </si>
  <si>
    <t>Demontáž umyvadel bez výtokových armatur</t>
  </si>
  <si>
    <t>Kompletace</t>
  </si>
  <si>
    <t>Kotelny</t>
  </si>
  <si>
    <t>Montáž kotle vč.příslušenství do 29 kW</t>
  </si>
  <si>
    <t>Rozvod potrubí</t>
  </si>
  <si>
    <t>Demontáž potrubí ocelového závitového do DN 15-32</t>
  </si>
  <si>
    <t>Potrubí z měděných trubek M+D</t>
  </si>
  <si>
    <t>Armatury</t>
  </si>
  <si>
    <t>Demontáž armatur se dvěma přírubami do DN 50</t>
  </si>
  <si>
    <t>Ventil termost.,šroubení,hlavice k ÚT</t>
  </si>
  <si>
    <t>Otopná tělesa</t>
  </si>
  <si>
    <t>Montáž těles otopných- litinová Kalor</t>
  </si>
  <si>
    <t>Demontáž těles otopných litinových článkových</t>
  </si>
  <si>
    <t>Tlaková zkouška otopných těles litinových - vodou</t>
  </si>
  <si>
    <t>Konstrukce klempířské</t>
  </si>
  <si>
    <t>Lemování Ti Zn plechem zdí,tvrdá krytina,rš 500 mm</t>
  </si>
  <si>
    <t>Oplechování parapetů TiZn RHEINZINK, rš. 330 mm</t>
  </si>
  <si>
    <t>Oprava odpad. trub Pz kruhové,vč.odsazení a zprůchodnění přípojek</t>
  </si>
  <si>
    <t>Krytina tvrdá</t>
  </si>
  <si>
    <t>Zábrana parotěsná střech</t>
  </si>
  <si>
    <t>Konstrukce truhlářské</t>
  </si>
  <si>
    <t>Montáž oken plastových plochy do 2,70 m2</t>
  </si>
  <si>
    <t>Montáž dveří s polodrážkou, MD,1kř. do 80 cm</t>
  </si>
  <si>
    <t>Montáž dveří s polodrážkou, MD,1kř. nad 80 cm</t>
  </si>
  <si>
    <t>Montáž prahů dveří jednokřídlových š. nad 10 cm</t>
  </si>
  <si>
    <t>Montáž parapetních desek š.do 30 cm,dl.do 260 cm</t>
  </si>
  <si>
    <t>Montáž balkónových dveří plastových</t>
  </si>
  <si>
    <t>Montáž vstupních dveří s vypěněním</t>
  </si>
  <si>
    <t>Podlahy z dlaždic</t>
  </si>
  <si>
    <t>Příplatek za spárovací hmotu - plošně</t>
  </si>
  <si>
    <t>Vyrovnání podkladů samonivel. hmotou tl. do 30 mm</t>
  </si>
  <si>
    <t>Provedení penetrace podkladu</t>
  </si>
  <si>
    <t>Montáž podlah keram.,hladké, tmel, 30x30 cm</t>
  </si>
  <si>
    <t>Podlahy povlakové</t>
  </si>
  <si>
    <t>Vyrovnání podkladů samonivelační hmotou</t>
  </si>
  <si>
    <t>Lepení podlahových soklíků z PVC a vinylu</t>
  </si>
  <si>
    <t>Lepení povlak.podlah z pásů PVC na Chemopren</t>
  </si>
  <si>
    <t>Odstranění PVC a koberců lepených s podložkou</t>
  </si>
  <si>
    <t>Obklady (keramické)</t>
  </si>
  <si>
    <t>Hydroizolační stěrka jednovrstvá</t>
  </si>
  <si>
    <t>Penetrace podkladu pod obklady</t>
  </si>
  <si>
    <t>Montáž obkladů stěn, porovin.,tmel, nad 20x25 cm</t>
  </si>
  <si>
    <t>Nátěry</t>
  </si>
  <si>
    <t>Nátěr syntetický kovových konstrukcí dvojnásobný</t>
  </si>
  <si>
    <t>Malby</t>
  </si>
  <si>
    <t>Penetrace podkladu nátěrem V1307  1 x</t>
  </si>
  <si>
    <t>Malba tekutá Remal profi,barva, bez penetrace, 2 x</t>
  </si>
  <si>
    <t>Lešení a stavební výtahy</t>
  </si>
  <si>
    <t>Lešení lehké pomocné, výška podlahy do 3,5 m</t>
  </si>
  <si>
    <t>M+D vč.nájmu lešení leh.řad.s podlahami,š.do 1 m, H 10 m</t>
  </si>
  <si>
    <t>Různé dokončovací konstrukce a práce na pozemních stavbách</t>
  </si>
  <si>
    <t>Vyčištění budov o výšce podlaží nad 4 m</t>
  </si>
  <si>
    <t>Osazování mříží v rámu nebo z jednotlivých tyčí</t>
  </si>
  <si>
    <t>Bourání konstrukcí</t>
  </si>
  <si>
    <t>Bourání příček cihelných tl. 15 cm</t>
  </si>
  <si>
    <t>Bourání zdiva z cihel pálených na MC</t>
  </si>
  <si>
    <t>Vybourání dřevěných rámů oken dvojitých pl. 2 m2</t>
  </si>
  <si>
    <t>Vybourání kovových dveřních zárubní pl. nad 2 m2</t>
  </si>
  <si>
    <t>Vybourání kovových dveřních zárubní pl. do 2 m2</t>
  </si>
  <si>
    <t>Vyvěšení dřevěných dveřních křídel pl. do 2 m2</t>
  </si>
  <si>
    <t>Přisekání plošné zdiva cihelného na MC tl. 5 cm</t>
  </si>
  <si>
    <t>Bourání mazanin betonových tl. nad 10 cm, pl. 4 m2</t>
  </si>
  <si>
    <t>Prorážení otvorů a ostatní bourací práce</t>
  </si>
  <si>
    <t>Vybourání objímek,držáků apod.ze zdiva cihelného</t>
  </si>
  <si>
    <t>Vysekání rýh ve zdi cihelné 7 x 15 cm</t>
  </si>
  <si>
    <t>Vysekání rýh betonová,  25x15 cm</t>
  </si>
  <si>
    <t>Vysekání rýh betonová, 15x15 cm</t>
  </si>
  <si>
    <t>Vysekání rýh ve zdi cihelné 7 x 10 cm</t>
  </si>
  <si>
    <t>Vybourání kotevních želez zeď beton, kámen</t>
  </si>
  <si>
    <t>Elektromontáže</t>
  </si>
  <si>
    <t>ELEKTRO</t>
  </si>
  <si>
    <t>Montáže sdělovací a zabezpečovací techniky</t>
  </si>
  <si>
    <t>SLP</t>
  </si>
  <si>
    <t>Přesuny sutí</t>
  </si>
  <si>
    <t>Poplatek za skládku stavební suti</t>
  </si>
  <si>
    <t>Vodorovné přemístění suti na skládku do 6000 m</t>
  </si>
  <si>
    <t>Vodorovná doprava suti po suchu do 50 m</t>
  </si>
  <si>
    <t>Nakládání nebo překládání suti a vybouraných hmot</t>
  </si>
  <si>
    <t>Ostatní materiál</t>
  </si>
  <si>
    <t>Okno plastové 2křídlové Rehau 150x150 cm O/OS</t>
  </si>
  <si>
    <t>Okno plastové 2křídlové Rehau 120x150 cm O/OS</t>
  </si>
  <si>
    <t>Okno plastové 1křídlové profil Rehau 60x60 cm  OS</t>
  </si>
  <si>
    <t>Dveře vnitřní CPL 0,2 KLASIK plné 1kř. 70x197 cm</t>
  </si>
  <si>
    <t>Dveře vnitřní CPL 0,2 KLASIK plné 1kř. 80x197 cm</t>
  </si>
  <si>
    <t>Dveře vnitřní CPL 0,2 KLASIK plné 1kř. 90x197 cm</t>
  </si>
  <si>
    <t>Dveře vnitřní CPL 0,2 KLASIK plné 2kř. 145x197 cm</t>
  </si>
  <si>
    <t>Dveře vchodové plast,Konex 165x197 cm model L</t>
  </si>
  <si>
    <t>Dveře vchodové plast+sklo 80x197 cm model L</t>
  </si>
  <si>
    <t>Dlažba Taurus Granit matná 300x300x9 mm</t>
  </si>
  <si>
    <t>Obkládačka 20x20 bílá lesk</t>
  </si>
  <si>
    <t>Dlažba Taurus Granit hladká protiskl. 300x300x9 mm</t>
  </si>
  <si>
    <t>Doba výstavby:</t>
  </si>
  <si>
    <t>Začátek výstavby:</t>
  </si>
  <si>
    <t>Konec výstavby:</t>
  </si>
  <si>
    <t>Zpracováno dne:</t>
  </si>
  <si>
    <t>M.j.</t>
  </si>
  <si>
    <t>kpt</t>
  </si>
  <si>
    <t>t</t>
  </si>
  <si>
    <t>m2</t>
  </si>
  <si>
    <t>m</t>
  </si>
  <si>
    <t>m3</t>
  </si>
  <si>
    <t>kus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</si>
  <si>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</si>
  <si>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</si>
  <si>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</si>
  <si>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</si>
  <si>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</si>
  <si>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</si>
  <si>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</si>
  <si>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</si>
  <si>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</si>
  <si>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</si>
  <si>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</si>
  <si>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</si>
  <si>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</si>
  <si>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</si>
  <si>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</si>
  <si>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</si>
  <si>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2016</t>
  </si>
  <si>
    <t>Přesuny</t>
  </si>
  <si>
    <t>Typ skupiny</t>
  </si>
  <si>
    <t>HS</t>
  </si>
  <si>
    <t>PS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</si>
  <si>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</si>
  <si>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</si>
  <si>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</si>
  <si>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</si>
  <si>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</si>
  <si>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</si>
  <si>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</si>
  <si>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</si>
  <si>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</si>
  <si>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</si>
  <si>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</si>
  <si>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34_</t>
  </si>
  <si>
    <t>41_</t>
  </si>
  <si>
    <t>59_</t>
  </si>
  <si>
    <t>61_</t>
  </si>
  <si>
    <t>62_</t>
  </si>
  <si>
    <t>63_</t>
  </si>
  <si>
    <t>64_</t>
  </si>
  <si>
    <t>713_</t>
  </si>
  <si>
    <t>721_</t>
  </si>
  <si>
    <t>722_</t>
  </si>
  <si>
    <t>723_</t>
  </si>
  <si>
    <t>725_</t>
  </si>
  <si>
    <t>731_</t>
  </si>
  <si>
    <t>733_</t>
  </si>
  <si>
    <t>734_</t>
  </si>
  <si>
    <t>735_</t>
  </si>
  <si>
    <t>764_</t>
  </si>
  <si>
    <t>765_</t>
  </si>
  <si>
    <t>766_</t>
  </si>
  <si>
    <t>771_</t>
  </si>
  <si>
    <t>776_</t>
  </si>
  <si>
    <t>781_</t>
  </si>
  <si>
    <t>783_</t>
  </si>
  <si>
    <t>784_</t>
  </si>
  <si>
    <t>94_</t>
  </si>
  <si>
    <t>95_</t>
  </si>
  <si>
    <t>96_</t>
  </si>
  <si>
    <t>97_</t>
  </si>
  <si>
    <t>M21_</t>
  </si>
  <si>
    <t>M22_</t>
  </si>
  <si>
    <t>S_</t>
  </si>
  <si>
    <t>Z99999_</t>
  </si>
  <si>
    <t>3_</t>
  </si>
  <si>
    <t>4_</t>
  </si>
  <si>
    <t>5_</t>
  </si>
  <si>
    <t>6_</t>
  </si>
  <si>
    <t>71_</t>
  </si>
  <si>
    <t>72_</t>
  </si>
  <si>
    <t>73_</t>
  </si>
  <si>
    <t>76_</t>
  </si>
  <si>
    <t>77_</t>
  </si>
  <si>
    <t>78_</t>
  </si>
  <si>
    <t>9_</t>
  </si>
  <si>
    <t>Z_</t>
  </si>
  <si>
    <t>_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</si>
  <si>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</si>
  <si>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</si>
  <si>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</si>
  <si>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</si>
  <si>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</si>
  <si>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</si>
  <si>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</si>
  <si>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</si>
  <si>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</si>
  <si>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</si>
  <si>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</si>
  <si>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</si>
  <si>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</si>
  <si>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</si>
  <si>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</si>
  <si>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</si>
  <si>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</si>
  <si>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</si>
  <si>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</si>
  <si>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</si>
  <si>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</si>
  <si>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</si>
  <si>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</si>
  <si>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</si>
  <si>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</si>
  <si>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</si>
  <si>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</si>
  <si>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</si>
  <si>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</si>
  <si>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</si>
  <si>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</si>
  <si>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</si>
  <si>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</si>
  <si>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</si>
  <si>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</si>
  <si>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</si>
  <si>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</si>
  <si>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</si>
  <si>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</si>
  <si>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</si>
  <si>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</si>
  <si>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</si>
  <si>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</si>
  <si>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</si>
  <si>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</si>
  <si>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</si>
  <si>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</si>
  <si>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</si>
  <si>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</si>
  <si>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</si>
  <si>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</si>
  <si>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</si>
  <si>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</si>
  <si>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</si>
  <si>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</si>
  <si>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</si>
  <si>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</si>
  <si>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 xml:space="preserve"> 2.3.2018</t>
  </si>
  <si>
    <t>Ing. Mayer, MÚ Benešov - ORMSM</t>
  </si>
  <si>
    <t>Jakub Veleba</t>
  </si>
  <si>
    <t>Město Benešov</t>
  </si>
  <si>
    <t>Stavební úpravy st. Pč. 535/2 v k.ú. Benešov, Sportovní spolkový dům Benešov, Táborská ul.</t>
  </si>
  <si>
    <t>Stavební rekonstrukce</t>
  </si>
  <si>
    <t>Benešov</t>
  </si>
  <si>
    <t xml:space="preserve"> 3 měsíce</t>
  </si>
  <si>
    <t>00231401</t>
  </si>
  <si>
    <t>70722021</t>
  </si>
  <si>
    <t>Ing. Mayer. MÚ Benešov, ORMSM</t>
  </si>
  <si>
    <t>Stavební úpravy st. pč. 535/2 v k.ú. Benešov, Sportovní spolkový dům Benešov, Táborská ul.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</si>
</sst>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30" xfId="0" applyNumberFormat="1" applyFont="1" applyFill="1" applyBorder="1" applyAlignment="1" applyProtection="1">
      <alignment horizontal="center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0" borderId="30" xfId="0" applyNumberFormat="1" applyFont="1" applyFill="1" applyBorder="1" applyAlignment="1" applyProtection="1">
      <alignment horizontal="right" vertical="center"/>
      <protection/>
    </xf>
    <xf numFmtId="49" fontId="12" fillId="0" borderId="30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1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1" fillId="0" borderId="30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3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vertic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1" fillId="34" borderId="51" xfId="0" applyNumberFormat="1" applyFont="1" applyFill="1" applyBorder="1" applyAlignment="1" applyProtection="1">
      <alignment horizontal="left" vertical="center"/>
      <protection/>
    </xf>
    <xf numFmtId="0" fontId="11" fillId="34" borderId="52" xfId="0" applyNumberFormat="1" applyFont="1" applyFill="1" applyBorder="1" applyAlignment="1" applyProtection="1">
      <alignment horizontal="left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51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9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7"/>
  <sheetViews>
    <sheetView tabSelected="1" zoomScalePageLayoutView="0" workbookViewId="0" topLeftCell="A1">
      <selection activeCell="D16" sqref="D16:G1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6.57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hidden="1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12.75">
      <c r="A2" s="95" t="s">
        <v>1</v>
      </c>
      <c r="B2" s="96"/>
      <c r="C2" s="96"/>
      <c r="D2" s="97" t="s">
        <v>549</v>
      </c>
      <c r="E2" s="99" t="s">
        <v>393</v>
      </c>
      <c r="F2" s="96"/>
      <c r="G2" s="99" t="s">
        <v>545</v>
      </c>
      <c r="H2" s="96"/>
      <c r="I2" s="100" t="s">
        <v>411</v>
      </c>
      <c r="J2" s="100" t="s">
        <v>541</v>
      </c>
      <c r="K2" s="96"/>
      <c r="L2" s="96"/>
      <c r="M2" s="101"/>
      <c r="N2" s="31"/>
    </row>
    <row r="3" spans="1:14" ht="12.75">
      <c r="A3" s="92"/>
      <c r="B3" s="77"/>
      <c r="C3" s="77"/>
      <c r="D3" s="98"/>
      <c r="E3" s="77"/>
      <c r="F3" s="77"/>
      <c r="G3" s="77"/>
      <c r="H3" s="77"/>
      <c r="I3" s="77"/>
      <c r="J3" s="77"/>
      <c r="K3" s="77"/>
      <c r="L3" s="77"/>
      <c r="M3" s="90"/>
      <c r="N3" s="31"/>
    </row>
    <row r="4" spans="1:14" ht="12.75">
      <c r="A4" s="85" t="s">
        <v>2</v>
      </c>
      <c r="B4" s="77"/>
      <c r="C4" s="77"/>
      <c r="D4" s="76" t="s">
        <v>543</v>
      </c>
      <c r="E4" s="88" t="s">
        <v>394</v>
      </c>
      <c r="F4" s="77"/>
      <c r="G4" s="89" t="s">
        <v>538</v>
      </c>
      <c r="H4" s="77"/>
      <c r="I4" s="76" t="s">
        <v>412</v>
      </c>
      <c r="J4" s="76" t="s">
        <v>540</v>
      </c>
      <c r="K4" s="77"/>
      <c r="L4" s="77"/>
      <c r="M4" s="90"/>
      <c r="N4" s="31"/>
    </row>
    <row r="5" spans="1:14" ht="12.75">
      <c r="A5" s="9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90"/>
      <c r="N5" s="31"/>
    </row>
    <row r="6" spans="1:14" ht="12.75">
      <c r="A6" s="85" t="s">
        <v>3</v>
      </c>
      <c r="B6" s="77"/>
      <c r="C6" s="77"/>
      <c r="D6" s="76" t="s">
        <v>544</v>
      </c>
      <c r="E6" s="88" t="s">
        <v>395</v>
      </c>
      <c r="F6" s="77"/>
      <c r="G6" s="89">
        <v>43250</v>
      </c>
      <c r="H6" s="77"/>
      <c r="I6" s="76" t="s">
        <v>413</v>
      </c>
      <c r="J6" s="76"/>
      <c r="K6" s="77"/>
      <c r="L6" s="77"/>
      <c r="M6" s="90"/>
      <c r="N6" s="31"/>
    </row>
    <row r="7" spans="1:14" ht="12.75">
      <c r="A7" s="92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90"/>
      <c r="N7" s="31"/>
    </row>
    <row r="8" spans="1:14" ht="12.75">
      <c r="A8" s="85" t="s">
        <v>4</v>
      </c>
      <c r="B8" s="77"/>
      <c r="C8" s="77"/>
      <c r="D8" s="76"/>
      <c r="E8" s="88" t="s">
        <v>396</v>
      </c>
      <c r="F8" s="77"/>
      <c r="G8" s="89">
        <v>43118</v>
      </c>
      <c r="H8" s="77"/>
      <c r="I8" s="76" t="s">
        <v>414</v>
      </c>
      <c r="J8" s="76" t="s">
        <v>539</v>
      </c>
      <c r="K8" s="77"/>
      <c r="L8" s="77"/>
      <c r="M8" s="90"/>
      <c r="N8" s="31"/>
    </row>
    <row r="9" spans="1:14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91"/>
      <c r="N9" s="31"/>
    </row>
    <row r="10" spans="1:14" ht="12.75">
      <c r="A10" s="1" t="s">
        <v>5</v>
      </c>
      <c r="B10" s="10" t="s">
        <v>117</v>
      </c>
      <c r="C10" s="10" t="s">
        <v>118</v>
      </c>
      <c r="D10" s="10" t="s">
        <v>249</v>
      </c>
      <c r="E10" s="10" t="s">
        <v>397</v>
      </c>
      <c r="F10" s="15" t="s">
        <v>405</v>
      </c>
      <c r="G10" s="19" t="s">
        <v>406</v>
      </c>
      <c r="H10" s="80" t="s">
        <v>408</v>
      </c>
      <c r="I10" s="81"/>
      <c r="J10" s="82"/>
      <c r="K10" s="80" t="s">
        <v>417</v>
      </c>
      <c r="L10" s="82"/>
      <c r="M10" s="26" t="s">
        <v>418</v>
      </c>
      <c r="N10" s="32"/>
    </row>
    <row r="11" spans="1:24" ht="12.75">
      <c r="A11" s="2" t="s">
        <v>6</v>
      </c>
      <c r="B11" s="11" t="s">
        <v>6</v>
      </c>
      <c r="C11" s="11" t="s">
        <v>6</v>
      </c>
      <c r="D11" s="14" t="s">
        <v>250</v>
      </c>
      <c r="E11" s="11" t="s">
        <v>6</v>
      </c>
      <c r="F11" s="11" t="s">
        <v>6</v>
      </c>
      <c r="G11" s="20" t="s">
        <v>407</v>
      </c>
      <c r="H11" s="21" t="s">
        <v>409</v>
      </c>
      <c r="I11" s="22" t="s">
        <v>415</v>
      </c>
      <c r="J11" s="23" t="s">
        <v>416</v>
      </c>
      <c r="K11" s="21" t="s">
        <v>406</v>
      </c>
      <c r="L11" s="23" t="s">
        <v>416</v>
      </c>
      <c r="M11" s="27" t="s">
        <v>419</v>
      </c>
      <c r="N11" s="32"/>
      <c r="P11" s="25" t="s">
        <v>421</v>
      </c>
      <c r="Q11" s="25" t="s">
        <v>422</v>
      </c>
      <c r="R11" s="25" t="s">
        <v>427</v>
      </c>
      <c r="S11" s="25" t="s">
        <v>428</v>
      </c>
      <c r="T11" s="25" t="s">
        <v>429</v>
      </c>
      <c r="U11" s="25" t="s">
        <v>430</v>
      </c>
      <c r="V11" s="25" t="s">
        <v>431</v>
      </c>
      <c r="W11" s="25" t="s">
        <v>432</v>
      </c>
      <c r="X11" s="25" t="s">
        <v>433</v>
      </c>
    </row>
    <row r="12" spans="1:37" ht="12.75">
      <c r="A12" s="3"/>
      <c r="B12" s="12"/>
      <c r="C12" s="12" t="s">
        <v>119</v>
      </c>
      <c r="D12" s="83" t="s">
        <v>251</v>
      </c>
      <c r="E12" s="84"/>
      <c r="F12" s="84"/>
      <c r="G12" s="84"/>
      <c r="H12" s="35">
        <f>SUM(H13:H13)</f>
        <v>0</v>
      </c>
      <c r="I12" s="35">
        <f>SUM(I13:I13)</f>
        <v>0</v>
      </c>
      <c r="J12" s="35">
        <f>H12+I12</f>
        <v>0</v>
      </c>
      <c r="K12" s="24"/>
      <c r="L12" s="35">
        <f>SUM(L13:L13)</f>
        <v>0</v>
      </c>
      <c r="M12" s="24"/>
      <c r="P12" s="36">
        <f>IF(Q12="PR",J12,SUM(O13:O13))</f>
        <v>0</v>
      </c>
      <c r="Q12" s="25" t="s">
        <v>423</v>
      </c>
      <c r="R12" s="36">
        <f>IF(Q12="HS",H12,0)</f>
        <v>0</v>
      </c>
      <c r="S12" s="36">
        <f>IF(Q12="HS",I12-P12,0)</f>
        <v>0</v>
      </c>
      <c r="T12" s="36">
        <f>IF(Q12="PS",H12,0)</f>
        <v>0</v>
      </c>
      <c r="U12" s="36">
        <f>IF(Q12="PS",I12-P12,0)</f>
        <v>0</v>
      </c>
      <c r="V12" s="36">
        <f>IF(Q12="MP",H12,0)</f>
        <v>0</v>
      </c>
      <c r="W12" s="36">
        <f>IF(Q12="MP",I12-P12,0)</f>
        <v>0</v>
      </c>
      <c r="X12" s="36">
        <f>IF(Q12="OM",H12,0)</f>
        <v>0</v>
      </c>
      <c r="Y12" s="25"/>
      <c r="AI12" s="36">
        <f>SUM(Z13:Z13)</f>
        <v>0</v>
      </c>
      <c r="AJ12" s="36">
        <f>SUM(AA13:AA13)</f>
        <v>0</v>
      </c>
      <c r="AK12" s="36">
        <f>SUM(AB13:AB13)</f>
        <v>0</v>
      </c>
    </row>
    <row r="13" spans="1:43" ht="12.75">
      <c r="A13" s="4" t="s">
        <v>7</v>
      </c>
      <c r="B13" s="4"/>
      <c r="C13" s="4" t="s">
        <v>120</v>
      </c>
      <c r="D13" s="4" t="s">
        <v>252</v>
      </c>
      <c r="E13" s="4" t="s">
        <v>398</v>
      </c>
      <c r="F13" s="16">
        <v>1</v>
      </c>
      <c r="G13" s="16"/>
      <c r="H13" s="16">
        <f>F13*AE13</f>
        <v>0</v>
      </c>
      <c r="I13" s="16">
        <f>J13-H13</f>
        <v>0</v>
      </c>
      <c r="J13" s="16">
        <f>F13*G13</f>
        <v>0</v>
      </c>
      <c r="K13" s="16">
        <v>0</v>
      </c>
      <c r="L13" s="16">
        <f>F13*K13</f>
        <v>0</v>
      </c>
      <c r="M13" s="28" t="s">
        <v>420</v>
      </c>
      <c r="N13" s="28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3">
        <v>15</v>
      </c>
      <c r="AE13" s="33">
        <f>G13*0</f>
        <v>0</v>
      </c>
      <c r="AF13" s="33">
        <f>G13*(1-0)</f>
        <v>0</v>
      </c>
      <c r="AM13" s="33">
        <f>F13*AE13</f>
        <v>0</v>
      </c>
      <c r="AN13" s="33">
        <f>F13*AF13</f>
        <v>0</v>
      </c>
      <c r="AO13" s="34" t="s">
        <v>434</v>
      </c>
      <c r="AP13" s="34" t="s">
        <v>434</v>
      </c>
      <c r="AQ13" s="25" t="s">
        <v>480</v>
      </c>
    </row>
    <row r="14" spans="1:37" ht="12.75">
      <c r="A14" s="5"/>
      <c r="B14" s="13"/>
      <c r="C14" s="13" t="s">
        <v>37</v>
      </c>
      <c r="D14" s="78" t="s">
        <v>253</v>
      </c>
      <c r="E14" s="79"/>
      <c r="F14" s="79"/>
      <c r="G14" s="79"/>
      <c r="H14" s="36">
        <f>SUM(H15:H15)</f>
        <v>0</v>
      </c>
      <c r="I14" s="36">
        <f>SUM(I15:I15)</f>
        <v>0</v>
      </c>
      <c r="J14" s="36">
        <f>H14+I14</f>
        <v>0</v>
      </c>
      <c r="K14" s="25"/>
      <c r="L14" s="36">
        <f>SUM(L15:L15)</f>
        <v>0.3815</v>
      </c>
      <c r="M14" s="25"/>
      <c r="P14" s="36">
        <f>IF(Q14="PR",J14,SUM(O15:O15))</f>
        <v>0</v>
      </c>
      <c r="Q14" s="25" t="s">
        <v>423</v>
      </c>
      <c r="R14" s="36">
        <f>IF(Q14="HS",H14,0)</f>
        <v>0</v>
      </c>
      <c r="S14" s="36">
        <f>IF(Q14="HS",I14-P14,0)</f>
        <v>0</v>
      </c>
      <c r="T14" s="36">
        <f>IF(Q14="PS",H14,0)</f>
        <v>0</v>
      </c>
      <c r="U14" s="36">
        <f>IF(Q14="PS",I14-P14,0)</f>
        <v>0</v>
      </c>
      <c r="V14" s="36">
        <f>IF(Q14="MP",H14,0)</f>
        <v>0</v>
      </c>
      <c r="W14" s="36">
        <f>IF(Q14="MP",I14-P14,0)</f>
        <v>0</v>
      </c>
      <c r="X14" s="36">
        <f>IF(Q14="OM",H14,0)</f>
        <v>0</v>
      </c>
      <c r="Y14" s="25"/>
      <c r="AI14" s="36">
        <f>SUM(Z15:Z15)</f>
        <v>0</v>
      </c>
      <c r="AJ14" s="36">
        <f>SUM(AA15:AA15)</f>
        <v>0</v>
      </c>
      <c r="AK14" s="36">
        <f>SUM(AB15:AB15)</f>
        <v>0</v>
      </c>
    </row>
    <row r="15" spans="1:43" ht="12.75">
      <c r="A15" s="4" t="s">
        <v>8</v>
      </c>
      <c r="B15" s="4"/>
      <c r="C15" s="4" t="s">
        <v>121</v>
      </c>
      <c r="D15" s="4" t="s">
        <v>254</v>
      </c>
      <c r="E15" s="4" t="s">
        <v>399</v>
      </c>
      <c r="F15" s="16">
        <v>0.35</v>
      </c>
      <c r="G15" s="16"/>
      <c r="H15" s="16">
        <f>F15*AE15</f>
        <v>0</v>
      </c>
      <c r="I15" s="16">
        <f>J15-H15</f>
        <v>0</v>
      </c>
      <c r="J15" s="16">
        <f>F15*G15</f>
        <v>0</v>
      </c>
      <c r="K15" s="16">
        <v>1.09</v>
      </c>
      <c r="L15" s="16">
        <f>F15*K15</f>
        <v>0.3815</v>
      </c>
      <c r="M15" s="28" t="s">
        <v>420</v>
      </c>
      <c r="N15" s="28" t="s">
        <v>7</v>
      </c>
      <c r="O15" s="16">
        <f>IF(N15="5",I15,0)</f>
        <v>0</v>
      </c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3">
        <v>15</v>
      </c>
      <c r="AE15" s="33">
        <f>G15*0.774659281599396</f>
        <v>0</v>
      </c>
      <c r="AF15" s="33">
        <f>G15*(1-0.774659281599396)</f>
        <v>0</v>
      </c>
      <c r="AM15" s="33">
        <f>F15*AE15</f>
        <v>0</v>
      </c>
      <c r="AN15" s="33">
        <f>F15*AF15</f>
        <v>0</v>
      </c>
      <c r="AO15" s="34" t="s">
        <v>435</v>
      </c>
      <c r="AP15" s="34" t="s">
        <v>468</v>
      </c>
      <c r="AQ15" s="25" t="s">
        <v>480</v>
      </c>
    </row>
    <row r="16" spans="1:37" ht="12.75">
      <c r="A16" s="5"/>
      <c r="B16" s="13"/>
      <c r="C16" s="13" t="s">
        <v>40</v>
      </c>
      <c r="D16" s="78" t="s">
        <v>255</v>
      </c>
      <c r="E16" s="79"/>
      <c r="F16" s="79"/>
      <c r="G16" s="79"/>
      <c r="H16" s="36">
        <f>SUM(H17:H18)</f>
        <v>0</v>
      </c>
      <c r="I16" s="36">
        <f>SUM(I17:I18)</f>
        <v>0</v>
      </c>
      <c r="J16" s="36">
        <f>H16+I16</f>
        <v>0</v>
      </c>
      <c r="K16" s="25"/>
      <c r="L16" s="36">
        <f>SUM(L17:L18)</f>
        <v>4.6724619999999994</v>
      </c>
      <c r="M16" s="25"/>
      <c r="P16" s="36">
        <f>IF(Q16="PR",J16,SUM(O17:O18))</f>
        <v>0</v>
      </c>
      <c r="Q16" s="25" t="s">
        <v>423</v>
      </c>
      <c r="R16" s="36">
        <f>IF(Q16="HS",H16,0)</f>
        <v>0</v>
      </c>
      <c r="S16" s="36">
        <f>IF(Q16="HS",I16-P16,0)</f>
        <v>0</v>
      </c>
      <c r="T16" s="36">
        <f>IF(Q16="PS",H16,0)</f>
        <v>0</v>
      </c>
      <c r="U16" s="36">
        <f>IF(Q16="PS",I16-P16,0)</f>
        <v>0</v>
      </c>
      <c r="V16" s="36">
        <f>IF(Q16="MP",H16,0)</f>
        <v>0</v>
      </c>
      <c r="W16" s="36">
        <f>IF(Q16="MP",I16-P16,0)</f>
        <v>0</v>
      </c>
      <c r="X16" s="36">
        <f>IF(Q16="OM",H16,0)</f>
        <v>0</v>
      </c>
      <c r="Y16" s="25"/>
      <c r="AI16" s="36">
        <f>SUM(Z17:Z18)</f>
        <v>0</v>
      </c>
      <c r="AJ16" s="36">
        <f>SUM(AA17:AA18)</f>
        <v>0</v>
      </c>
      <c r="AK16" s="36">
        <f>SUM(AB17:AB18)</f>
        <v>0</v>
      </c>
    </row>
    <row r="17" spans="1:43" ht="12.75">
      <c r="A17" s="4" t="s">
        <v>9</v>
      </c>
      <c r="B17" s="4"/>
      <c r="C17" s="4" t="s">
        <v>122</v>
      </c>
      <c r="D17" s="4" t="s">
        <v>256</v>
      </c>
      <c r="E17" s="4" t="s">
        <v>400</v>
      </c>
      <c r="F17" s="16">
        <v>34.2</v>
      </c>
      <c r="G17" s="16"/>
      <c r="H17" s="16">
        <f>F17*AE17</f>
        <v>0</v>
      </c>
      <c r="I17" s="16">
        <f>J17-H17</f>
        <v>0</v>
      </c>
      <c r="J17" s="16">
        <f>F17*G17</f>
        <v>0</v>
      </c>
      <c r="K17" s="16">
        <v>0.08811</v>
      </c>
      <c r="L17" s="16">
        <f>F17*K17</f>
        <v>3.013362</v>
      </c>
      <c r="M17" s="28" t="s">
        <v>420</v>
      </c>
      <c r="N17" s="28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3">
        <v>15</v>
      </c>
      <c r="AE17" s="33">
        <f>G17*0.702503409148302</f>
        <v>0</v>
      </c>
      <c r="AF17" s="33">
        <f>G17*(1-0.702503409148302)</f>
        <v>0</v>
      </c>
      <c r="AM17" s="33">
        <f>F17*AE17</f>
        <v>0</v>
      </c>
      <c r="AN17" s="33">
        <f>F17*AF17</f>
        <v>0</v>
      </c>
      <c r="AO17" s="34" t="s">
        <v>436</v>
      </c>
      <c r="AP17" s="34" t="s">
        <v>468</v>
      </c>
      <c r="AQ17" s="25" t="s">
        <v>480</v>
      </c>
    </row>
    <row r="18" spans="1:43" ht="12.75">
      <c r="A18" s="4" t="s">
        <v>10</v>
      </c>
      <c r="B18" s="4"/>
      <c r="C18" s="4" t="s">
        <v>123</v>
      </c>
      <c r="D18" s="4" t="s">
        <v>257</v>
      </c>
      <c r="E18" s="4" t="s">
        <v>400</v>
      </c>
      <c r="F18" s="16">
        <v>23.5</v>
      </c>
      <c r="G18" s="16"/>
      <c r="H18" s="16">
        <f>F18*AE18</f>
        <v>0</v>
      </c>
      <c r="I18" s="16">
        <f>J18-H18</f>
        <v>0</v>
      </c>
      <c r="J18" s="16">
        <f>F18*G18</f>
        <v>0</v>
      </c>
      <c r="K18" s="16">
        <v>0.0706</v>
      </c>
      <c r="L18" s="16">
        <f>F18*K18</f>
        <v>1.6591</v>
      </c>
      <c r="M18" s="28" t="s">
        <v>420</v>
      </c>
      <c r="N18" s="28" t="s">
        <v>7</v>
      </c>
      <c r="O18" s="16">
        <f>IF(N18="5",I18,0)</f>
        <v>0</v>
      </c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3">
        <v>15</v>
      </c>
      <c r="AE18" s="33">
        <f>G18*0.657553464499572</f>
        <v>0</v>
      </c>
      <c r="AF18" s="33">
        <f>G18*(1-0.657553464499572)</f>
        <v>0</v>
      </c>
      <c r="AM18" s="33">
        <f>F18*AE18</f>
        <v>0</v>
      </c>
      <c r="AN18" s="33">
        <f>F18*AF18</f>
        <v>0</v>
      </c>
      <c r="AO18" s="34" t="s">
        <v>436</v>
      </c>
      <c r="AP18" s="34" t="s">
        <v>468</v>
      </c>
      <c r="AQ18" s="25" t="s">
        <v>480</v>
      </c>
    </row>
    <row r="19" spans="1:37" ht="12.75">
      <c r="A19" s="5"/>
      <c r="B19" s="13"/>
      <c r="C19" s="13" t="s">
        <v>47</v>
      </c>
      <c r="D19" s="78" t="s">
        <v>258</v>
      </c>
      <c r="E19" s="79"/>
      <c r="F19" s="79"/>
      <c r="G19" s="79"/>
      <c r="H19" s="36">
        <f>SUM(H20:H20)</f>
        <v>0</v>
      </c>
      <c r="I19" s="36">
        <f>SUM(I20:I20)</f>
        <v>0</v>
      </c>
      <c r="J19" s="36">
        <f>H19+I19</f>
        <v>0</v>
      </c>
      <c r="K19" s="25"/>
      <c r="L19" s="36">
        <f>SUM(L20:L20)</f>
        <v>1.0179</v>
      </c>
      <c r="M19" s="25"/>
      <c r="P19" s="36">
        <f>IF(Q19="PR",J19,SUM(O20:O20))</f>
        <v>0</v>
      </c>
      <c r="Q19" s="25" t="s">
        <v>423</v>
      </c>
      <c r="R19" s="36">
        <f>IF(Q19="HS",H19,0)</f>
        <v>0</v>
      </c>
      <c r="S19" s="36">
        <f>IF(Q19="HS",I19-P19,0)</f>
        <v>0</v>
      </c>
      <c r="T19" s="36">
        <f>IF(Q19="PS",H19,0)</f>
        <v>0</v>
      </c>
      <c r="U19" s="36">
        <f>IF(Q19="PS",I19-P19,0)</f>
        <v>0</v>
      </c>
      <c r="V19" s="36">
        <f>IF(Q19="MP",H19,0)</f>
        <v>0</v>
      </c>
      <c r="W19" s="36">
        <f>IF(Q19="MP",I19-P19,0)</f>
        <v>0</v>
      </c>
      <c r="X19" s="36">
        <f>IF(Q19="OM",H19,0)</f>
        <v>0</v>
      </c>
      <c r="Y19" s="25"/>
      <c r="AI19" s="36">
        <f>SUM(Z20:Z20)</f>
        <v>0</v>
      </c>
      <c r="AJ19" s="36">
        <f>SUM(AA20:AA20)</f>
        <v>0</v>
      </c>
      <c r="AK19" s="36">
        <f>SUM(AB20:AB20)</f>
        <v>0</v>
      </c>
    </row>
    <row r="20" spans="1:43" ht="12.75">
      <c r="A20" s="4" t="s">
        <v>11</v>
      </c>
      <c r="B20" s="4"/>
      <c r="C20" s="4" t="s">
        <v>124</v>
      </c>
      <c r="D20" s="4" t="s">
        <v>259</v>
      </c>
      <c r="E20" s="4" t="s">
        <v>400</v>
      </c>
      <c r="F20" s="16">
        <v>90</v>
      </c>
      <c r="G20" s="16"/>
      <c r="H20" s="16">
        <f>F20*AE20</f>
        <v>0</v>
      </c>
      <c r="I20" s="16">
        <f>J20-H20</f>
        <v>0</v>
      </c>
      <c r="J20" s="16">
        <f>F20*G20</f>
        <v>0</v>
      </c>
      <c r="K20" s="16">
        <v>0.01131</v>
      </c>
      <c r="L20" s="16">
        <f>F20*K20</f>
        <v>1.0179</v>
      </c>
      <c r="M20" s="28" t="s">
        <v>420</v>
      </c>
      <c r="N20" s="28" t="s">
        <v>7</v>
      </c>
      <c r="O20" s="16">
        <f>IF(N20="5",I20,0)</f>
        <v>0</v>
      </c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3">
        <v>15</v>
      </c>
      <c r="AE20" s="33">
        <f>G20*0.541387755102041</f>
        <v>0</v>
      </c>
      <c r="AF20" s="33">
        <f>G20*(1-0.541387755102041)</f>
        <v>0</v>
      </c>
      <c r="AM20" s="33">
        <f>F20*AE20</f>
        <v>0</v>
      </c>
      <c r="AN20" s="33">
        <f>F20*AF20</f>
        <v>0</v>
      </c>
      <c r="AO20" s="34" t="s">
        <v>437</v>
      </c>
      <c r="AP20" s="34" t="s">
        <v>469</v>
      </c>
      <c r="AQ20" s="25" t="s">
        <v>480</v>
      </c>
    </row>
    <row r="21" spans="1:37" ht="12.75">
      <c r="A21" s="5"/>
      <c r="B21" s="13"/>
      <c r="C21" s="13" t="s">
        <v>65</v>
      </c>
      <c r="D21" s="78" t="s">
        <v>260</v>
      </c>
      <c r="E21" s="79"/>
      <c r="F21" s="79"/>
      <c r="G21" s="79"/>
      <c r="H21" s="36">
        <f>SUM(H22:H22)</f>
        <v>0</v>
      </c>
      <c r="I21" s="36">
        <f>SUM(I22:I22)</f>
        <v>0</v>
      </c>
      <c r="J21" s="36">
        <f>H21+I21</f>
        <v>0</v>
      </c>
      <c r="K21" s="25"/>
      <c r="L21" s="36">
        <f>SUM(L22:L22)</f>
        <v>9.2394</v>
      </c>
      <c r="M21" s="25"/>
      <c r="P21" s="36">
        <f>IF(Q21="PR",J21,SUM(O22:O22))</f>
        <v>0</v>
      </c>
      <c r="Q21" s="25" t="s">
        <v>423</v>
      </c>
      <c r="R21" s="36">
        <f>IF(Q21="HS",H21,0)</f>
        <v>0</v>
      </c>
      <c r="S21" s="36">
        <f>IF(Q21="HS",I21-P21,0)</f>
        <v>0</v>
      </c>
      <c r="T21" s="36">
        <f>IF(Q21="PS",H21,0)</f>
        <v>0</v>
      </c>
      <c r="U21" s="36">
        <f>IF(Q21="PS",I21-P21,0)</f>
        <v>0</v>
      </c>
      <c r="V21" s="36">
        <f>IF(Q21="MP",H21,0)</f>
        <v>0</v>
      </c>
      <c r="W21" s="36">
        <f>IF(Q21="MP",I21-P21,0)</f>
        <v>0</v>
      </c>
      <c r="X21" s="36">
        <f>IF(Q21="OM",H21,0)</f>
        <v>0</v>
      </c>
      <c r="Y21" s="25"/>
      <c r="AI21" s="36">
        <f>SUM(Z22:Z22)</f>
        <v>0</v>
      </c>
      <c r="AJ21" s="36">
        <f>SUM(AA22:AA22)</f>
        <v>0</v>
      </c>
      <c r="AK21" s="36">
        <f>SUM(AB22:AB22)</f>
        <v>0</v>
      </c>
    </row>
    <row r="22" spans="1:43" ht="12.75">
      <c r="A22" s="4" t="s">
        <v>12</v>
      </c>
      <c r="B22" s="4"/>
      <c r="C22" s="4" t="s">
        <v>125</v>
      </c>
      <c r="D22" s="4" t="s">
        <v>261</v>
      </c>
      <c r="E22" s="4" t="s">
        <v>400</v>
      </c>
      <c r="F22" s="16">
        <v>45</v>
      </c>
      <c r="G22" s="16"/>
      <c r="H22" s="16">
        <f>F22*AE22</f>
        <v>0</v>
      </c>
      <c r="I22" s="16">
        <f>J22-H22</f>
        <v>0</v>
      </c>
      <c r="J22" s="16">
        <f>F22*G22</f>
        <v>0</v>
      </c>
      <c r="K22" s="16">
        <v>0.20532</v>
      </c>
      <c r="L22" s="16">
        <f>F22*K22</f>
        <v>9.2394</v>
      </c>
      <c r="M22" s="28" t="s">
        <v>420</v>
      </c>
      <c r="N22" s="28" t="s">
        <v>7</v>
      </c>
      <c r="O22" s="16">
        <f>IF(N22="5",I22,0)</f>
        <v>0</v>
      </c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3">
        <v>15</v>
      </c>
      <c r="AE22" s="33">
        <f>G22*0.760675105485232</f>
        <v>0</v>
      </c>
      <c r="AF22" s="33">
        <f>G22*(1-0.760675105485232)</f>
        <v>0</v>
      </c>
      <c r="AM22" s="33">
        <f>F22*AE22</f>
        <v>0</v>
      </c>
      <c r="AN22" s="33">
        <f>F22*AF22</f>
        <v>0</v>
      </c>
      <c r="AO22" s="34" t="s">
        <v>438</v>
      </c>
      <c r="AP22" s="34" t="s">
        <v>470</v>
      </c>
      <c r="AQ22" s="25" t="s">
        <v>480</v>
      </c>
    </row>
    <row r="23" spans="1:37" ht="12.75">
      <c r="A23" s="5"/>
      <c r="B23" s="13"/>
      <c r="C23" s="13" t="s">
        <v>67</v>
      </c>
      <c r="D23" s="78" t="s">
        <v>262</v>
      </c>
      <c r="E23" s="79"/>
      <c r="F23" s="79"/>
      <c r="G23" s="79"/>
      <c r="H23" s="36">
        <f>SUM(H24:H27)</f>
        <v>0</v>
      </c>
      <c r="I23" s="36">
        <f>SUM(I24:I27)</f>
        <v>0</v>
      </c>
      <c r="J23" s="36">
        <f>H23+I23</f>
        <v>0</v>
      </c>
      <c r="K23" s="25"/>
      <c r="L23" s="36">
        <f>SUM(L24:L27)</f>
        <v>6.5022020000000005</v>
      </c>
      <c r="M23" s="25"/>
      <c r="P23" s="36">
        <f>IF(Q23="PR",J23,SUM(O24:O27))</f>
        <v>0</v>
      </c>
      <c r="Q23" s="25" t="s">
        <v>423</v>
      </c>
      <c r="R23" s="36">
        <f>IF(Q23="HS",H23,0)</f>
        <v>0</v>
      </c>
      <c r="S23" s="36">
        <f>IF(Q23="HS",I23-P23,0)</f>
        <v>0</v>
      </c>
      <c r="T23" s="36">
        <f>IF(Q23="PS",H23,0)</f>
        <v>0</v>
      </c>
      <c r="U23" s="36">
        <f>IF(Q23="PS",I23-P23,0)</f>
        <v>0</v>
      </c>
      <c r="V23" s="36">
        <f>IF(Q23="MP",H23,0)</f>
        <v>0</v>
      </c>
      <c r="W23" s="36">
        <f>IF(Q23="MP",I23-P23,0)</f>
        <v>0</v>
      </c>
      <c r="X23" s="36">
        <f>IF(Q23="OM",H23,0)</f>
        <v>0</v>
      </c>
      <c r="Y23" s="25"/>
      <c r="AI23" s="36">
        <f>SUM(Z24:Z27)</f>
        <v>0</v>
      </c>
      <c r="AJ23" s="36">
        <f>SUM(AA24:AA27)</f>
        <v>0</v>
      </c>
      <c r="AK23" s="36">
        <f>SUM(AB24:AB27)</f>
        <v>0</v>
      </c>
    </row>
    <row r="24" spans="1:43" ht="12.75">
      <c r="A24" s="4" t="s">
        <v>13</v>
      </c>
      <c r="B24" s="4"/>
      <c r="C24" s="4" t="s">
        <v>126</v>
      </c>
      <c r="D24" s="4" t="s">
        <v>263</v>
      </c>
      <c r="E24" s="4" t="s">
        <v>400</v>
      </c>
      <c r="F24" s="16">
        <v>115.4</v>
      </c>
      <c r="G24" s="16"/>
      <c r="H24" s="16">
        <f>F24*AE24</f>
        <v>0</v>
      </c>
      <c r="I24" s="16">
        <f>J24-H24</f>
        <v>0</v>
      </c>
      <c r="J24" s="16">
        <f>F24*G24</f>
        <v>0</v>
      </c>
      <c r="K24" s="16">
        <v>0.02798</v>
      </c>
      <c r="L24" s="16">
        <f>F24*K24</f>
        <v>3.2288920000000005</v>
      </c>
      <c r="M24" s="28" t="s">
        <v>420</v>
      </c>
      <c r="N24" s="28" t="s">
        <v>7</v>
      </c>
      <c r="O24" s="16">
        <f>IF(N24="5",I24,0)</f>
        <v>0</v>
      </c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3">
        <v>15</v>
      </c>
      <c r="AE24" s="33">
        <f>G24*0.303151515151515</f>
        <v>0</v>
      </c>
      <c r="AF24" s="33">
        <f>G24*(1-0.303151515151515)</f>
        <v>0</v>
      </c>
      <c r="AM24" s="33">
        <f>F24*AE24</f>
        <v>0</v>
      </c>
      <c r="AN24" s="33">
        <f>F24*AF24</f>
        <v>0</v>
      </c>
      <c r="AO24" s="34" t="s">
        <v>439</v>
      </c>
      <c r="AP24" s="34" t="s">
        <v>471</v>
      </c>
      <c r="AQ24" s="25" t="s">
        <v>480</v>
      </c>
    </row>
    <row r="25" spans="1:43" ht="12.75">
      <c r="A25" s="4" t="s">
        <v>14</v>
      </c>
      <c r="B25" s="4"/>
      <c r="C25" s="4" t="s">
        <v>127</v>
      </c>
      <c r="D25" s="4" t="s">
        <v>264</v>
      </c>
      <c r="E25" s="4" t="s">
        <v>401</v>
      </c>
      <c r="F25" s="16">
        <v>81</v>
      </c>
      <c r="G25" s="16"/>
      <c r="H25" s="16">
        <f>F25*AE25</f>
        <v>0</v>
      </c>
      <c r="I25" s="16">
        <f>J25-H25</f>
        <v>0</v>
      </c>
      <c r="J25" s="16">
        <f>F25*G25</f>
        <v>0</v>
      </c>
      <c r="K25" s="16">
        <v>0.00431</v>
      </c>
      <c r="L25" s="16">
        <f>F25*K25</f>
        <v>0.34911</v>
      </c>
      <c r="M25" s="28" t="s">
        <v>420</v>
      </c>
      <c r="N25" s="28" t="s">
        <v>7</v>
      </c>
      <c r="O25" s="16">
        <f>IF(N25="5",I25,0)</f>
        <v>0</v>
      </c>
      <c r="Z25" s="16">
        <f>IF(AD25=0,J25,0)</f>
        <v>0</v>
      </c>
      <c r="AA25" s="16">
        <f>IF(AD25=15,J25,0)</f>
        <v>0</v>
      </c>
      <c r="AB25" s="16">
        <f>IF(AD25=21,J25,0)</f>
        <v>0</v>
      </c>
      <c r="AD25" s="33">
        <v>15</v>
      </c>
      <c r="AE25" s="33">
        <f>G25*0.0665263157894737</f>
        <v>0</v>
      </c>
      <c r="AF25" s="33">
        <f>G25*(1-0.0665263157894737)</f>
        <v>0</v>
      </c>
      <c r="AM25" s="33">
        <f>F25*AE25</f>
        <v>0</v>
      </c>
      <c r="AN25" s="33">
        <f>F25*AF25</f>
        <v>0</v>
      </c>
      <c r="AO25" s="34" t="s">
        <v>439</v>
      </c>
      <c r="AP25" s="34" t="s">
        <v>471</v>
      </c>
      <c r="AQ25" s="25" t="s">
        <v>480</v>
      </c>
    </row>
    <row r="26" spans="1:43" ht="12.75">
      <c r="A26" s="4" t="s">
        <v>15</v>
      </c>
      <c r="B26" s="4"/>
      <c r="C26" s="4" t="s">
        <v>128</v>
      </c>
      <c r="D26" s="4" t="s">
        <v>265</v>
      </c>
      <c r="E26" s="4" t="s">
        <v>400</v>
      </c>
      <c r="F26" s="16">
        <v>14</v>
      </c>
      <c r="G26" s="16"/>
      <c r="H26" s="16">
        <f>F26*AE26</f>
        <v>0</v>
      </c>
      <c r="I26" s="16">
        <f>J26-H26</f>
        <v>0</v>
      </c>
      <c r="J26" s="16">
        <f>F26*G26</f>
        <v>0</v>
      </c>
      <c r="K26" s="16">
        <v>0.068</v>
      </c>
      <c r="L26" s="16">
        <f>F26*K26</f>
        <v>0.9520000000000001</v>
      </c>
      <c r="M26" s="28" t="s">
        <v>420</v>
      </c>
      <c r="N26" s="28" t="s">
        <v>7</v>
      </c>
      <c r="O26" s="16">
        <f>IF(N26="5",I26,0)</f>
        <v>0</v>
      </c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3">
        <v>15</v>
      </c>
      <c r="AE26" s="33">
        <f>G26*0.484858611825193</f>
        <v>0</v>
      </c>
      <c r="AF26" s="33">
        <f>G26*(1-0.484858611825193)</f>
        <v>0</v>
      </c>
      <c r="AM26" s="33">
        <f>F26*AE26</f>
        <v>0</v>
      </c>
      <c r="AN26" s="33">
        <f>F26*AF26</f>
        <v>0</v>
      </c>
      <c r="AO26" s="34" t="s">
        <v>439</v>
      </c>
      <c r="AP26" s="34" t="s">
        <v>471</v>
      </c>
      <c r="AQ26" s="25" t="s">
        <v>480</v>
      </c>
    </row>
    <row r="27" spans="1:43" ht="12.75">
      <c r="A27" s="4" t="s">
        <v>16</v>
      </c>
      <c r="B27" s="4"/>
      <c r="C27" s="4" t="s">
        <v>129</v>
      </c>
      <c r="D27" s="4" t="s">
        <v>266</v>
      </c>
      <c r="E27" s="4" t="s">
        <v>400</v>
      </c>
      <c r="F27" s="16">
        <v>190</v>
      </c>
      <c r="G27" s="16"/>
      <c r="H27" s="16">
        <f>F27*AE27</f>
        <v>0</v>
      </c>
      <c r="I27" s="16">
        <f>J27-H27</f>
        <v>0</v>
      </c>
      <c r="J27" s="16">
        <f>F27*G27</f>
        <v>0</v>
      </c>
      <c r="K27" s="16">
        <v>0.01038</v>
      </c>
      <c r="L27" s="16">
        <f>F27*K27</f>
        <v>1.9722</v>
      </c>
      <c r="M27" s="28" t="s">
        <v>420</v>
      </c>
      <c r="N27" s="28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3">
        <v>15</v>
      </c>
      <c r="AE27" s="33">
        <f>G27*0.277332660399975</f>
        <v>0</v>
      </c>
      <c r="AF27" s="33">
        <f>G27*(1-0.277332660399975)</f>
        <v>0</v>
      </c>
      <c r="AM27" s="33">
        <f>F27*AE27</f>
        <v>0</v>
      </c>
      <c r="AN27" s="33">
        <f>F27*AF27</f>
        <v>0</v>
      </c>
      <c r="AO27" s="34" t="s">
        <v>439</v>
      </c>
      <c r="AP27" s="34" t="s">
        <v>471</v>
      </c>
      <c r="AQ27" s="25" t="s">
        <v>480</v>
      </c>
    </row>
    <row r="28" spans="1:37" ht="12.75">
      <c r="A28" s="5"/>
      <c r="B28" s="13"/>
      <c r="C28" s="13" t="s">
        <v>68</v>
      </c>
      <c r="D28" s="78" t="s">
        <v>267</v>
      </c>
      <c r="E28" s="79"/>
      <c r="F28" s="79"/>
      <c r="G28" s="79"/>
      <c r="H28" s="36">
        <f>SUM(H29:H32)</f>
        <v>0</v>
      </c>
      <c r="I28" s="36">
        <f>SUM(I29:I32)</f>
        <v>0</v>
      </c>
      <c r="J28" s="36">
        <f>H28+I28</f>
        <v>0</v>
      </c>
      <c r="K28" s="25"/>
      <c r="L28" s="36">
        <f>SUM(L29:L32)</f>
        <v>4.84668</v>
      </c>
      <c r="M28" s="25"/>
      <c r="P28" s="36">
        <f>IF(Q28="PR",J28,SUM(O29:O32))</f>
        <v>0</v>
      </c>
      <c r="Q28" s="25" t="s">
        <v>423</v>
      </c>
      <c r="R28" s="36">
        <f>IF(Q28="HS",H28,0)</f>
        <v>0</v>
      </c>
      <c r="S28" s="36">
        <f>IF(Q28="HS",I28-P28,0)</f>
        <v>0</v>
      </c>
      <c r="T28" s="36">
        <f>IF(Q28="PS",H28,0)</f>
        <v>0</v>
      </c>
      <c r="U28" s="36">
        <f>IF(Q28="PS",I28-P28,0)</f>
        <v>0</v>
      </c>
      <c r="V28" s="36">
        <f>IF(Q28="MP",H28,0)</f>
        <v>0</v>
      </c>
      <c r="W28" s="36">
        <f>IF(Q28="MP",I28-P28,0)</f>
        <v>0</v>
      </c>
      <c r="X28" s="36">
        <f>IF(Q28="OM",H28,0)</f>
        <v>0</v>
      </c>
      <c r="Y28" s="25"/>
      <c r="AI28" s="36">
        <f>SUM(Z29:Z32)</f>
        <v>0</v>
      </c>
      <c r="AJ28" s="36">
        <f>SUM(AA29:AA32)</f>
        <v>0</v>
      </c>
      <c r="AK28" s="36">
        <f>SUM(AB29:AB32)</f>
        <v>0</v>
      </c>
    </row>
    <row r="29" spans="1:43" ht="12.75">
      <c r="A29" s="4" t="s">
        <v>17</v>
      </c>
      <c r="B29" s="4"/>
      <c r="C29" s="4" t="s">
        <v>130</v>
      </c>
      <c r="D29" s="4" t="s">
        <v>268</v>
      </c>
      <c r="E29" s="4" t="s">
        <v>400</v>
      </c>
      <c r="F29" s="16">
        <v>314</v>
      </c>
      <c r="G29" s="16"/>
      <c r="H29" s="16">
        <f>F29*AE29</f>
        <v>0</v>
      </c>
      <c r="I29" s="16">
        <f>J29-H29</f>
        <v>0</v>
      </c>
      <c r="J29" s="16">
        <f>F29*G29</f>
        <v>0</v>
      </c>
      <c r="K29" s="16">
        <v>0.01328</v>
      </c>
      <c r="L29" s="16">
        <f>F29*K29</f>
        <v>4.16992</v>
      </c>
      <c r="M29" s="28" t="s">
        <v>420</v>
      </c>
      <c r="N29" s="28" t="s">
        <v>7</v>
      </c>
      <c r="O29" s="16">
        <f>IF(N29="5",I29,0)</f>
        <v>0</v>
      </c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3">
        <v>15</v>
      </c>
      <c r="AE29" s="33">
        <f>G29*0.559425</f>
        <v>0</v>
      </c>
      <c r="AF29" s="33">
        <f>G29*(1-0.559425)</f>
        <v>0</v>
      </c>
      <c r="AM29" s="33">
        <f>F29*AE29</f>
        <v>0</v>
      </c>
      <c r="AN29" s="33">
        <f>F29*AF29</f>
        <v>0</v>
      </c>
      <c r="AO29" s="34" t="s">
        <v>440</v>
      </c>
      <c r="AP29" s="34" t="s">
        <v>471</v>
      </c>
      <c r="AQ29" s="25" t="s">
        <v>480</v>
      </c>
    </row>
    <row r="30" spans="1:43" ht="12.75">
      <c r="A30" s="4" t="s">
        <v>18</v>
      </c>
      <c r="B30" s="4"/>
      <c r="C30" s="4" t="s">
        <v>131</v>
      </c>
      <c r="D30" s="4" t="s">
        <v>269</v>
      </c>
      <c r="E30" s="4" t="s">
        <v>400</v>
      </c>
      <c r="F30" s="16">
        <v>39</v>
      </c>
      <c r="G30" s="16"/>
      <c r="H30" s="16">
        <f>F30*AE30</f>
        <v>0</v>
      </c>
      <c r="I30" s="16">
        <f>J30-H30</f>
        <v>0</v>
      </c>
      <c r="J30" s="16">
        <f>F30*G30</f>
        <v>0</v>
      </c>
      <c r="K30" s="16">
        <v>0.00618</v>
      </c>
      <c r="L30" s="16">
        <f>F30*K30</f>
        <v>0.24101999999999998</v>
      </c>
      <c r="M30" s="28" t="s">
        <v>420</v>
      </c>
      <c r="N30" s="28" t="s">
        <v>7</v>
      </c>
      <c r="O30" s="16">
        <f>IF(N30="5",I30,0)</f>
        <v>0</v>
      </c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3">
        <v>15</v>
      </c>
      <c r="AE30" s="33">
        <f>G30*0.693016666666667</f>
        <v>0</v>
      </c>
      <c r="AF30" s="33">
        <f>G30*(1-0.693016666666667)</f>
        <v>0</v>
      </c>
      <c r="AM30" s="33">
        <f>F30*AE30</f>
        <v>0</v>
      </c>
      <c r="AN30" s="33">
        <f>F30*AF30</f>
        <v>0</v>
      </c>
      <c r="AO30" s="34" t="s">
        <v>440</v>
      </c>
      <c r="AP30" s="34" t="s">
        <v>471</v>
      </c>
      <c r="AQ30" s="25" t="s">
        <v>480</v>
      </c>
    </row>
    <row r="31" spans="1:43" ht="12.75">
      <c r="A31" s="4" t="s">
        <v>19</v>
      </c>
      <c r="B31" s="4"/>
      <c r="C31" s="4" t="s">
        <v>132</v>
      </c>
      <c r="D31" s="4" t="s">
        <v>270</v>
      </c>
      <c r="E31" s="4" t="s">
        <v>400</v>
      </c>
      <c r="F31" s="16">
        <v>39</v>
      </c>
      <c r="G31" s="16"/>
      <c r="H31" s="16">
        <f>F31*AE31</f>
        <v>0</v>
      </c>
      <c r="I31" s="16">
        <f>J31-H31</f>
        <v>0</v>
      </c>
      <c r="J31" s="16">
        <f>F31*G31</f>
        <v>0</v>
      </c>
      <c r="K31" s="16">
        <v>0.01058</v>
      </c>
      <c r="L31" s="16">
        <f>F31*K31</f>
        <v>0.41262000000000004</v>
      </c>
      <c r="M31" s="28" t="s">
        <v>420</v>
      </c>
      <c r="N31" s="28" t="s">
        <v>7</v>
      </c>
      <c r="O31" s="16">
        <f>IF(N31="5",I31,0)</f>
        <v>0</v>
      </c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3">
        <v>15</v>
      </c>
      <c r="AE31" s="33">
        <f>G31*0.673572281959379</f>
        <v>0</v>
      </c>
      <c r="AF31" s="33">
        <f>G31*(1-0.673572281959379)</f>
        <v>0</v>
      </c>
      <c r="AM31" s="33">
        <f>F31*AE31</f>
        <v>0</v>
      </c>
      <c r="AN31" s="33">
        <f>F31*AF31</f>
        <v>0</v>
      </c>
      <c r="AO31" s="34" t="s">
        <v>440</v>
      </c>
      <c r="AP31" s="34" t="s">
        <v>471</v>
      </c>
      <c r="AQ31" s="25" t="s">
        <v>480</v>
      </c>
    </row>
    <row r="32" spans="1:43" ht="12.75">
      <c r="A32" s="4" t="s">
        <v>20</v>
      </c>
      <c r="B32" s="4"/>
      <c r="C32" s="4" t="s">
        <v>133</v>
      </c>
      <c r="D32" s="4" t="s">
        <v>271</v>
      </c>
      <c r="E32" s="4" t="s">
        <v>401</v>
      </c>
      <c r="F32" s="16">
        <v>68</v>
      </c>
      <c r="G32" s="16"/>
      <c r="H32" s="16">
        <f>F32*AE32</f>
        <v>0</v>
      </c>
      <c r="I32" s="16">
        <f>J32-H32</f>
        <v>0</v>
      </c>
      <c r="J32" s="16">
        <f>F32*G32</f>
        <v>0</v>
      </c>
      <c r="K32" s="16">
        <v>0.00034</v>
      </c>
      <c r="L32" s="16">
        <f>F32*K32</f>
        <v>0.02312</v>
      </c>
      <c r="M32" s="28" t="s">
        <v>420</v>
      </c>
      <c r="N32" s="28" t="s">
        <v>7</v>
      </c>
      <c r="O32" s="16">
        <f>IF(N32="5",I32,0)</f>
        <v>0</v>
      </c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3">
        <v>15</v>
      </c>
      <c r="AE32" s="33">
        <f>G32*0.607314285714286</f>
        <v>0</v>
      </c>
      <c r="AF32" s="33">
        <f>G32*(1-0.607314285714286)</f>
        <v>0</v>
      </c>
      <c r="AM32" s="33">
        <f>F32*AE32</f>
        <v>0</v>
      </c>
      <c r="AN32" s="33">
        <f>F32*AF32</f>
        <v>0</v>
      </c>
      <c r="AO32" s="34" t="s">
        <v>440</v>
      </c>
      <c r="AP32" s="34" t="s">
        <v>471</v>
      </c>
      <c r="AQ32" s="25" t="s">
        <v>480</v>
      </c>
    </row>
    <row r="33" spans="1:37" ht="12.75">
      <c r="A33" s="5"/>
      <c r="B33" s="13"/>
      <c r="C33" s="13" t="s">
        <v>69</v>
      </c>
      <c r="D33" s="78" t="s">
        <v>272</v>
      </c>
      <c r="E33" s="79"/>
      <c r="F33" s="79"/>
      <c r="G33" s="79"/>
      <c r="H33" s="36">
        <f>SUM(H34:H34)</f>
        <v>0</v>
      </c>
      <c r="I33" s="36">
        <f>SUM(I34:I34)</f>
        <v>0</v>
      </c>
      <c r="J33" s="36">
        <f>H33+I33</f>
        <v>0</v>
      </c>
      <c r="K33" s="25"/>
      <c r="L33" s="36">
        <f>SUM(L34:L34)</f>
        <v>4.75</v>
      </c>
      <c r="M33" s="25"/>
      <c r="P33" s="36">
        <f>IF(Q33="PR",J33,SUM(O34:O34))</f>
        <v>0</v>
      </c>
      <c r="Q33" s="25" t="s">
        <v>423</v>
      </c>
      <c r="R33" s="36">
        <f>IF(Q33="HS",H33,0)</f>
        <v>0</v>
      </c>
      <c r="S33" s="36">
        <f>IF(Q33="HS",I33-P33,0)</f>
        <v>0</v>
      </c>
      <c r="T33" s="36">
        <f>IF(Q33="PS",H33,0)</f>
        <v>0</v>
      </c>
      <c r="U33" s="36">
        <f>IF(Q33="PS",I33-P33,0)</f>
        <v>0</v>
      </c>
      <c r="V33" s="36">
        <f>IF(Q33="MP",H33,0)</f>
        <v>0</v>
      </c>
      <c r="W33" s="36">
        <f>IF(Q33="MP",I33-P33,0)</f>
        <v>0</v>
      </c>
      <c r="X33" s="36">
        <f>IF(Q33="OM",H33,0)</f>
        <v>0</v>
      </c>
      <c r="Y33" s="25"/>
      <c r="AI33" s="36">
        <f>SUM(Z34:Z34)</f>
        <v>0</v>
      </c>
      <c r="AJ33" s="36">
        <f>SUM(AA34:AA34)</f>
        <v>0</v>
      </c>
      <c r="AK33" s="36">
        <f>SUM(AB34:AB34)</f>
        <v>0</v>
      </c>
    </row>
    <row r="34" spans="1:43" ht="12.75">
      <c r="A34" s="4" t="s">
        <v>21</v>
      </c>
      <c r="B34" s="4"/>
      <c r="C34" s="4" t="s">
        <v>134</v>
      </c>
      <c r="D34" s="4" t="s">
        <v>273</v>
      </c>
      <c r="E34" s="4" t="s">
        <v>402</v>
      </c>
      <c r="F34" s="16">
        <v>1.9</v>
      </c>
      <c r="G34" s="16"/>
      <c r="H34" s="16">
        <f>F34*AE34</f>
        <v>0</v>
      </c>
      <c r="I34" s="16">
        <f>J34-H34</f>
        <v>0</v>
      </c>
      <c r="J34" s="16">
        <f>F34*G34</f>
        <v>0</v>
      </c>
      <c r="K34" s="16">
        <v>2.5</v>
      </c>
      <c r="L34" s="16">
        <f>F34*K34</f>
        <v>4.75</v>
      </c>
      <c r="M34" s="28" t="s">
        <v>420</v>
      </c>
      <c r="N34" s="28" t="s">
        <v>7</v>
      </c>
      <c r="O34" s="16">
        <f>IF(N34="5",I34,0)</f>
        <v>0</v>
      </c>
      <c r="Z34" s="16">
        <f>IF(AD34=0,J34,0)</f>
        <v>0</v>
      </c>
      <c r="AA34" s="16">
        <f>IF(AD34=15,J34,0)</f>
        <v>0</v>
      </c>
      <c r="AB34" s="16">
        <f>IF(AD34=21,J34,0)</f>
        <v>0</v>
      </c>
      <c r="AD34" s="33">
        <v>15</v>
      </c>
      <c r="AE34" s="33">
        <f>G34*0.549220002418597</f>
        <v>0</v>
      </c>
      <c r="AF34" s="33">
        <f>G34*(1-0.549220002418597)</f>
        <v>0</v>
      </c>
      <c r="AM34" s="33">
        <f>F34*AE34</f>
        <v>0</v>
      </c>
      <c r="AN34" s="33">
        <f>F34*AF34</f>
        <v>0</v>
      </c>
      <c r="AO34" s="34" t="s">
        <v>441</v>
      </c>
      <c r="AP34" s="34" t="s">
        <v>471</v>
      </c>
      <c r="AQ34" s="25" t="s">
        <v>480</v>
      </c>
    </row>
    <row r="35" spans="1:37" ht="12.75">
      <c r="A35" s="5"/>
      <c r="B35" s="13"/>
      <c r="C35" s="13" t="s">
        <v>70</v>
      </c>
      <c r="D35" s="78" t="s">
        <v>274</v>
      </c>
      <c r="E35" s="79"/>
      <c r="F35" s="79"/>
      <c r="G35" s="79"/>
      <c r="H35" s="36">
        <f>SUM(H36:H37)</f>
        <v>0</v>
      </c>
      <c r="I35" s="36">
        <f>SUM(I36:I37)</f>
        <v>0</v>
      </c>
      <c r="J35" s="36">
        <f>H35+I35</f>
        <v>0</v>
      </c>
      <c r="K35" s="25"/>
      <c r="L35" s="36">
        <f>SUM(L36:L37)</f>
        <v>0.31678</v>
      </c>
      <c r="M35" s="25"/>
      <c r="P35" s="36">
        <f>IF(Q35="PR",J35,SUM(O36:O37))</f>
        <v>0</v>
      </c>
      <c r="Q35" s="25" t="s">
        <v>423</v>
      </c>
      <c r="R35" s="36">
        <f>IF(Q35="HS",H35,0)</f>
        <v>0</v>
      </c>
      <c r="S35" s="36">
        <f>IF(Q35="HS",I35-P35,0)</f>
        <v>0</v>
      </c>
      <c r="T35" s="36">
        <f>IF(Q35="PS",H35,0)</f>
        <v>0</v>
      </c>
      <c r="U35" s="36">
        <f>IF(Q35="PS",I35-P35,0)</f>
        <v>0</v>
      </c>
      <c r="V35" s="36">
        <f>IF(Q35="MP",H35,0)</f>
        <v>0</v>
      </c>
      <c r="W35" s="36">
        <f>IF(Q35="MP",I35-P35,0)</f>
        <v>0</v>
      </c>
      <c r="X35" s="36">
        <f>IF(Q35="OM",H35,0)</f>
        <v>0</v>
      </c>
      <c r="Y35" s="25"/>
      <c r="AI35" s="36">
        <f>SUM(Z36:Z37)</f>
        <v>0</v>
      </c>
      <c r="AJ35" s="36">
        <f>SUM(AA36:AA37)</f>
        <v>0</v>
      </c>
      <c r="AK35" s="36">
        <f>SUM(AB36:AB37)</f>
        <v>0</v>
      </c>
    </row>
    <row r="36" spans="1:43" ht="12.75">
      <c r="A36" s="4" t="s">
        <v>22</v>
      </c>
      <c r="B36" s="4"/>
      <c r="C36" s="4" t="s">
        <v>135</v>
      </c>
      <c r="D36" s="4" t="s">
        <v>275</v>
      </c>
      <c r="E36" s="4" t="s">
        <v>403</v>
      </c>
      <c r="F36" s="16">
        <v>9</v>
      </c>
      <c r="G36" s="16"/>
      <c r="H36" s="16">
        <f>F36*AE36</f>
        <v>0</v>
      </c>
      <c r="I36" s="16">
        <f>J36-H36</f>
        <v>0</v>
      </c>
      <c r="J36" s="16">
        <f>F36*G36</f>
        <v>0</v>
      </c>
      <c r="K36" s="16">
        <v>0.02897</v>
      </c>
      <c r="L36" s="16">
        <f>F36*K36</f>
        <v>0.26073</v>
      </c>
      <c r="M36" s="28" t="s">
        <v>420</v>
      </c>
      <c r="N36" s="28" t="s">
        <v>7</v>
      </c>
      <c r="O36" s="16">
        <f>IF(N36="5",I36,0)</f>
        <v>0</v>
      </c>
      <c r="Z36" s="16">
        <f>IF(AD36=0,J36,0)</f>
        <v>0</v>
      </c>
      <c r="AA36" s="16">
        <f>IF(AD36=15,J36,0)</f>
        <v>0</v>
      </c>
      <c r="AB36" s="16">
        <f>IF(AD36=21,J36,0)</f>
        <v>0</v>
      </c>
      <c r="AD36" s="33">
        <v>15</v>
      </c>
      <c r="AE36" s="33">
        <f>G36*0.577294874431734</f>
        <v>0</v>
      </c>
      <c r="AF36" s="33">
        <f>G36*(1-0.577294874431734)</f>
        <v>0</v>
      </c>
      <c r="AM36" s="33">
        <f>F36*AE36</f>
        <v>0</v>
      </c>
      <c r="AN36" s="33">
        <f>F36*AF36</f>
        <v>0</v>
      </c>
      <c r="AO36" s="34" t="s">
        <v>442</v>
      </c>
      <c r="AP36" s="34" t="s">
        <v>471</v>
      </c>
      <c r="AQ36" s="25" t="s">
        <v>480</v>
      </c>
    </row>
    <row r="37" spans="1:43" ht="12.75">
      <c r="A37" s="4" t="s">
        <v>23</v>
      </c>
      <c r="B37" s="4"/>
      <c r="C37" s="4" t="s">
        <v>136</v>
      </c>
      <c r="D37" s="4" t="s">
        <v>276</v>
      </c>
      <c r="E37" s="4" t="s">
        <v>403</v>
      </c>
      <c r="F37" s="16">
        <v>1</v>
      </c>
      <c r="G37" s="16"/>
      <c r="H37" s="16">
        <f>F37*AE37</f>
        <v>0</v>
      </c>
      <c r="I37" s="16">
        <f>J37-H37</f>
        <v>0</v>
      </c>
      <c r="J37" s="16">
        <f>F37*G37</f>
        <v>0</v>
      </c>
      <c r="K37" s="16">
        <v>0.05605</v>
      </c>
      <c r="L37" s="16">
        <f>F37*K37</f>
        <v>0.05605</v>
      </c>
      <c r="M37" s="28" t="s">
        <v>420</v>
      </c>
      <c r="N37" s="28" t="s">
        <v>7</v>
      </c>
      <c r="O37" s="16">
        <f>IF(N37="5",I37,0)</f>
        <v>0</v>
      </c>
      <c r="Z37" s="16">
        <f>IF(AD37=0,J37,0)</f>
        <v>0</v>
      </c>
      <c r="AA37" s="16">
        <f>IF(AD37=15,J37,0)</f>
        <v>0</v>
      </c>
      <c r="AB37" s="16">
        <f>IF(AD37=21,J37,0)</f>
        <v>0</v>
      </c>
      <c r="AD37" s="33">
        <v>15</v>
      </c>
      <c r="AE37" s="33">
        <f>G37*0.589515938606848</f>
        <v>0</v>
      </c>
      <c r="AF37" s="33">
        <f>G37*(1-0.589515938606848)</f>
        <v>0</v>
      </c>
      <c r="AM37" s="33">
        <f>F37*AE37</f>
        <v>0</v>
      </c>
      <c r="AN37" s="33">
        <f>F37*AF37</f>
        <v>0</v>
      </c>
      <c r="AO37" s="34" t="s">
        <v>442</v>
      </c>
      <c r="AP37" s="34" t="s">
        <v>471</v>
      </c>
      <c r="AQ37" s="25" t="s">
        <v>480</v>
      </c>
    </row>
    <row r="38" spans="1:37" ht="12.75">
      <c r="A38" s="5"/>
      <c r="B38" s="13"/>
      <c r="C38" s="13" t="s">
        <v>137</v>
      </c>
      <c r="D38" s="78" t="s">
        <v>277</v>
      </c>
      <c r="E38" s="79"/>
      <c r="F38" s="79"/>
      <c r="G38" s="79"/>
      <c r="H38" s="36">
        <f>SUM(H39:H39)</f>
        <v>0</v>
      </c>
      <c r="I38" s="36">
        <f>SUM(I39:I39)</f>
        <v>0</v>
      </c>
      <c r="J38" s="36">
        <f>H38+I38</f>
        <v>0</v>
      </c>
      <c r="K38" s="25"/>
      <c r="L38" s="36">
        <f>SUM(L39:L39)</f>
        <v>2.4602500000000003</v>
      </c>
      <c r="M38" s="25"/>
      <c r="P38" s="36">
        <f>IF(Q38="PR",J38,SUM(O39:O39))</f>
        <v>0</v>
      </c>
      <c r="Q38" s="25" t="s">
        <v>424</v>
      </c>
      <c r="R38" s="36">
        <f>IF(Q38="HS",H38,0)</f>
        <v>0</v>
      </c>
      <c r="S38" s="36">
        <f>IF(Q38="HS",I38-P38,0)</f>
        <v>0</v>
      </c>
      <c r="T38" s="36">
        <f>IF(Q38="PS",H38,0)</f>
        <v>0</v>
      </c>
      <c r="U38" s="36">
        <f>IF(Q38="PS",I38-P38,0)</f>
        <v>0</v>
      </c>
      <c r="V38" s="36">
        <f>IF(Q38="MP",H38,0)</f>
        <v>0</v>
      </c>
      <c r="W38" s="36">
        <f>IF(Q38="MP",I38-P38,0)</f>
        <v>0</v>
      </c>
      <c r="X38" s="36">
        <f>IF(Q38="OM",H38,0)</f>
        <v>0</v>
      </c>
      <c r="Y38" s="25"/>
      <c r="AI38" s="36">
        <f>SUM(Z39:Z39)</f>
        <v>0</v>
      </c>
      <c r="AJ38" s="36">
        <f>SUM(AA39:AA39)</f>
        <v>0</v>
      </c>
      <c r="AK38" s="36">
        <f>SUM(AB39:AB39)</f>
        <v>0</v>
      </c>
    </row>
    <row r="39" spans="1:43" ht="12.75">
      <c r="A39" s="4" t="s">
        <v>24</v>
      </c>
      <c r="B39" s="4"/>
      <c r="C39" s="4" t="s">
        <v>138</v>
      </c>
      <c r="D39" s="4" t="s">
        <v>278</v>
      </c>
      <c r="E39" s="4" t="s">
        <v>400</v>
      </c>
      <c r="F39" s="16">
        <v>325</v>
      </c>
      <c r="G39" s="16"/>
      <c r="H39" s="16">
        <f>F39*AE39</f>
        <v>0</v>
      </c>
      <c r="I39" s="16">
        <f>J39-H39</f>
        <v>0</v>
      </c>
      <c r="J39" s="16">
        <f>F39*G39</f>
        <v>0</v>
      </c>
      <c r="K39" s="16">
        <v>0.00757</v>
      </c>
      <c r="L39" s="16">
        <f>F39*K39</f>
        <v>2.4602500000000003</v>
      </c>
      <c r="M39" s="28" t="s">
        <v>420</v>
      </c>
      <c r="N39" s="28" t="s">
        <v>7</v>
      </c>
      <c r="O39" s="16">
        <f>IF(N39="5",I39,0)</f>
        <v>0</v>
      </c>
      <c r="Z39" s="16">
        <f>IF(AD39=0,J39,0)</f>
        <v>0</v>
      </c>
      <c r="AA39" s="16">
        <f>IF(AD39=15,J39,0)</f>
        <v>0</v>
      </c>
      <c r="AB39" s="16">
        <f>IF(AD39=21,J39,0)</f>
        <v>0</v>
      </c>
      <c r="AD39" s="33">
        <v>15</v>
      </c>
      <c r="AE39" s="33">
        <f>G39*0.733463414634146</f>
        <v>0</v>
      </c>
      <c r="AF39" s="33">
        <f>G39*(1-0.733463414634146)</f>
        <v>0</v>
      </c>
      <c r="AM39" s="33">
        <f>F39*AE39</f>
        <v>0</v>
      </c>
      <c r="AN39" s="33">
        <f>F39*AF39</f>
        <v>0</v>
      </c>
      <c r="AO39" s="34" t="s">
        <v>443</v>
      </c>
      <c r="AP39" s="34" t="s">
        <v>472</v>
      </c>
      <c r="AQ39" s="25" t="s">
        <v>480</v>
      </c>
    </row>
    <row r="40" spans="1:37" ht="12.75">
      <c r="A40" s="5"/>
      <c r="B40" s="13"/>
      <c r="C40" s="13" t="s">
        <v>139</v>
      </c>
      <c r="D40" s="78" t="s">
        <v>279</v>
      </c>
      <c r="E40" s="79"/>
      <c r="F40" s="79"/>
      <c r="G40" s="79"/>
      <c r="H40" s="36">
        <f>SUM(H41:H42)</f>
        <v>0</v>
      </c>
      <c r="I40" s="36">
        <f>SUM(I41:I42)</f>
        <v>0</v>
      </c>
      <c r="J40" s="36">
        <f>H40+I40</f>
        <v>0</v>
      </c>
      <c r="K40" s="25"/>
      <c r="L40" s="36">
        <f>SUM(L41:L42)</f>
        <v>0.00396</v>
      </c>
      <c r="M40" s="25"/>
      <c r="P40" s="36">
        <f>IF(Q40="PR",J40,SUM(O41:O42))</f>
        <v>0</v>
      </c>
      <c r="Q40" s="25" t="s">
        <v>424</v>
      </c>
      <c r="R40" s="36">
        <f>IF(Q40="HS",H40,0)</f>
        <v>0</v>
      </c>
      <c r="S40" s="36">
        <f>IF(Q40="HS",I40-P40,0)</f>
        <v>0</v>
      </c>
      <c r="T40" s="36">
        <f>IF(Q40="PS",H40,0)</f>
        <v>0</v>
      </c>
      <c r="U40" s="36">
        <f>IF(Q40="PS",I40-P40,0)</f>
        <v>0</v>
      </c>
      <c r="V40" s="36">
        <f>IF(Q40="MP",H40,0)</f>
        <v>0</v>
      </c>
      <c r="W40" s="36">
        <f>IF(Q40="MP",I40-P40,0)</f>
        <v>0</v>
      </c>
      <c r="X40" s="36">
        <f>IF(Q40="OM",H40,0)</f>
        <v>0</v>
      </c>
      <c r="Y40" s="25"/>
      <c r="AI40" s="36">
        <f>SUM(Z41:Z42)</f>
        <v>0</v>
      </c>
      <c r="AJ40" s="36">
        <f>SUM(AA41:AA42)</f>
        <v>0</v>
      </c>
      <c r="AK40" s="36">
        <f>SUM(AB41:AB42)</f>
        <v>0</v>
      </c>
    </row>
    <row r="41" spans="1:43" ht="12.75">
      <c r="A41" s="4" t="s">
        <v>25</v>
      </c>
      <c r="B41" s="4"/>
      <c r="C41" s="4" t="s">
        <v>140</v>
      </c>
      <c r="D41" s="4" t="s">
        <v>280</v>
      </c>
      <c r="E41" s="4" t="s">
        <v>404</v>
      </c>
      <c r="F41" s="16">
        <v>1</v>
      </c>
      <c r="G41" s="16"/>
      <c r="H41" s="16">
        <f>F41*AE41</f>
        <v>0</v>
      </c>
      <c r="I41" s="16">
        <f>J41-H41</f>
        <v>0</v>
      </c>
      <c r="J41" s="16">
        <f>F41*G41</f>
        <v>0</v>
      </c>
      <c r="K41" s="16">
        <v>0.0025</v>
      </c>
      <c r="L41" s="16">
        <f>F41*K41</f>
        <v>0.0025</v>
      </c>
      <c r="M41" s="28" t="s">
        <v>420</v>
      </c>
      <c r="N41" s="28" t="s">
        <v>7</v>
      </c>
      <c r="O41" s="16">
        <f>IF(N41="5",I41,0)</f>
        <v>0</v>
      </c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3">
        <v>15</v>
      </c>
      <c r="AE41" s="33">
        <f>G41*0.531634920634921</f>
        <v>0</v>
      </c>
      <c r="AF41" s="33">
        <f>G41*(1-0.531634920634921)</f>
        <v>0</v>
      </c>
      <c r="AM41" s="33">
        <f>F41*AE41</f>
        <v>0</v>
      </c>
      <c r="AN41" s="33">
        <f>F41*AF41</f>
        <v>0</v>
      </c>
      <c r="AO41" s="34" t="s">
        <v>444</v>
      </c>
      <c r="AP41" s="34" t="s">
        <v>473</v>
      </c>
      <c r="AQ41" s="25" t="s">
        <v>480</v>
      </c>
    </row>
    <row r="42" spans="1:43" ht="12.75">
      <c r="A42" s="4" t="s">
        <v>26</v>
      </c>
      <c r="B42" s="4"/>
      <c r="C42" s="4" t="s">
        <v>141</v>
      </c>
      <c r="D42" s="4" t="s">
        <v>281</v>
      </c>
      <c r="E42" s="4" t="s">
        <v>398</v>
      </c>
      <c r="F42" s="16">
        <v>1</v>
      </c>
      <c r="G42" s="16"/>
      <c r="H42" s="16">
        <f>F42*AE42</f>
        <v>0</v>
      </c>
      <c r="I42" s="16">
        <f>J42-H42</f>
        <v>0</v>
      </c>
      <c r="J42" s="16">
        <f>F42*G42</f>
        <v>0</v>
      </c>
      <c r="K42" s="16">
        <v>0.00146</v>
      </c>
      <c r="L42" s="16">
        <f>F42*K42</f>
        <v>0.00146</v>
      </c>
      <c r="M42" s="28" t="s">
        <v>420</v>
      </c>
      <c r="N42" s="28" t="s">
        <v>7</v>
      </c>
      <c r="O42" s="16">
        <f>IF(N42="5",I42,0)</f>
        <v>0</v>
      </c>
      <c r="Z42" s="16">
        <f>IF(AD42=0,J42,0)</f>
        <v>0</v>
      </c>
      <c r="AA42" s="16">
        <f>IF(AD42=15,J42,0)</f>
        <v>0</v>
      </c>
      <c r="AB42" s="16">
        <f>IF(AD42=21,J42,0)</f>
        <v>0</v>
      </c>
      <c r="AD42" s="33">
        <v>15</v>
      </c>
      <c r="AE42" s="33">
        <f>G42*0.0791301694915254</f>
        <v>0</v>
      </c>
      <c r="AF42" s="33">
        <f>G42*(1-0.0791301694915254)</f>
        <v>0</v>
      </c>
      <c r="AM42" s="33">
        <f>F42*AE42</f>
        <v>0</v>
      </c>
      <c r="AN42" s="33">
        <f>F42*AF42</f>
        <v>0</v>
      </c>
      <c r="AO42" s="34" t="s">
        <v>444</v>
      </c>
      <c r="AP42" s="34" t="s">
        <v>473</v>
      </c>
      <c r="AQ42" s="25" t="s">
        <v>480</v>
      </c>
    </row>
    <row r="43" spans="1:37" ht="12.75">
      <c r="A43" s="5"/>
      <c r="B43" s="13"/>
      <c r="C43" s="13" t="s">
        <v>142</v>
      </c>
      <c r="D43" s="78" t="s">
        <v>282</v>
      </c>
      <c r="E43" s="79"/>
      <c r="F43" s="79"/>
      <c r="G43" s="79"/>
      <c r="H43" s="36">
        <f>SUM(H44:H45)</f>
        <v>0</v>
      </c>
      <c r="I43" s="36">
        <f>SUM(I44:I45)</f>
        <v>0</v>
      </c>
      <c r="J43" s="36">
        <f>H43+I43</f>
        <v>0</v>
      </c>
      <c r="K43" s="25"/>
      <c r="L43" s="36">
        <f>SUM(L44:L45)</f>
        <v>0.06086</v>
      </c>
      <c r="M43" s="25"/>
      <c r="P43" s="36">
        <f>IF(Q43="PR",J43,SUM(O44:O45))</f>
        <v>0</v>
      </c>
      <c r="Q43" s="25" t="s">
        <v>424</v>
      </c>
      <c r="R43" s="36">
        <f>IF(Q43="HS",H43,0)</f>
        <v>0</v>
      </c>
      <c r="S43" s="36">
        <f>IF(Q43="HS",I43-P43,0)</f>
        <v>0</v>
      </c>
      <c r="T43" s="36">
        <f>IF(Q43="PS",H43,0)</f>
        <v>0</v>
      </c>
      <c r="U43" s="36">
        <f>IF(Q43="PS",I43-P43,0)</f>
        <v>0</v>
      </c>
      <c r="V43" s="36">
        <f>IF(Q43="MP",H43,0)</f>
        <v>0</v>
      </c>
      <c r="W43" s="36">
        <f>IF(Q43="MP",I43-P43,0)</f>
        <v>0</v>
      </c>
      <c r="X43" s="36">
        <f>IF(Q43="OM",H43,0)</f>
        <v>0</v>
      </c>
      <c r="Y43" s="25"/>
      <c r="AI43" s="36">
        <f>SUM(Z44:Z45)</f>
        <v>0</v>
      </c>
      <c r="AJ43" s="36">
        <f>SUM(AA44:AA45)</f>
        <v>0</v>
      </c>
      <c r="AK43" s="36">
        <f>SUM(AB44:AB45)</f>
        <v>0</v>
      </c>
    </row>
    <row r="44" spans="1:43" ht="12.75">
      <c r="A44" s="4" t="s">
        <v>27</v>
      </c>
      <c r="B44" s="4"/>
      <c r="C44" s="4" t="s">
        <v>143</v>
      </c>
      <c r="D44" s="4" t="s">
        <v>283</v>
      </c>
      <c r="E44" s="4" t="s">
        <v>398</v>
      </c>
      <c r="F44" s="16">
        <v>1</v>
      </c>
      <c r="G44" s="16"/>
      <c r="H44" s="16">
        <f>F44*AE44</f>
        <v>0</v>
      </c>
      <c r="I44" s="16">
        <f>J44-H44</f>
        <v>0</v>
      </c>
      <c r="J44" s="16">
        <f>F44*G44</f>
        <v>0</v>
      </c>
      <c r="K44" s="16">
        <v>0.00059</v>
      </c>
      <c r="L44" s="16">
        <f>F44*K44</f>
        <v>0.00059</v>
      </c>
      <c r="M44" s="28" t="s">
        <v>420</v>
      </c>
      <c r="N44" s="28" t="s">
        <v>7</v>
      </c>
      <c r="O44" s="16">
        <f>IF(N44="5",I44,0)</f>
        <v>0</v>
      </c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3">
        <v>15</v>
      </c>
      <c r="AE44" s="33">
        <f>G44*0.391022424242424</f>
        <v>0</v>
      </c>
      <c r="AF44" s="33">
        <f>G44*(1-0.391022424242424)</f>
        <v>0</v>
      </c>
      <c r="AM44" s="33">
        <f>F44*AE44</f>
        <v>0</v>
      </c>
      <c r="AN44" s="33">
        <f>F44*AF44</f>
        <v>0</v>
      </c>
      <c r="AO44" s="34" t="s">
        <v>445</v>
      </c>
      <c r="AP44" s="34" t="s">
        <v>473</v>
      </c>
      <c r="AQ44" s="25" t="s">
        <v>480</v>
      </c>
    </row>
    <row r="45" spans="1:43" ht="12.75">
      <c r="A45" s="4" t="s">
        <v>28</v>
      </c>
      <c r="B45" s="4"/>
      <c r="C45" s="4" t="s">
        <v>144</v>
      </c>
      <c r="D45" s="4" t="s">
        <v>284</v>
      </c>
      <c r="E45" s="4" t="s">
        <v>398</v>
      </c>
      <c r="F45" s="16">
        <v>1</v>
      </c>
      <c r="G45" s="16"/>
      <c r="H45" s="16">
        <f>F45*AE45</f>
        <v>0</v>
      </c>
      <c r="I45" s="16">
        <f>J45-H45</f>
        <v>0</v>
      </c>
      <c r="J45" s="16">
        <f>F45*G45</f>
        <v>0</v>
      </c>
      <c r="K45" s="16">
        <v>0.06027</v>
      </c>
      <c r="L45" s="16">
        <f>F45*K45</f>
        <v>0.06027</v>
      </c>
      <c r="M45" s="28" t="s">
        <v>420</v>
      </c>
      <c r="N45" s="28" t="s">
        <v>7</v>
      </c>
      <c r="O45" s="16">
        <f>IF(N45="5",I45,0)</f>
        <v>0</v>
      </c>
      <c r="Z45" s="16">
        <f>IF(AD45=0,J45,0)</f>
        <v>0</v>
      </c>
      <c r="AA45" s="16">
        <f>IF(AD45=15,J45,0)</f>
        <v>0</v>
      </c>
      <c r="AB45" s="16">
        <f>IF(AD45=21,J45,0)</f>
        <v>0</v>
      </c>
      <c r="AD45" s="33">
        <v>15</v>
      </c>
      <c r="AE45" s="33">
        <f>G45*0.944753613445378</f>
        <v>0</v>
      </c>
      <c r="AF45" s="33">
        <f>G45*(1-0.944753613445378)</f>
        <v>0</v>
      </c>
      <c r="AM45" s="33">
        <f>F45*AE45</f>
        <v>0</v>
      </c>
      <c r="AN45" s="33">
        <f>F45*AF45</f>
        <v>0</v>
      </c>
      <c r="AO45" s="34" t="s">
        <v>445</v>
      </c>
      <c r="AP45" s="34" t="s">
        <v>473</v>
      </c>
      <c r="AQ45" s="25" t="s">
        <v>480</v>
      </c>
    </row>
    <row r="46" spans="1:37" ht="12.75">
      <c r="A46" s="5"/>
      <c r="B46" s="13"/>
      <c r="C46" s="13" t="s">
        <v>145</v>
      </c>
      <c r="D46" s="78" t="s">
        <v>285</v>
      </c>
      <c r="E46" s="79"/>
      <c r="F46" s="79"/>
      <c r="G46" s="79"/>
      <c r="H46" s="36">
        <f>SUM(H47:H49)</f>
        <v>0</v>
      </c>
      <c r="I46" s="36">
        <f>SUM(I47:I49)</f>
        <v>0</v>
      </c>
      <c r="J46" s="36">
        <f>H46+I46</f>
        <v>0</v>
      </c>
      <c r="K46" s="25"/>
      <c r="L46" s="36">
        <f>SUM(L47:L49)</f>
        <v>0.16077</v>
      </c>
      <c r="M46" s="25"/>
      <c r="P46" s="36">
        <f>IF(Q46="PR",J46,SUM(O47:O49))</f>
        <v>0</v>
      </c>
      <c r="Q46" s="25" t="s">
        <v>424</v>
      </c>
      <c r="R46" s="36">
        <f>IF(Q46="HS",H46,0)</f>
        <v>0</v>
      </c>
      <c r="S46" s="36">
        <f>IF(Q46="HS",I46-P46,0)</f>
        <v>0</v>
      </c>
      <c r="T46" s="36">
        <f>IF(Q46="PS",H46,0)</f>
        <v>0</v>
      </c>
      <c r="U46" s="36">
        <f>IF(Q46="PS",I46-P46,0)</f>
        <v>0</v>
      </c>
      <c r="V46" s="36">
        <f>IF(Q46="MP",H46,0)</f>
        <v>0</v>
      </c>
      <c r="W46" s="36">
        <f>IF(Q46="MP",I46-P46,0)</f>
        <v>0</v>
      </c>
      <c r="X46" s="36">
        <f>IF(Q46="OM",H46,0)</f>
        <v>0</v>
      </c>
      <c r="Y46" s="25"/>
      <c r="AI46" s="36">
        <f>SUM(Z47:Z49)</f>
        <v>0</v>
      </c>
      <c r="AJ46" s="36">
        <f>SUM(AA47:AA49)</f>
        <v>0</v>
      </c>
      <c r="AK46" s="36">
        <f>SUM(AB47:AB49)</f>
        <v>0</v>
      </c>
    </row>
    <row r="47" spans="1:43" ht="12.75">
      <c r="A47" s="4" t="s">
        <v>29</v>
      </c>
      <c r="B47" s="4"/>
      <c r="C47" s="4" t="s">
        <v>146</v>
      </c>
      <c r="D47" s="4" t="s">
        <v>286</v>
      </c>
      <c r="E47" s="4" t="s">
        <v>404</v>
      </c>
      <c r="F47" s="16">
        <v>1</v>
      </c>
      <c r="G47" s="16"/>
      <c r="H47" s="16">
        <f>F47*AE47</f>
        <v>0</v>
      </c>
      <c r="I47" s="16">
        <f>J47-H47</f>
        <v>0</v>
      </c>
      <c r="J47" s="16">
        <f>F47*G47</f>
        <v>0</v>
      </c>
      <c r="K47" s="16">
        <v>0.1429</v>
      </c>
      <c r="L47" s="16">
        <f>F47*K47</f>
        <v>0.1429</v>
      </c>
      <c r="M47" s="28" t="s">
        <v>420</v>
      </c>
      <c r="N47" s="28" t="s">
        <v>7</v>
      </c>
      <c r="O47" s="16">
        <f>IF(N47="5",I47,0)</f>
        <v>0</v>
      </c>
      <c r="Z47" s="16">
        <f>IF(AD47=0,J47,0)</f>
        <v>0</v>
      </c>
      <c r="AA47" s="16">
        <f>IF(AD47=15,J47,0)</f>
        <v>0</v>
      </c>
      <c r="AB47" s="16">
        <f>IF(AD47=21,J47,0)</f>
        <v>0</v>
      </c>
      <c r="AD47" s="33">
        <v>15</v>
      </c>
      <c r="AE47" s="33">
        <f>G47*0.931107843137255</f>
        <v>0</v>
      </c>
      <c r="AF47" s="33">
        <f>G47*(1-0.931107843137255)</f>
        <v>0</v>
      </c>
      <c r="AM47" s="33">
        <f>F47*AE47</f>
        <v>0</v>
      </c>
      <c r="AN47" s="33">
        <f>F47*AF47</f>
        <v>0</v>
      </c>
      <c r="AO47" s="34" t="s">
        <v>446</v>
      </c>
      <c r="AP47" s="34" t="s">
        <v>473</v>
      </c>
      <c r="AQ47" s="25" t="s">
        <v>480</v>
      </c>
    </row>
    <row r="48" spans="1:43" ht="12.75">
      <c r="A48" s="4" t="s">
        <v>30</v>
      </c>
      <c r="B48" s="4"/>
      <c r="C48" s="4" t="s">
        <v>147</v>
      </c>
      <c r="D48" s="4" t="s">
        <v>287</v>
      </c>
      <c r="E48" s="4" t="s">
        <v>398</v>
      </c>
      <c r="F48" s="16">
        <v>1</v>
      </c>
      <c r="G48" s="16"/>
      <c r="H48" s="16">
        <f>F48*AE48</f>
        <v>0</v>
      </c>
      <c r="I48" s="16">
        <f>J48-H48</f>
        <v>0</v>
      </c>
      <c r="J48" s="16">
        <f>F48*G48</f>
        <v>0</v>
      </c>
      <c r="K48" s="16">
        <v>0.00822</v>
      </c>
      <c r="L48" s="16">
        <f>F48*K48</f>
        <v>0.00822</v>
      </c>
      <c r="M48" s="28" t="s">
        <v>420</v>
      </c>
      <c r="N48" s="28" t="s">
        <v>7</v>
      </c>
      <c r="O48" s="16">
        <f>IF(N48="5",I48,0)</f>
        <v>0</v>
      </c>
      <c r="Z48" s="16">
        <f>IF(AD48=0,J48,0)</f>
        <v>0</v>
      </c>
      <c r="AA48" s="16">
        <f>IF(AD48=15,J48,0)</f>
        <v>0</v>
      </c>
      <c r="AB48" s="16">
        <f>IF(AD48=21,J48,0)</f>
        <v>0</v>
      </c>
      <c r="AD48" s="33">
        <v>15</v>
      </c>
      <c r="AE48" s="33">
        <f>G48*0.368648666666667</f>
        <v>0</v>
      </c>
      <c r="AF48" s="33">
        <f>G48*(1-0.368648666666667)</f>
        <v>0</v>
      </c>
      <c r="AM48" s="33">
        <f>F48*AE48</f>
        <v>0</v>
      </c>
      <c r="AN48" s="33">
        <f>F48*AF48</f>
        <v>0</v>
      </c>
      <c r="AO48" s="34" t="s">
        <v>446</v>
      </c>
      <c r="AP48" s="34" t="s">
        <v>473</v>
      </c>
      <c r="AQ48" s="25" t="s">
        <v>480</v>
      </c>
    </row>
    <row r="49" spans="1:43" ht="12.75">
      <c r="A49" s="4" t="s">
        <v>31</v>
      </c>
      <c r="B49" s="4"/>
      <c r="C49" s="4" t="s">
        <v>148</v>
      </c>
      <c r="D49" s="4" t="s">
        <v>288</v>
      </c>
      <c r="E49" s="4" t="s">
        <v>398</v>
      </c>
      <c r="F49" s="16">
        <v>1</v>
      </c>
      <c r="G49" s="16"/>
      <c r="H49" s="16">
        <f>F49*AE49</f>
        <v>0</v>
      </c>
      <c r="I49" s="16">
        <f>J49-H49</f>
        <v>0</v>
      </c>
      <c r="J49" s="16">
        <f>F49*G49</f>
        <v>0</v>
      </c>
      <c r="K49" s="16">
        <v>0.00965</v>
      </c>
      <c r="L49" s="16">
        <f>F49*K49</f>
        <v>0.00965</v>
      </c>
      <c r="M49" s="28" t="s">
        <v>420</v>
      </c>
      <c r="N49" s="28" t="s">
        <v>7</v>
      </c>
      <c r="O49" s="16">
        <f>IF(N49="5",I49,0)</f>
        <v>0</v>
      </c>
      <c r="Z49" s="16">
        <f>IF(AD49=0,J49,0)</f>
        <v>0</v>
      </c>
      <c r="AA49" s="16">
        <f>IF(AD49=15,J49,0)</f>
        <v>0</v>
      </c>
      <c r="AB49" s="16">
        <f>IF(AD49=21,J49,0)</f>
        <v>0</v>
      </c>
      <c r="AD49" s="33">
        <v>15</v>
      </c>
      <c r="AE49" s="33">
        <f>G49*0.469753333333333</f>
        <v>0</v>
      </c>
      <c r="AF49" s="33">
        <f>G49*(1-0.469753333333333)</f>
        <v>0</v>
      </c>
      <c r="AM49" s="33">
        <f>F49*AE49</f>
        <v>0</v>
      </c>
      <c r="AN49" s="33">
        <f>F49*AF49</f>
        <v>0</v>
      </c>
      <c r="AO49" s="34" t="s">
        <v>446</v>
      </c>
      <c r="AP49" s="34" t="s">
        <v>473</v>
      </c>
      <c r="AQ49" s="25" t="s">
        <v>480</v>
      </c>
    </row>
    <row r="50" spans="1:37" ht="12.75">
      <c r="A50" s="5"/>
      <c r="B50" s="13"/>
      <c r="C50" s="13" t="s">
        <v>149</v>
      </c>
      <c r="D50" s="78" t="s">
        <v>289</v>
      </c>
      <c r="E50" s="79"/>
      <c r="F50" s="79"/>
      <c r="G50" s="79"/>
      <c r="H50" s="36">
        <f>SUM(H51:H64)</f>
        <v>0</v>
      </c>
      <c r="I50" s="36">
        <f>SUM(I51:I64)</f>
        <v>0</v>
      </c>
      <c r="J50" s="36">
        <f>H50+I50</f>
        <v>0</v>
      </c>
      <c r="K50" s="25"/>
      <c r="L50" s="36">
        <f>SUM(L51:L64)</f>
        <v>0.39438999999999996</v>
      </c>
      <c r="M50" s="25"/>
      <c r="P50" s="36">
        <f>IF(Q50="PR",J50,SUM(O51:O64))</f>
        <v>0</v>
      </c>
      <c r="Q50" s="25" t="s">
        <v>424</v>
      </c>
      <c r="R50" s="36">
        <f>IF(Q50="HS",H50,0)</f>
        <v>0</v>
      </c>
      <c r="S50" s="36">
        <f>IF(Q50="HS",I50-P50,0)</f>
        <v>0</v>
      </c>
      <c r="T50" s="36">
        <f>IF(Q50="PS",H50,0)</f>
        <v>0</v>
      </c>
      <c r="U50" s="36">
        <f>IF(Q50="PS",I50-P50,0)</f>
        <v>0</v>
      </c>
      <c r="V50" s="36">
        <f>IF(Q50="MP",H50,0)</f>
        <v>0</v>
      </c>
      <c r="W50" s="36">
        <f>IF(Q50="MP",I50-P50,0)</f>
        <v>0</v>
      </c>
      <c r="X50" s="36">
        <f>IF(Q50="OM",H50,0)</f>
        <v>0</v>
      </c>
      <c r="Y50" s="25"/>
      <c r="AI50" s="36">
        <f>SUM(Z51:Z64)</f>
        <v>0</v>
      </c>
      <c r="AJ50" s="36">
        <f>SUM(AA51:AA64)</f>
        <v>0</v>
      </c>
      <c r="AK50" s="36">
        <f>SUM(AB51:AB64)</f>
        <v>0</v>
      </c>
    </row>
    <row r="51" spans="1:43" ht="12.75">
      <c r="A51" s="4" t="s">
        <v>32</v>
      </c>
      <c r="B51" s="4"/>
      <c r="C51" s="4" t="s">
        <v>150</v>
      </c>
      <c r="D51" s="4" t="s">
        <v>290</v>
      </c>
      <c r="E51" s="4" t="s">
        <v>404</v>
      </c>
      <c r="F51" s="16">
        <v>3</v>
      </c>
      <c r="G51" s="16"/>
      <c r="H51" s="16">
        <f aca="true" t="shared" si="0" ref="H51:H64">F51*AE51</f>
        <v>0</v>
      </c>
      <c r="I51" s="16">
        <f aca="true" t="shared" si="1" ref="I51:I64">J51-H51</f>
        <v>0</v>
      </c>
      <c r="J51" s="16">
        <f aca="true" t="shared" si="2" ref="J51:J64">F51*G51</f>
        <v>0</v>
      </c>
      <c r="K51" s="16">
        <v>0.016</v>
      </c>
      <c r="L51" s="16">
        <f aca="true" t="shared" si="3" ref="L51:L64">F51*K51</f>
        <v>0.048</v>
      </c>
      <c r="M51" s="28" t="s">
        <v>420</v>
      </c>
      <c r="N51" s="28" t="s">
        <v>7</v>
      </c>
      <c r="O51" s="16">
        <f aca="true" t="shared" si="4" ref="O51:O64">IF(N51="5",I51,0)</f>
        <v>0</v>
      </c>
      <c r="Z51" s="16">
        <f aca="true" t="shared" si="5" ref="Z51:Z64">IF(AD51=0,J51,0)</f>
        <v>0</v>
      </c>
      <c r="AA51" s="16">
        <f aca="true" t="shared" si="6" ref="AA51:AA64">IF(AD51=15,J51,0)</f>
        <v>0</v>
      </c>
      <c r="AB51" s="16">
        <f aca="true" t="shared" si="7" ref="AB51:AB64">IF(AD51=21,J51,0)</f>
        <v>0</v>
      </c>
      <c r="AD51" s="33">
        <v>15</v>
      </c>
      <c r="AE51" s="33">
        <f>G51*0.976713984539705</f>
        <v>0</v>
      </c>
      <c r="AF51" s="33">
        <f>G51*(1-0.976713984539705)</f>
        <v>0</v>
      </c>
      <c r="AM51" s="33">
        <f aca="true" t="shared" si="8" ref="AM51:AM64">F51*AE51</f>
        <v>0</v>
      </c>
      <c r="AN51" s="33">
        <f aca="true" t="shared" si="9" ref="AN51:AN64">F51*AF51</f>
        <v>0</v>
      </c>
      <c r="AO51" s="34" t="s">
        <v>447</v>
      </c>
      <c r="AP51" s="34" t="s">
        <v>473</v>
      </c>
      <c r="AQ51" s="25" t="s">
        <v>480</v>
      </c>
    </row>
    <row r="52" spans="1:43" ht="12.75">
      <c r="A52" s="4" t="s">
        <v>33</v>
      </c>
      <c r="B52" s="4"/>
      <c r="C52" s="4" t="s">
        <v>151</v>
      </c>
      <c r="D52" s="4" t="s">
        <v>291</v>
      </c>
      <c r="E52" s="4" t="s">
        <v>404</v>
      </c>
      <c r="F52" s="16">
        <v>1</v>
      </c>
      <c r="G52" s="16"/>
      <c r="H52" s="16">
        <f t="shared" si="0"/>
        <v>0</v>
      </c>
      <c r="I52" s="16">
        <f t="shared" si="1"/>
        <v>0</v>
      </c>
      <c r="J52" s="16">
        <f t="shared" si="2"/>
        <v>0</v>
      </c>
      <c r="K52" s="16">
        <v>0.08682</v>
      </c>
      <c r="L52" s="16">
        <f t="shared" si="3"/>
        <v>0.08682</v>
      </c>
      <c r="M52" s="28" t="s">
        <v>420</v>
      </c>
      <c r="N52" s="28" t="s">
        <v>7</v>
      </c>
      <c r="O52" s="16">
        <f t="shared" si="4"/>
        <v>0</v>
      </c>
      <c r="Z52" s="16">
        <f t="shared" si="5"/>
        <v>0</v>
      </c>
      <c r="AA52" s="16">
        <f t="shared" si="6"/>
        <v>0</v>
      </c>
      <c r="AB52" s="16">
        <f t="shared" si="7"/>
        <v>0</v>
      </c>
      <c r="AD52" s="33">
        <v>15</v>
      </c>
      <c r="AE52" s="33">
        <f>G52*0.900116846284742</f>
        <v>0</v>
      </c>
      <c r="AF52" s="33">
        <f>G52*(1-0.900116846284742)</f>
        <v>0</v>
      </c>
      <c r="AM52" s="33">
        <f t="shared" si="8"/>
        <v>0</v>
      </c>
      <c r="AN52" s="33">
        <f t="shared" si="9"/>
        <v>0</v>
      </c>
      <c r="AO52" s="34" t="s">
        <v>447</v>
      </c>
      <c r="AP52" s="34" t="s">
        <v>473</v>
      </c>
      <c r="AQ52" s="25" t="s">
        <v>480</v>
      </c>
    </row>
    <row r="53" spans="1:43" ht="12.75">
      <c r="A53" s="4" t="s">
        <v>34</v>
      </c>
      <c r="B53" s="4"/>
      <c r="C53" s="4" t="s">
        <v>152</v>
      </c>
      <c r="D53" s="4" t="s">
        <v>292</v>
      </c>
      <c r="E53" s="4" t="s">
        <v>403</v>
      </c>
      <c r="F53" s="16">
        <v>6</v>
      </c>
      <c r="G53" s="16"/>
      <c r="H53" s="16">
        <f t="shared" si="0"/>
        <v>0</v>
      </c>
      <c r="I53" s="16">
        <f t="shared" si="1"/>
        <v>0</v>
      </c>
      <c r="J53" s="16">
        <f t="shared" si="2"/>
        <v>0</v>
      </c>
      <c r="K53" s="16">
        <v>0.0013</v>
      </c>
      <c r="L53" s="16">
        <f t="shared" si="3"/>
        <v>0.0078</v>
      </c>
      <c r="M53" s="28" t="s">
        <v>420</v>
      </c>
      <c r="N53" s="28" t="s">
        <v>7</v>
      </c>
      <c r="O53" s="16">
        <f t="shared" si="4"/>
        <v>0</v>
      </c>
      <c r="Z53" s="16">
        <f t="shared" si="5"/>
        <v>0</v>
      </c>
      <c r="AA53" s="16">
        <f t="shared" si="6"/>
        <v>0</v>
      </c>
      <c r="AB53" s="16">
        <f t="shared" si="7"/>
        <v>0</v>
      </c>
      <c r="AD53" s="33">
        <v>15</v>
      </c>
      <c r="AE53" s="33">
        <f>G53*0.845608507286333</f>
        <v>0</v>
      </c>
      <c r="AF53" s="33">
        <f>G53*(1-0.845608507286333)</f>
        <v>0</v>
      </c>
      <c r="AM53" s="33">
        <f t="shared" si="8"/>
        <v>0</v>
      </c>
      <c r="AN53" s="33">
        <f t="shared" si="9"/>
        <v>0</v>
      </c>
      <c r="AO53" s="34" t="s">
        <v>447</v>
      </c>
      <c r="AP53" s="34" t="s">
        <v>473</v>
      </c>
      <c r="AQ53" s="25" t="s">
        <v>480</v>
      </c>
    </row>
    <row r="54" spans="1:43" ht="12.75">
      <c r="A54" s="4" t="s">
        <v>35</v>
      </c>
      <c r="B54" s="4"/>
      <c r="C54" s="4" t="s">
        <v>153</v>
      </c>
      <c r="D54" s="4" t="s">
        <v>293</v>
      </c>
      <c r="E54" s="4" t="s">
        <v>403</v>
      </c>
      <c r="F54" s="16">
        <v>2</v>
      </c>
      <c r="G54" s="16"/>
      <c r="H54" s="16">
        <f t="shared" si="0"/>
        <v>0</v>
      </c>
      <c r="I54" s="16">
        <f t="shared" si="1"/>
        <v>0</v>
      </c>
      <c r="J54" s="16">
        <f t="shared" si="2"/>
        <v>0</v>
      </c>
      <c r="K54" s="16">
        <v>0.00152</v>
      </c>
      <c r="L54" s="16">
        <f t="shared" si="3"/>
        <v>0.00304</v>
      </c>
      <c r="M54" s="28" t="s">
        <v>420</v>
      </c>
      <c r="N54" s="28" t="s">
        <v>7</v>
      </c>
      <c r="O54" s="16">
        <f t="shared" si="4"/>
        <v>0</v>
      </c>
      <c r="Z54" s="16">
        <f t="shared" si="5"/>
        <v>0</v>
      </c>
      <c r="AA54" s="16">
        <f t="shared" si="6"/>
        <v>0</v>
      </c>
      <c r="AB54" s="16">
        <f t="shared" si="7"/>
        <v>0</v>
      </c>
      <c r="AD54" s="33">
        <v>15</v>
      </c>
      <c r="AE54" s="33">
        <f>G54*0.889041009931603</f>
        <v>0</v>
      </c>
      <c r="AF54" s="33">
        <f>G54*(1-0.889041009931603)</f>
        <v>0</v>
      </c>
      <c r="AM54" s="33">
        <f t="shared" si="8"/>
        <v>0</v>
      </c>
      <c r="AN54" s="33">
        <f t="shared" si="9"/>
        <v>0</v>
      </c>
      <c r="AO54" s="34" t="s">
        <v>447</v>
      </c>
      <c r="AP54" s="34" t="s">
        <v>473</v>
      </c>
      <c r="AQ54" s="25" t="s">
        <v>480</v>
      </c>
    </row>
    <row r="55" spans="1:43" ht="12.75">
      <c r="A55" s="4" t="s">
        <v>36</v>
      </c>
      <c r="B55" s="4"/>
      <c r="C55" s="4" t="s">
        <v>154</v>
      </c>
      <c r="D55" s="4" t="s">
        <v>294</v>
      </c>
      <c r="E55" s="4" t="s">
        <v>404</v>
      </c>
      <c r="F55" s="16">
        <v>1</v>
      </c>
      <c r="G55" s="16"/>
      <c r="H55" s="16">
        <f t="shared" si="0"/>
        <v>0</v>
      </c>
      <c r="I55" s="16">
        <f t="shared" si="1"/>
        <v>0</v>
      </c>
      <c r="J55" s="16">
        <f t="shared" si="2"/>
        <v>0</v>
      </c>
      <c r="K55" s="16">
        <v>0.0022</v>
      </c>
      <c r="L55" s="16">
        <f t="shared" si="3"/>
        <v>0.0022</v>
      </c>
      <c r="M55" s="28" t="s">
        <v>420</v>
      </c>
      <c r="N55" s="28" t="s">
        <v>7</v>
      </c>
      <c r="O55" s="16">
        <f t="shared" si="4"/>
        <v>0</v>
      </c>
      <c r="Z55" s="16">
        <f t="shared" si="5"/>
        <v>0</v>
      </c>
      <c r="AA55" s="16">
        <f t="shared" si="6"/>
        <v>0</v>
      </c>
      <c r="AB55" s="16">
        <f t="shared" si="7"/>
        <v>0</v>
      </c>
      <c r="AD55" s="33">
        <v>15</v>
      </c>
      <c r="AE55" s="33">
        <f>G55*0.95878232405892</f>
        <v>0</v>
      </c>
      <c r="AF55" s="33">
        <f>G55*(1-0.95878232405892)</f>
        <v>0</v>
      </c>
      <c r="AM55" s="33">
        <f t="shared" si="8"/>
        <v>0</v>
      </c>
      <c r="AN55" s="33">
        <f t="shared" si="9"/>
        <v>0</v>
      </c>
      <c r="AO55" s="34" t="s">
        <v>447</v>
      </c>
      <c r="AP55" s="34" t="s">
        <v>473</v>
      </c>
      <c r="AQ55" s="25" t="s">
        <v>480</v>
      </c>
    </row>
    <row r="56" spans="1:43" ht="12.75">
      <c r="A56" s="4" t="s">
        <v>37</v>
      </c>
      <c r="B56" s="4"/>
      <c r="C56" s="4" t="s">
        <v>155</v>
      </c>
      <c r="D56" s="4" t="s">
        <v>295</v>
      </c>
      <c r="E56" s="4" t="s">
        <v>404</v>
      </c>
      <c r="F56" s="16">
        <v>1</v>
      </c>
      <c r="G56" s="16"/>
      <c r="H56" s="16">
        <f t="shared" si="0"/>
        <v>0</v>
      </c>
      <c r="I56" s="16">
        <f t="shared" si="1"/>
        <v>0</v>
      </c>
      <c r="J56" s="16">
        <f t="shared" si="2"/>
        <v>0</v>
      </c>
      <c r="K56" s="16">
        <v>0.02822</v>
      </c>
      <c r="L56" s="16">
        <f t="shared" si="3"/>
        <v>0.02822</v>
      </c>
      <c r="M56" s="28" t="s">
        <v>420</v>
      </c>
      <c r="N56" s="28" t="s">
        <v>7</v>
      </c>
      <c r="O56" s="16">
        <f t="shared" si="4"/>
        <v>0</v>
      </c>
      <c r="Z56" s="16">
        <f t="shared" si="5"/>
        <v>0</v>
      </c>
      <c r="AA56" s="16">
        <f t="shared" si="6"/>
        <v>0</v>
      </c>
      <c r="AB56" s="16">
        <f t="shared" si="7"/>
        <v>0</v>
      </c>
      <c r="AD56" s="33">
        <v>15</v>
      </c>
      <c r="AE56" s="33">
        <f>G56*0.909296774193548</f>
        <v>0</v>
      </c>
      <c r="AF56" s="33">
        <f>G56*(1-0.909296774193548)</f>
        <v>0</v>
      </c>
      <c r="AM56" s="33">
        <f t="shared" si="8"/>
        <v>0</v>
      </c>
      <c r="AN56" s="33">
        <f t="shared" si="9"/>
        <v>0</v>
      </c>
      <c r="AO56" s="34" t="s">
        <v>447</v>
      </c>
      <c r="AP56" s="34" t="s">
        <v>473</v>
      </c>
      <c r="AQ56" s="25" t="s">
        <v>480</v>
      </c>
    </row>
    <row r="57" spans="1:43" ht="12.75">
      <c r="A57" s="4" t="s">
        <v>38</v>
      </c>
      <c r="B57" s="4"/>
      <c r="C57" s="4" t="s">
        <v>156</v>
      </c>
      <c r="D57" s="4" t="s">
        <v>296</v>
      </c>
      <c r="E57" s="4" t="s">
        <v>404</v>
      </c>
      <c r="F57" s="16">
        <v>3</v>
      </c>
      <c r="G57" s="16"/>
      <c r="H57" s="16">
        <f t="shared" si="0"/>
        <v>0</v>
      </c>
      <c r="I57" s="16">
        <f t="shared" si="1"/>
        <v>0</v>
      </c>
      <c r="J57" s="16">
        <f t="shared" si="2"/>
        <v>0</v>
      </c>
      <c r="K57" s="16">
        <v>0.01421</v>
      </c>
      <c r="L57" s="16">
        <f t="shared" si="3"/>
        <v>0.04263</v>
      </c>
      <c r="M57" s="28" t="s">
        <v>420</v>
      </c>
      <c r="N57" s="28" t="s">
        <v>7</v>
      </c>
      <c r="O57" s="16">
        <f t="shared" si="4"/>
        <v>0</v>
      </c>
      <c r="Z57" s="16">
        <f t="shared" si="5"/>
        <v>0</v>
      </c>
      <c r="AA57" s="16">
        <f t="shared" si="6"/>
        <v>0</v>
      </c>
      <c r="AB57" s="16">
        <f t="shared" si="7"/>
        <v>0</v>
      </c>
      <c r="AD57" s="33">
        <v>15</v>
      </c>
      <c r="AE57" s="33">
        <f>G57*0.79362037037037</f>
        <v>0</v>
      </c>
      <c r="AF57" s="33">
        <f>G57*(1-0.79362037037037)</f>
        <v>0</v>
      </c>
      <c r="AM57" s="33">
        <f t="shared" si="8"/>
        <v>0</v>
      </c>
      <c r="AN57" s="33">
        <f t="shared" si="9"/>
        <v>0</v>
      </c>
      <c r="AO57" s="34" t="s">
        <v>447</v>
      </c>
      <c r="AP57" s="34" t="s">
        <v>473</v>
      </c>
      <c r="AQ57" s="25" t="s">
        <v>480</v>
      </c>
    </row>
    <row r="58" spans="1:43" ht="12.75">
      <c r="A58" s="4" t="s">
        <v>39</v>
      </c>
      <c r="B58" s="4"/>
      <c r="C58" s="4" t="s">
        <v>157</v>
      </c>
      <c r="D58" s="4" t="s">
        <v>297</v>
      </c>
      <c r="E58" s="4" t="s">
        <v>404</v>
      </c>
      <c r="F58" s="16">
        <v>1</v>
      </c>
      <c r="G58" s="16"/>
      <c r="H58" s="16">
        <f t="shared" si="0"/>
        <v>0</v>
      </c>
      <c r="I58" s="16">
        <f t="shared" si="1"/>
        <v>0</v>
      </c>
      <c r="J58" s="16">
        <f t="shared" si="2"/>
        <v>0</v>
      </c>
      <c r="K58" s="16">
        <v>0</v>
      </c>
      <c r="L58" s="16">
        <f t="shared" si="3"/>
        <v>0</v>
      </c>
      <c r="M58" s="28" t="s">
        <v>420</v>
      </c>
      <c r="N58" s="28" t="s">
        <v>7</v>
      </c>
      <c r="O58" s="16">
        <f t="shared" si="4"/>
        <v>0</v>
      </c>
      <c r="Z58" s="16">
        <f t="shared" si="5"/>
        <v>0</v>
      </c>
      <c r="AA58" s="16">
        <f t="shared" si="6"/>
        <v>0</v>
      </c>
      <c r="AB58" s="16">
        <f t="shared" si="7"/>
        <v>0</v>
      </c>
      <c r="AD58" s="33">
        <v>15</v>
      </c>
      <c r="AE58" s="33">
        <f>G58*0</f>
        <v>0</v>
      </c>
      <c r="AF58" s="33">
        <f>G58*(1-0)</f>
        <v>0</v>
      </c>
      <c r="AM58" s="33">
        <f t="shared" si="8"/>
        <v>0</v>
      </c>
      <c r="AN58" s="33">
        <f t="shared" si="9"/>
        <v>0</v>
      </c>
      <c r="AO58" s="34" t="s">
        <v>447</v>
      </c>
      <c r="AP58" s="34" t="s">
        <v>473</v>
      </c>
      <c r="AQ58" s="25" t="s">
        <v>480</v>
      </c>
    </row>
    <row r="59" spans="1:43" ht="12.75">
      <c r="A59" s="4" t="s">
        <v>40</v>
      </c>
      <c r="B59" s="4"/>
      <c r="C59" s="4" t="s">
        <v>158</v>
      </c>
      <c r="D59" s="4" t="s">
        <v>298</v>
      </c>
      <c r="E59" s="4" t="s">
        <v>404</v>
      </c>
      <c r="F59" s="16">
        <v>3</v>
      </c>
      <c r="G59" s="16"/>
      <c r="H59" s="16">
        <f t="shared" si="0"/>
        <v>0</v>
      </c>
      <c r="I59" s="16">
        <f t="shared" si="1"/>
        <v>0</v>
      </c>
      <c r="J59" s="16">
        <f t="shared" si="2"/>
        <v>0</v>
      </c>
      <c r="K59" s="16">
        <v>0.01759</v>
      </c>
      <c r="L59" s="16">
        <f t="shared" si="3"/>
        <v>0.052770000000000004</v>
      </c>
      <c r="M59" s="28" t="s">
        <v>420</v>
      </c>
      <c r="N59" s="28" t="s">
        <v>7</v>
      </c>
      <c r="O59" s="16">
        <f t="shared" si="4"/>
        <v>0</v>
      </c>
      <c r="Z59" s="16">
        <f t="shared" si="5"/>
        <v>0</v>
      </c>
      <c r="AA59" s="16">
        <f t="shared" si="6"/>
        <v>0</v>
      </c>
      <c r="AB59" s="16">
        <f t="shared" si="7"/>
        <v>0</v>
      </c>
      <c r="AD59" s="33">
        <v>15</v>
      </c>
      <c r="AE59" s="33">
        <f>G59*0.928540646425074</f>
        <v>0</v>
      </c>
      <c r="AF59" s="33">
        <f>G59*(1-0.928540646425074)</f>
        <v>0</v>
      </c>
      <c r="AM59" s="33">
        <f t="shared" si="8"/>
        <v>0</v>
      </c>
      <c r="AN59" s="33">
        <f t="shared" si="9"/>
        <v>0</v>
      </c>
      <c r="AO59" s="34" t="s">
        <v>447</v>
      </c>
      <c r="AP59" s="34" t="s">
        <v>473</v>
      </c>
      <c r="AQ59" s="25" t="s">
        <v>480</v>
      </c>
    </row>
    <row r="60" spans="1:43" ht="12.75">
      <c r="A60" s="4" t="s">
        <v>41</v>
      </c>
      <c r="B60" s="4"/>
      <c r="C60" s="4" t="s">
        <v>159</v>
      </c>
      <c r="D60" s="4" t="s">
        <v>299</v>
      </c>
      <c r="E60" s="4" t="s">
        <v>404</v>
      </c>
      <c r="F60" s="16">
        <v>1</v>
      </c>
      <c r="G60" s="16"/>
      <c r="H60" s="16">
        <f t="shared" si="0"/>
        <v>0</v>
      </c>
      <c r="I60" s="16">
        <f t="shared" si="1"/>
        <v>0</v>
      </c>
      <c r="J60" s="16">
        <f t="shared" si="2"/>
        <v>0</v>
      </c>
      <c r="K60" s="16">
        <v>0.02363</v>
      </c>
      <c r="L60" s="16">
        <f t="shared" si="3"/>
        <v>0.02363</v>
      </c>
      <c r="M60" s="28" t="s">
        <v>420</v>
      </c>
      <c r="N60" s="28" t="s">
        <v>7</v>
      </c>
      <c r="O60" s="16">
        <f t="shared" si="4"/>
        <v>0</v>
      </c>
      <c r="Z60" s="16">
        <f t="shared" si="5"/>
        <v>0</v>
      </c>
      <c r="AA60" s="16">
        <f t="shared" si="6"/>
        <v>0</v>
      </c>
      <c r="AB60" s="16">
        <f t="shared" si="7"/>
        <v>0</v>
      </c>
      <c r="AD60" s="33">
        <v>15</v>
      </c>
      <c r="AE60" s="33">
        <f>G60*0.495530079455165</f>
        <v>0</v>
      </c>
      <c r="AF60" s="33">
        <f>G60*(1-0.495530079455165)</f>
        <v>0</v>
      </c>
      <c r="AM60" s="33">
        <f t="shared" si="8"/>
        <v>0</v>
      </c>
      <c r="AN60" s="33">
        <f t="shared" si="9"/>
        <v>0</v>
      </c>
      <c r="AO60" s="34" t="s">
        <v>447</v>
      </c>
      <c r="AP60" s="34" t="s">
        <v>473</v>
      </c>
      <c r="AQ60" s="25" t="s">
        <v>480</v>
      </c>
    </row>
    <row r="61" spans="1:43" ht="12.75">
      <c r="A61" s="4" t="s">
        <v>42</v>
      </c>
      <c r="B61" s="4"/>
      <c r="C61" s="4" t="s">
        <v>160</v>
      </c>
      <c r="D61" s="4" t="s">
        <v>300</v>
      </c>
      <c r="E61" s="4" t="s">
        <v>404</v>
      </c>
      <c r="F61" s="16">
        <v>1</v>
      </c>
      <c r="G61" s="16"/>
      <c r="H61" s="16">
        <f t="shared" si="0"/>
        <v>0</v>
      </c>
      <c r="I61" s="16">
        <f t="shared" si="1"/>
        <v>0</v>
      </c>
      <c r="J61" s="16">
        <f t="shared" si="2"/>
        <v>0</v>
      </c>
      <c r="K61" s="16">
        <v>0.01742</v>
      </c>
      <c r="L61" s="16">
        <f t="shared" si="3"/>
        <v>0.01742</v>
      </c>
      <c r="M61" s="28" t="s">
        <v>420</v>
      </c>
      <c r="N61" s="28" t="s">
        <v>7</v>
      </c>
      <c r="O61" s="16">
        <f t="shared" si="4"/>
        <v>0</v>
      </c>
      <c r="Z61" s="16">
        <f t="shared" si="5"/>
        <v>0</v>
      </c>
      <c r="AA61" s="16">
        <f t="shared" si="6"/>
        <v>0</v>
      </c>
      <c r="AB61" s="16">
        <f t="shared" si="7"/>
        <v>0</v>
      </c>
      <c r="AD61" s="33">
        <v>15</v>
      </c>
      <c r="AE61" s="33">
        <f>G61*0.809977116704805</f>
        <v>0</v>
      </c>
      <c r="AF61" s="33">
        <f>G61*(1-0.809977116704805)</f>
        <v>0</v>
      </c>
      <c r="AM61" s="33">
        <f t="shared" si="8"/>
        <v>0</v>
      </c>
      <c r="AN61" s="33">
        <f t="shared" si="9"/>
        <v>0</v>
      </c>
      <c r="AO61" s="34" t="s">
        <v>447</v>
      </c>
      <c r="AP61" s="34" t="s">
        <v>473</v>
      </c>
      <c r="AQ61" s="25" t="s">
        <v>480</v>
      </c>
    </row>
    <row r="62" spans="1:43" ht="12.75">
      <c r="A62" s="4" t="s">
        <v>43</v>
      </c>
      <c r="B62" s="4"/>
      <c r="C62" s="4" t="s">
        <v>161</v>
      </c>
      <c r="D62" s="4" t="s">
        <v>301</v>
      </c>
      <c r="E62" s="4" t="s">
        <v>404</v>
      </c>
      <c r="F62" s="16">
        <v>1</v>
      </c>
      <c r="G62" s="16"/>
      <c r="H62" s="16">
        <f t="shared" si="0"/>
        <v>0</v>
      </c>
      <c r="I62" s="16">
        <f t="shared" si="1"/>
        <v>0</v>
      </c>
      <c r="J62" s="16">
        <f t="shared" si="2"/>
        <v>0</v>
      </c>
      <c r="K62" s="16">
        <v>0.062</v>
      </c>
      <c r="L62" s="16">
        <f t="shared" si="3"/>
        <v>0.062</v>
      </c>
      <c r="M62" s="28" t="s">
        <v>420</v>
      </c>
      <c r="N62" s="28" t="s">
        <v>7</v>
      </c>
      <c r="O62" s="16">
        <f t="shared" si="4"/>
        <v>0</v>
      </c>
      <c r="Z62" s="16">
        <f t="shared" si="5"/>
        <v>0</v>
      </c>
      <c r="AA62" s="16">
        <f t="shared" si="6"/>
        <v>0</v>
      </c>
      <c r="AB62" s="16">
        <f t="shared" si="7"/>
        <v>0</v>
      </c>
      <c r="AD62" s="33">
        <v>15</v>
      </c>
      <c r="AE62" s="33">
        <f>G62*0</f>
        <v>0</v>
      </c>
      <c r="AF62" s="33">
        <f>G62*(1-0)</f>
        <v>0</v>
      </c>
      <c r="AM62" s="33">
        <f t="shared" si="8"/>
        <v>0</v>
      </c>
      <c r="AN62" s="33">
        <f t="shared" si="9"/>
        <v>0</v>
      </c>
      <c r="AO62" s="34" t="s">
        <v>447</v>
      </c>
      <c r="AP62" s="34" t="s">
        <v>473</v>
      </c>
      <c r="AQ62" s="25" t="s">
        <v>480</v>
      </c>
    </row>
    <row r="63" spans="1:43" ht="12.75">
      <c r="A63" s="4" t="s">
        <v>44</v>
      </c>
      <c r="B63" s="4"/>
      <c r="C63" s="4" t="s">
        <v>162</v>
      </c>
      <c r="D63" s="4" t="s">
        <v>302</v>
      </c>
      <c r="E63" s="4" t="s">
        <v>404</v>
      </c>
      <c r="F63" s="16">
        <v>1</v>
      </c>
      <c r="G63" s="16"/>
      <c r="H63" s="16">
        <f t="shared" si="0"/>
        <v>0</v>
      </c>
      <c r="I63" s="16">
        <f t="shared" si="1"/>
        <v>0</v>
      </c>
      <c r="J63" s="16">
        <f t="shared" si="2"/>
        <v>0</v>
      </c>
      <c r="K63" s="16">
        <v>0.01946</v>
      </c>
      <c r="L63" s="16">
        <f t="shared" si="3"/>
        <v>0.01946</v>
      </c>
      <c r="M63" s="28" t="s">
        <v>420</v>
      </c>
      <c r="N63" s="28" t="s">
        <v>7</v>
      </c>
      <c r="O63" s="16">
        <f t="shared" si="4"/>
        <v>0</v>
      </c>
      <c r="Z63" s="16">
        <f t="shared" si="5"/>
        <v>0</v>
      </c>
      <c r="AA63" s="16">
        <f t="shared" si="6"/>
        <v>0</v>
      </c>
      <c r="AB63" s="16">
        <f t="shared" si="7"/>
        <v>0</v>
      </c>
      <c r="AD63" s="33">
        <v>15</v>
      </c>
      <c r="AE63" s="33">
        <f>G63*0</f>
        <v>0</v>
      </c>
      <c r="AF63" s="33">
        <f>G63*(1-0)</f>
        <v>0</v>
      </c>
      <c r="AM63" s="33">
        <f t="shared" si="8"/>
        <v>0</v>
      </c>
      <c r="AN63" s="33">
        <f t="shared" si="9"/>
        <v>0</v>
      </c>
      <c r="AO63" s="34" t="s">
        <v>447</v>
      </c>
      <c r="AP63" s="34" t="s">
        <v>473</v>
      </c>
      <c r="AQ63" s="25" t="s">
        <v>480</v>
      </c>
    </row>
    <row r="64" spans="1:43" ht="12.75">
      <c r="A64" s="4" t="s">
        <v>45</v>
      </c>
      <c r="B64" s="4"/>
      <c r="C64" s="4" t="s">
        <v>163</v>
      </c>
      <c r="D64" s="4" t="s">
        <v>303</v>
      </c>
      <c r="E64" s="4" t="s">
        <v>404</v>
      </c>
      <c r="F64" s="16">
        <v>1</v>
      </c>
      <c r="G64" s="16"/>
      <c r="H64" s="16">
        <f t="shared" si="0"/>
        <v>0</v>
      </c>
      <c r="I64" s="16">
        <f t="shared" si="1"/>
        <v>0</v>
      </c>
      <c r="J64" s="16">
        <f t="shared" si="2"/>
        <v>0</v>
      </c>
      <c r="K64" s="16">
        <v>0.0004</v>
      </c>
      <c r="L64" s="16">
        <f t="shared" si="3"/>
        <v>0.0004</v>
      </c>
      <c r="M64" s="28" t="s">
        <v>420</v>
      </c>
      <c r="N64" s="28" t="s">
        <v>7</v>
      </c>
      <c r="O64" s="16">
        <f t="shared" si="4"/>
        <v>0</v>
      </c>
      <c r="Z64" s="16">
        <f t="shared" si="5"/>
        <v>0</v>
      </c>
      <c r="AA64" s="16">
        <f t="shared" si="6"/>
        <v>0</v>
      </c>
      <c r="AB64" s="16">
        <f t="shared" si="7"/>
        <v>0</v>
      </c>
      <c r="AD64" s="33">
        <v>15</v>
      </c>
      <c r="AE64" s="33">
        <f>G64*0.386734827586207</f>
        <v>0</v>
      </c>
      <c r="AF64" s="33">
        <f>G64*(1-0.386734827586207)</f>
        <v>0</v>
      </c>
      <c r="AM64" s="33">
        <f t="shared" si="8"/>
        <v>0</v>
      </c>
      <c r="AN64" s="33">
        <f t="shared" si="9"/>
        <v>0</v>
      </c>
      <c r="AO64" s="34" t="s">
        <v>447</v>
      </c>
      <c r="AP64" s="34" t="s">
        <v>473</v>
      </c>
      <c r="AQ64" s="25" t="s">
        <v>480</v>
      </c>
    </row>
    <row r="65" spans="1:37" ht="12.75">
      <c r="A65" s="5"/>
      <c r="B65" s="13"/>
      <c r="C65" s="13" t="s">
        <v>164</v>
      </c>
      <c r="D65" s="78" t="s">
        <v>304</v>
      </c>
      <c r="E65" s="79"/>
      <c r="F65" s="79"/>
      <c r="G65" s="79"/>
      <c r="H65" s="36">
        <f>SUM(H66:H66)</f>
        <v>0</v>
      </c>
      <c r="I65" s="36">
        <f>SUM(I66:I66)</f>
        <v>0</v>
      </c>
      <c r="J65" s="36">
        <f>H65+I65</f>
        <v>0</v>
      </c>
      <c r="K65" s="25"/>
      <c r="L65" s="36">
        <f>SUM(L66:L66)</f>
        <v>0.00046</v>
      </c>
      <c r="M65" s="25"/>
      <c r="P65" s="36">
        <f>IF(Q65="PR",J65,SUM(O66:O66))</f>
        <v>0</v>
      </c>
      <c r="Q65" s="25" t="s">
        <v>424</v>
      </c>
      <c r="R65" s="36">
        <f>IF(Q65="HS",H65,0)</f>
        <v>0</v>
      </c>
      <c r="S65" s="36">
        <f>IF(Q65="HS",I65-P65,0)</f>
        <v>0</v>
      </c>
      <c r="T65" s="36">
        <f>IF(Q65="PS",H65,0)</f>
        <v>0</v>
      </c>
      <c r="U65" s="36">
        <f>IF(Q65="PS",I65-P65,0)</f>
        <v>0</v>
      </c>
      <c r="V65" s="36">
        <f>IF(Q65="MP",H65,0)</f>
        <v>0</v>
      </c>
      <c r="W65" s="36">
        <f>IF(Q65="MP",I65-P65,0)</f>
        <v>0</v>
      </c>
      <c r="X65" s="36">
        <f>IF(Q65="OM",H65,0)</f>
        <v>0</v>
      </c>
      <c r="Y65" s="25"/>
      <c r="AI65" s="36">
        <f>SUM(Z66:Z66)</f>
        <v>0</v>
      </c>
      <c r="AJ65" s="36">
        <f>SUM(AA66:AA66)</f>
        <v>0</v>
      </c>
      <c r="AK65" s="36">
        <f>SUM(AB66:AB66)</f>
        <v>0</v>
      </c>
    </row>
    <row r="66" spans="1:43" ht="12.75">
      <c r="A66" s="4" t="s">
        <v>46</v>
      </c>
      <c r="B66" s="4"/>
      <c r="C66" s="4" t="s">
        <v>165</v>
      </c>
      <c r="D66" s="4" t="s">
        <v>305</v>
      </c>
      <c r="E66" s="4" t="s">
        <v>404</v>
      </c>
      <c r="F66" s="16">
        <v>1</v>
      </c>
      <c r="G66" s="16"/>
      <c r="H66" s="16">
        <f>F66*AE66</f>
        <v>0</v>
      </c>
      <c r="I66" s="16">
        <f>J66-H66</f>
        <v>0</v>
      </c>
      <c r="J66" s="16">
        <f>F66*G66</f>
        <v>0</v>
      </c>
      <c r="K66" s="16">
        <v>0.00046</v>
      </c>
      <c r="L66" s="16">
        <f>F66*K66</f>
        <v>0.00046</v>
      </c>
      <c r="M66" s="28" t="s">
        <v>420</v>
      </c>
      <c r="N66" s="28" t="s">
        <v>7</v>
      </c>
      <c r="O66" s="16">
        <f>IF(N66="5",I66,0)</f>
        <v>0</v>
      </c>
      <c r="Z66" s="16">
        <f>IF(AD66=0,J66,0)</f>
        <v>0</v>
      </c>
      <c r="AA66" s="16">
        <f>IF(AD66=15,J66,0)</f>
        <v>0</v>
      </c>
      <c r="AB66" s="16">
        <f>IF(AD66=21,J66,0)</f>
        <v>0</v>
      </c>
      <c r="AD66" s="33">
        <v>15</v>
      </c>
      <c r="AE66" s="33">
        <f>G66*0.0169912244897959</f>
        <v>0</v>
      </c>
      <c r="AF66" s="33">
        <f>G66*(1-0.0169912244897959)</f>
        <v>0</v>
      </c>
      <c r="AM66" s="33">
        <f>F66*AE66</f>
        <v>0</v>
      </c>
      <c r="AN66" s="33">
        <f>F66*AF66</f>
        <v>0</v>
      </c>
      <c r="AO66" s="34" t="s">
        <v>448</v>
      </c>
      <c r="AP66" s="34" t="s">
        <v>474</v>
      </c>
      <c r="AQ66" s="25" t="s">
        <v>480</v>
      </c>
    </row>
    <row r="67" spans="1:37" ht="12.75">
      <c r="A67" s="5"/>
      <c r="B67" s="13"/>
      <c r="C67" s="13" t="s">
        <v>166</v>
      </c>
      <c r="D67" s="78" t="s">
        <v>306</v>
      </c>
      <c r="E67" s="79"/>
      <c r="F67" s="79"/>
      <c r="G67" s="79"/>
      <c r="H67" s="36">
        <f>SUM(H68:H69)</f>
        <v>0</v>
      </c>
      <c r="I67" s="36">
        <f>SUM(I68:I69)</f>
        <v>0</v>
      </c>
      <c r="J67" s="36">
        <f>H67+I67</f>
        <v>0</v>
      </c>
      <c r="K67" s="25"/>
      <c r="L67" s="36">
        <f>SUM(L68:L69)</f>
        <v>0.0048200000000000005</v>
      </c>
      <c r="M67" s="25"/>
      <c r="P67" s="36">
        <f>IF(Q67="PR",J67,SUM(O68:O69))</f>
        <v>0</v>
      </c>
      <c r="Q67" s="25" t="s">
        <v>424</v>
      </c>
      <c r="R67" s="36">
        <f>IF(Q67="HS",H67,0)</f>
        <v>0</v>
      </c>
      <c r="S67" s="36">
        <f>IF(Q67="HS",I67-P67,0)</f>
        <v>0</v>
      </c>
      <c r="T67" s="36">
        <f>IF(Q67="PS",H67,0)</f>
        <v>0</v>
      </c>
      <c r="U67" s="36">
        <f>IF(Q67="PS",I67-P67,0)</f>
        <v>0</v>
      </c>
      <c r="V67" s="36">
        <f>IF(Q67="MP",H67,0)</f>
        <v>0</v>
      </c>
      <c r="W67" s="36">
        <f>IF(Q67="MP",I67-P67,0)</f>
        <v>0</v>
      </c>
      <c r="X67" s="36">
        <f>IF(Q67="OM",H67,0)</f>
        <v>0</v>
      </c>
      <c r="Y67" s="25"/>
      <c r="AI67" s="36">
        <f>SUM(Z68:Z69)</f>
        <v>0</v>
      </c>
      <c r="AJ67" s="36">
        <f>SUM(AA68:AA69)</f>
        <v>0</v>
      </c>
      <c r="AK67" s="36">
        <f>SUM(AB68:AB69)</f>
        <v>0</v>
      </c>
    </row>
    <row r="68" spans="1:43" ht="12.75">
      <c r="A68" s="4" t="s">
        <v>47</v>
      </c>
      <c r="B68" s="4"/>
      <c r="C68" s="4" t="s">
        <v>167</v>
      </c>
      <c r="D68" s="4" t="s">
        <v>307</v>
      </c>
      <c r="E68" s="4" t="s">
        <v>398</v>
      </c>
      <c r="F68" s="16">
        <v>1</v>
      </c>
      <c r="G68" s="16"/>
      <c r="H68" s="16">
        <f>F68*AE68</f>
        <v>0</v>
      </c>
      <c r="I68" s="16">
        <f>J68-H68</f>
        <v>0</v>
      </c>
      <c r="J68" s="16">
        <f>F68*G68</f>
        <v>0</v>
      </c>
      <c r="K68" s="16">
        <v>0.00322</v>
      </c>
      <c r="L68" s="16">
        <f>F68*K68</f>
        <v>0.00322</v>
      </c>
      <c r="M68" s="28" t="s">
        <v>420</v>
      </c>
      <c r="N68" s="28" t="s">
        <v>7</v>
      </c>
      <c r="O68" s="16">
        <f>IF(N68="5",I68,0)</f>
        <v>0</v>
      </c>
      <c r="Z68" s="16">
        <f>IF(AD68=0,J68,0)</f>
        <v>0</v>
      </c>
      <c r="AA68" s="16">
        <f>IF(AD68=15,J68,0)</f>
        <v>0</v>
      </c>
      <c r="AB68" s="16">
        <f>IF(AD68=21,J68,0)</f>
        <v>0</v>
      </c>
      <c r="AD68" s="33">
        <v>15</v>
      </c>
      <c r="AE68" s="33">
        <f>G68*0.2084</f>
        <v>0</v>
      </c>
      <c r="AF68" s="33">
        <f>G68*(1-0.2084)</f>
        <v>0</v>
      </c>
      <c r="AM68" s="33">
        <f>F68*AE68</f>
        <v>0</v>
      </c>
      <c r="AN68" s="33">
        <f>F68*AF68</f>
        <v>0</v>
      </c>
      <c r="AO68" s="34" t="s">
        <v>449</v>
      </c>
      <c r="AP68" s="34" t="s">
        <v>474</v>
      </c>
      <c r="AQ68" s="25" t="s">
        <v>480</v>
      </c>
    </row>
    <row r="69" spans="1:43" ht="12.75">
      <c r="A69" s="4" t="s">
        <v>48</v>
      </c>
      <c r="B69" s="4"/>
      <c r="C69" s="4" t="s">
        <v>168</v>
      </c>
      <c r="D69" s="4" t="s">
        <v>308</v>
      </c>
      <c r="E69" s="4" t="s">
        <v>398</v>
      </c>
      <c r="F69" s="16">
        <v>1</v>
      </c>
      <c r="G69" s="16"/>
      <c r="H69" s="16">
        <f>F69*AE69</f>
        <v>0</v>
      </c>
      <c r="I69" s="16">
        <f>J69-H69</f>
        <v>0</v>
      </c>
      <c r="J69" s="16">
        <f>F69*G69</f>
        <v>0</v>
      </c>
      <c r="K69" s="16">
        <v>0.0016</v>
      </c>
      <c r="L69" s="16">
        <f>F69*K69</f>
        <v>0.0016</v>
      </c>
      <c r="M69" s="28" t="s">
        <v>420</v>
      </c>
      <c r="N69" s="28" t="s">
        <v>7</v>
      </c>
      <c r="O69" s="16">
        <f>IF(N69="5",I69,0)</f>
        <v>0</v>
      </c>
      <c r="Z69" s="16">
        <f>IF(AD69=0,J69,0)</f>
        <v>0</v>
      </c>
      <c r="AA69" s="16">
        <f>IF(AD69=15,J69,0)</f>
        <v>0</v>
      </c>
      <c r="AB69" s="16">
        <f>IF(AD69=21,J69,0)</f>
        <v>0</v>
      </c>
      <c r="AD69" s="33">
        <v>15</v>
      </c>
      <c r="AE69" s="33">
        <f>G69*0.783198620689655</f>
        <v>0</v>
      </c>
      <c r="AF69" s="33">
        <f>G69*(1-0.783198620689655)</f>
        <v>0</v>
      </c>
      <c r="AM69" s="33">
        <f>F69*AE69</f>
        <v>0</v>
      </c>
      <c r="AN69" s="33">
        <f>F69*AF69</f>
        <v>0</v>
      </c>
      <c r="AO69" s="34" t="s">
        <v>449</v>
      </c>
      <c r="AP69" s="34" t="s">
        <v>474</v>
      </c>
      <c r="AQ69" s="25" t="s">
        <v>480</v>
      </c>
    </row>
    <row r="70" spans="1:37" ht="12.75">
      <c r="A70" s="5"/>
      <c r="B70" s="13"/>
      <c r="C70" s="13" t="s">
        <v>169</v>
      </c>
      <c r="D70" s="78" t="s">
        <v>309</v>
      </c>
      <c r="E70" s="79"/>
      <c r="F70" s="79"/>
      <c r="G70" s="79"/>
      <c r="H70" s="36">
        <f>SUM(H71:H72)</f>
        <v>0</v>
      </c>
      <c r="I70" s="36">
        <f>SUM(I71:I72)</f>
        <v>0</v>
      </c>
      <c r="J70" s="36">
        <f>H70+I70</f>
        <v>0</v>
      </c>
      <c r="K70" s="25"/>
      <c r="L70" s="36">
        <f>SUM(L71:L72)</f>
        <v>0.01432</v>
      </c>
      <c r="M70" s="25"/>
      <c r="P70" s="36">
        <f>IF(Q70="PR",J70,SUM(O71:O72))</f>
        <v>0</v>
      </c>
      <c r="Q70" s="25" t="s">
        <v>424</v>
      </c>
      <c r="R70" s="36">
        <f>IF(Q70="HS",H70,0)</f>
        <v>0</v>
      </c>
      <c r="S70" s="36">
        <f>IF(Q70="HS",I70-P70,0)</f>
        <v>0</v>
      </c>
      <c r="T70" s="36">
        <f>IF(Q70="PS",H70,0)</f>
        <v>0</v>
      </c>
      <c r="U70" s="36">
        <f>IF(Q70="PS",I70-P70,0)</f>
        <v>0</v>
      </c>
      <c r="V70" s="36">
        <f>IF(Q70="MP",H70,0)</f>
        <v>0</v>
      </c>
      <c r="W70" s="36">
        <f>IF(Q70="MP",I70-P70,0)</f>
        <v>0</v>
      </c>
      <c r="X70" s="36">
        <f>IF(Q70="OM",H70,0)</f>
        <v>0</v>
      </c>
      <c r="Y70" s="25"/>
      <c r="AI70" s="36">
        <f>SUM(Z71:Z72)</f>
        <v>0</v>
      </c>
      <c r="AJ70" s="36">
        <f>SUM(AA71:AA72)</f>
        <v>0</v>
      </c>
      <c r="AK70" s="36">
        <f>SUM(AB71:AB72)</f>
        <v>0</v>
      </c>
    </row>
    <row r="71" spans="1:43" ht="12.75">
      <c r="A71" s="4" t="s">
        <v>49</v>
      </c>
      <c r="B71" s="4"/>
      <c r="C71" s="4" t="s">
        <v>170</v>
      </c>
      <c r="D71" s="4" t="s">
        <v>310</v>
      </c>
      <c r="E71" s="4" t="s">
        <v>403</v>
      </c>
      <c r="F71" s="16">
        <v>1</v>
      </c>
      <c r="G71" s="16"/>
      <c r="H71" s="16">
        <f>F71*AE71</f>
        <v>0</v>
      </c>
      <c r="I71" s="16">
        <f>J71-H71</f>
        <v>0</v>
      </c>
      <c r="J71" s="16">
        <f>F71*G71</f>
        <v>0</v>
      </c>
      <c r="K71" s="16">
        <v>0.01402</v>
      </c>
      <c r="L71" s="16">
        <f>F71*K71</f>
        <v>0.01402</v>
      </c>
      <c r="M71" s="28" t="s">
        <v>420</v>
      </c>
      <c r="N71" s="28" t="s">
        <v>7</v>
      </c>
      <c r="O71" s="16">
        <f>IF(N71="5",I71,0)</f>
        <v>0</v>
      </c>
      <c r="Z71" s="16">
        <f>IF(AD71=0,J71,0)</f>
        <v>0</v>
      </c>
      <c r="AA71" s="16">
        <f>IF(AD71=15,J71,0)</f>
        <v>0</v>
      </c>
      <c r="AB71" s="16">
        <f>IF(AD71=21,J71,0)</f>
        <v>0</v>
      </c>
      <c r="AD71" s="33">
        <v>15</v>
      </c>
      <c r="AE71" s="33">
        <f>G71*0.00712758620689655</f>
        <v>0</v>
      </c>
      <c r="AF71" s="33">
        <f>G71*(1-0.00712758620689655)</f>
        <v>0</v>
      </c>
      <c r="AM71" s="33">
        <f>F71*AE71</f>
        <v>0</v>
      </c>
      <c r="AN71" s="33">
        <f>F71*AF71</f>
        <v>0</v>
      </c>
      <c r="AO71" s="34" t="s">
        <v>450</v>
      </c>
      <c r="AP71" s="34" t="s">
        <v>474</v>
      </c>
      <c r="AQ71" s="25" t="s">
        <v>480</v>
      </c>
    </row>
    <row r="72" spans="1:43" ht="12.75">
      <c r="A72" s="4" t="s">
        <v>50</v>
      </c>
      <c r="B72" s="4"/>
      <c r="C72" s="4" t="s">
        <v>171</v>
      </c>
      <c r="D72" s="4" t="s">
        <v>311</v>
      </c>
      <c r="E72" s="4" t="s">
        <v>398</v>
      </c>
      <c r="F72" s="16">
        <v>1</v>
      </c>
      <c r="G72" s="16"/>
      <c r="H72" s="16">
        <f>F72*AE72</f>
        <v>0</v>
      </c>
      <c r="I72" s="16">
        <f>J72-H72</f>
        <v>0</v>
      </c>
      <c r="J72" s="16">
        <f>F72*G72</f>
        <v>0</v>
      </c>
      <c r="K72" s="16">
        <v>0.0003</v>
      </c>
      <c r="L72" s="16">
        <f>F72*K72</f>
        <v>0.0003</v>
      </c>
      <c r="M72" s="28" t="s">
        <v>420</v>
      </c>
      <c r="N72" s="28" t="s">
        <v>7</v>
      </c>
      <c r="O72" s="16">
        <f>IF(N72="5",I72,0)</f>
        <v>0</v>
      </c>
      <c r="Z72" s="16">
        <f>IF(AD72=0,J72,0)</f>
        <v>0</v>
      </c>
      <c r="AA72" s="16">
        <f>IF(AD72=15,J72,0)</f>
        <v>0</v>
      </c>
      <c r="AB72" s="16">
        <f>IF(AD72=21,J72,0)</f>
        <v>0</v>
      </c>
      <c r="AD72" s="33">
        <v>15</v>
      </c>
      <c r="AE72" s="33">
        <f>G72*0.884231538461538</f>
        <v>0</v>
      </c>
      <c r="AF72" s="33">
        <f>G72*(1-0.884231538461538)</f>
        <v>0</v>
      </c>
      <c r="AM72" s="33">
        <f>F72*AE72</f>
        <v>0</v>
      </c>
      <c r="AN72" s="33">
        <f>F72*AF72</f>
        <v>0</v>
      </c>
      <c r="AO72" s="34" t="s">
        <v>450</v>
      </c>
      <c r="AP72" s="34" t="s">
        <v>474</v>
      </c>
      <c r="AQ72" s="25" t="s">
        <v>480</v>
      </c>
    </row>
    <row r="73" spans="1:37" ht="12.75">
      <c r="A73" s="5"/>
      <c r="B73" s="13"/>
      <c r="C73" s="13" t="s">
        <v>172</v>
      </c>
      <c r="D73" s="78" t="s">
        <v>312</v>
      </c>
      <c r="E73" s="79"/>
      <c r="F73" s="79"/>
      <c r="G73" s="79"/>
      <c r="H73" s="36">
        <f>SUM(H74:H76)</f>
        <v>0</v>
      </c>
      <c r="I73" s="36">
        <f>SUM(I74:I76)</f>
        <v>0</v>
      </c>
      <c r="J73" s="36">
        <f>H73+I73</f>
        <v>0</v>
      </c>
      <c r="K73" s="25"/>
      <c r="L73" s="36">
        <f>SUM(L74:L76)</f>
        <v>0.06282</v>
      </c>
      <c r="M73" s="25"/>
      <c r="P73" s="36">
        <f>IF(Q73="PR",J73,SUM(O74:O76))</f>
        <v>0</v>
      </c>
      <c r="Q73" s="25" t="s">
        <v>424</v>
      </c>
      <c r="R73" s="36">
        <f>IF(Q73="HS",H73,0)</f>
        <v>0</v>
      </c>
      <c r="S73" s="36">
        <f>IF(Q73="HS",I73-P73,0)</f>
        <v>0</v>
      </c>
      <c r="T73" s="36">
        <f>IF(Q73="PS",H73,0)</f>
        <v>0</v>
      </c>
      <c r="U73" s="36">
        <f>IF(Q73="PS",I73-P73,0)</f>
        <v>0</v>
      </c>
      <c r="V73" s="36">
        <f>IF(Q73="MP",H73,0)</f>
        <v>0</v>
      </c>
      <c r="W73" s="36">
        <f>IF(Q73="MP",I73-P73,0)</f>
        <v>0</v>
      </c>
      <c r="X73" s="36">
        <f>IF(Q73="OM",H73,0)</f>
        <v>0</v>
      </c>
      <c r="Y73" s="25"/>
      <c r="AI73" s="36">
        <f>SUM(Z74:Z76)</f>
        <v>0</v>
      </c>
      <c r="AJ73" s="36">
        <f>SUM(AA74:AA76)</f>
        <v>0</v>
      </c>
      <c r="AK73" s="36">
        <f>SUM(AB74:AB76)</f>
        <v>0</v>
      </c>
    </row>
    <row r="74" spans="1:43" ht="12.75">
      <c r="A74" s="4" t="s">
        <v>51</v>
      </c>
      <c r="B74" s="4"/>
      <c r="C74" s="4" t="s">
        <v>173</v>
      </c>
      <c r="D74" s="4" t="s">
        <v>313</v>
      </c>
      <c r="E74" s="4" t="s">
        <v>400</v>
      </c>
      <c r="F74" s="16">
        <v>1</v>
      </c>
      <c r="G74" s="16"/>
      <c r="H74" s="16">
        <f>F74*AE74</f>
        <v>0</v>
      </c>
      <c r="I74" s="16">
        <f>J74-H74</f>
        <v>0</v>
      </c>
      <c r="J74" s="16">
        <f>F74*G74</f>
        <v>0</v>
      </c>
      <c r="K74" s="16">
        <v>0.03902</v>
      </c>
      <c r="L74" s="16">
        <f>F74*K74</f>
        <v>0.03902</v>
      </c>
      <c r="M74" s="28" t="s">
        <v>420</v>
      </c>
      <c r="N74" s="28" t="s">
        <v>7</v>
      </c>
      <c r="O74" s="16">
        <f>IF(N74="5",I74,0)</f>
        <v>0</v>
      </c>
      <c r="Z74" s="16">
        <f>IF(AD74=0,J74,0)</f>
        <v>0</v>
      </c>
      <c r="AA74" s="16">
        <f>IF(AD74=15,J74,0)</f>
        <v>0</v>
      </c>
      <c r="AB74" s="16">
        <f>IF(AD74=21,J74,0)</f>
        <v>0</v>
      </c>
      <c r="AD74" s="33">
        <v>15</v>
      </c>
      <c r="AE74" s="33">
        <f>G74*0.930643157894737</f>
        <v>0</v>
      </c>
      <c r="AF74" s="33">
        <f>G74*(1-0.930643157894737)</f>
        <v>0</v>
      </c>
      <c r="AM74" s="33">
        <f>F74*AE74</f>
        <v>0</v>
      </c>
      <c r="AN74" s="33">
        <f>F74*AF74</f>
        <v>0</v>
      </c>
      <c r="AO74" s="34" t="s">
        <v>451</v>
      </c>
      <c r="AP74" s="34" t="s">
        <v>474</v>
      </c>
      <c r="AQ74" s="25" t="s">
        <v>480</v>
      </c>
    </row>
    <row r="75" spans="1:43" ht="12.75">
      <c r="A75" s="4" t="s">
        <v>52</v>
      </c>
      <c r="B75" s="4"/>
      <c r="C75" s="4" t="s">
        <v>174</v>
      </c>
      <c r="D75" s="4" t="s">
        <v>314</v>
      </c>
      <c r="E75" s="4" t="s">
        <v>398</v>
      </c>
      <c r="F75" s="16">
        <v>1</v>
      </c>
      <c r="G75" s="16"/>
      <c r="H75" s="16">
        <f>F75*AE75</f>
        <v>0</v>
      </c>
      <c r="I75" s="16">
        <f>J75-H75</f>
        <v>0</v>
      </c>
      <c r="J75" s="16">
        <f>F75*G75</f>
        <v>0</v>
      </c>
      <c r="K75" s="16">
        <v>0.0238</v>
      </c>
      <c r="L75" s="16">
        <f>F75*K75</f>
        <v>0.0238</v>
      </c>
      <c r="M75" s="28" t="s">
        <v>420</v>
      </c>
      <c r="N75" s="28" t="s">
        <v>7</v>
      </c>
      <c r="O75" s="16">
        <f>IF(N75="5",I75,0)</f>
        <v>0</v>
      </c>
      <c r="Z75" s="16">
        <f>IF(AD75=0,J75,0)</f>
        <v>0</v>
      </c>
      <c r="AA75" s="16">
        <f>IF(AD75=15,J75,0)</f>
        <v>0</v>
      </c>
      <c r="AB75" s="16">
        <f>IF(AD75=21,J75,0)</f>
        <v>0</v>
      </c>
      <c r="AD75" s="33">
        <v>15</v>
      </c>
      <c r="AE75" s="33">
        <f>G75*0</f>
        <v>0</v>
      </c>
      <c r="AF75" s="33">
        <f>G75*(1-0)</f>
        <v>0</v>
      </c>
      <c r="AM75" s="33">
        <f>F75*AE75</f>
        <v>0</v>
      </c>
      <c r="AN75" s="33">
        <f>F75*AF75</f>
        <v>0</v>
      </c>
      <c r="AO75" s="34" t="s">
        <v>451</v>
      </c>
      <c r="AP75" s="34" t="s">
        <v>474</v>
      </c>
      <c r="AQ75" s="25" t="s">
        <v>480</v>
      </c>
    </row>
    <row r="76" spans="1:43" ht="12.75">
      <c r="A76" s="4" t="s">
        <v>53</v>
      </c>
      <c r="B76" s="4"/>
      <c r="C76" s="4" t="s">
        <v>175</v>
      </c>
      <c r="D76" s="4" t="s">
        <v>315</v>
      </c>
      <c r="E76" s="4" t="s">
        <v>400</v>
      </c>
      <c r="F76" s="16">
        <v>1</v>
      </c>
      <c r="G76" s="16"/>
      <c r="H76" s="16">
        <f>F76*AE76</f>
        <v>0</v>
      </c>
      <c r="I76" s="16">
        <f>J76-H76</f>
        <v>0</v>
      </c>
      <c r="J76" s="16">
        <f>F76*G76</f>
        <v>0</v>
      </c>
      <c r="K76" s="16">
        <v>0</v>
      </c>
      <c r="L76" s="16">
        <f>F76*K76</f>
        <v>0</v>
      </c>
      <c r="M76" s="28" t="s">
        <v>420</v>
      </c>
      <c r="N76" s="28" t="s">
        <v>7</v>
      </c>
      <c r="O76" s="16">
        <f>IF(N76="5",I76,0)</f>
        <v>0</v>
      </c>
      <c r="Z76" s="16">
        <f>IF(AD76=0,J76,0)</f>
        <v>0</v>
      </c>
      <c r="AA76" s="16">
        <f>IF(AD76=15,J76,0)</f>
        <v>0</v>
      </c>
      <c r="AB76" s="16">
        <f>IF(AD76=21,J76,0)</f>
        <v>0</v>
      </c>
      <c r="AD76" s="33">
        <v>15</v>
      </c>
      <c r="AE76" s="33">
        <f>G76*0.018985</f>
        <v>0</v>
      </c>
      <c r="AF76" s="33">
        <f>G76*(1-0.018985)</f>
        <v>0</v>
      </c>
      <c r="AM76" s="33">
        <f>F76*AE76</f>
        <v>0</v>
      </c>
      <c r="AN76" s="33">
        <f>F76*AF76</f>
        <v>0</v>
      </c>
      <c r="AO76" s="34" t="s">
        <v>451</v>
      </c>
      <c r="AP76" s="34" t="s">
        <v>474</v>
      </c>
      <c r="AQ76" s="25" t="s">
        <v>480</v>
      </c>
    </row>
    <row r="77" spans="1:37" ht="12.75">
      <c r="A77" s="5"/>
      <c r="B77" s="13"/>
      <c r="C77" s="13" t="s">
        <v>176</v>
      </c>
      <c r="D77" s="78" t="s">
        <v>316</v>
      </c>
      <c r="E77" s="79"/>
      <c r="F77" s="79"/>
      <c r="G77" s="79"/>
      <c r="H77" s="36">
        <f>SUM(H78:H80)</f>
        <v>0</v>
      </c>
      <c r="I77" s="36">
        <f>SUM(I78:I80)</f>
        <v>0</v>
      </c>
      <c r="J77" s="36">
        <f>H77+I77</f>
        <v>0</v>
      </c>
      <c r="K77" s="25"/>
      <c r="L77" s="36">
        <f>SUM(L78:L80)</f>
        <v>0.12911</v>
      </c>
      <c r="M77" s="25"/>
      <c r="P77" s="36">
        <f>IF(Q77="PR",J77,SUM(O78:O80))</f>
        <v>0</v>
      </c>
      <c r="Q77" s="25" t="s">
        <v>424</v>
      </c>
      <c r="R77" s="36">
        <f>IF(Q77="HS",H77,0)</f>
        <v>0</v>
      </c>
      <c r="S77" s="36">
        <f>IF(Q77="HS",I77-P77,0)</f>
        <v>0</v>
      </c>
      <c r="T77" s="36">
        <f>IF(Q77="PS",H77,0)</f>
        <v>0</v>
      </c>
      <c r="U77" s="36">
        <f>IF(Q77="PS",I77-P77,0)</f>
        <v>0</v>
      </c>
      <c r="V77" s="36">
        <f>IF(Q77="MP",H77,0)</f>
        <v>0</v>
      </c>
      <c r="W77" s="36">
        <f>IF(Q77="MP",I77-P77,0)</f>
        <v>0</v>
      </c>
      <c r="X77" s="36">
        <f>IF(Q77="OM",H77,0)</f>
        <v>0</v>
      </c>
      <c r="Y77" s="25"/>
      <c r="AI77" s="36">
        <f>SUM(Z78:Z80)</f>
        <v>0</v>
      </c>
      <c r="AJ77" s="36">
        <f>SUM(AA78:AA80)</f>
        <v>0</v>
      </c>
      <c r="AK77" s="36">
        <f>SUM(AB78:AB80)</f>
        <v>0</v>
      </c>
    </row>
    <row r="78" spans="1:43" ht="12.75">
      <c r="A78" s="4" t="s">
        <v>54</v>
      </c>
      <c r="B78" s="4"/>
      <c r="C78" s="4" t="s">
        <v>177</v>
      </c>
      <c r="D78" s="4" t="s">
        <v>317</v>
      </c>
      <c r="E78" s="4" t="s">
        <v>401</v>
      </c>
      <c r="F78" s="16">
        <v>30</v>
      </c>
      <c r="G78" s="16"/>
      <c r="H78" s="16">
        <f>F78*AE78</f>
        <v>0</v>
      </c>
      <c r="I78" s="16">
        <f>J78-H78</f>
        <v>0</v>
      </c>
      <c r="J78" s="16">
        <f>F78*G78</f>
        <v>0</v>
      </c>
      <c r="K78" s="16">
        <v>0.00272</v>
      </c>
      <c r="L78" s="16">
        <f>F78*K78</f>
        <v>0.0816</v>
      </c>
      <c r="M78" s="28" t="s">
        <v>420</v>
      </c>
      <c r="N78" s="28" t="s">
        <v>7</v>
      </c>
      <c r="O78" s="16">
        <f>IF(N78="5",I78,0)</f>
        <v>0</v>
      </c>
      <c r="Z78" s="16">
        <f>IF(AD78=0,J78,0)</f>
        <v>0</v>
      </c>
      <c r="AA78" s="16">
        <f>IF(AD78=15,J78,0)</f>
        <v>0</v>
      </c>
      <c r="AB78" s="16">
        <f>IF(AD78=21,J78,0)</f>
        <v>0</v>
      </c>
      <c r="AD78" s="33">
        <v>15</v>
      </c>
      <c r="AE78" s="33">
        <f>G78*0.784856483793489</f>
        <v>0</v>
      </c>
      <c r="AF78" s="33">
        <f>G78*(1-0.784856483793489)</f>
        <v>0</v>
      </c>
      <c r="AM78" s="33">
        <f>F78*AE78</f>
        <v>0</v>
      </c>
      <c r="AN78" s="33">
        <f>F78*AF78</f>
        <v>0</v>
      </c>
      <c r="AO78" s="34" t="s">
        <v>452</v>
      </c>
      <c r="AP78" s="34" t="s">
        <v>475</v>
      </c>
      <c r="AQ78" s="25" t="s">
        <v>480</v>
      </c>
    </row>
    <row r="79" spans="1:43" ht="12.75">
      <c r="A79" s="4" t="s">
        <v>55</v>
      </c>
      <c r="B79" s="4"/>
      <c r="C79" s="4" t="s">
        <v>178</v>
      </c>
      <c r="D79" s="4" t="s">
        <v>318</v>
      </c>
      <c r="E79" s="4" t="s">
        <v>403</v>
      </c>
      <c r="F79" s="16">
        <v>18</v>
      </c>
      <c r="G79" s="16"/>
      <c r="H79" s="16">
        <f>F79*AE79</f>
        <v>0</v>
      </c>
      <c r="I79" s="16">
        <f>J79-H79</f>
        <v>0</v>
      </c>
      <c r="J79" s="16">
        <f>F79*G79</f>
        <v>0</v>
      </c>
      <c r="K79" s="16">
        <v>0.00254</v>
      </c>
      <c r="L79" s="16">
        <f>F79*K79</f>
        <v>0.045720000000000004</v>
      </c>
      <c r="M79" s="28" t="s">
        <v>420</v>
      </c>
      <c r="N79" s="28" t="s">
        <v>7</v>
      </c>
      <c r="O79" s="16">
        <f>IF(N79="5",I79,0)</f>
        <v>0</v>
      </c>
      <c r="Z79" s="16">
        <f>IF(AD79=0,J79,0)</f>
        <v>0</v>
      </c>
      <c r="AA79" s="16">
        <f>IF(AD79=15,J79,0)</f>
        <v>0</v>
      </c>
      <c r="AB79" s="16">
        <f>IF(AD79=21,J79,0)</f>
        <v>0</v>
      </c>
      <c r="AD79" s="33">
        <v>15</v>
      </c>
      <c r="AE79" s="33">
        <f>G79*0.397861111111111</f>
        <v>0</v>
      </c>
      <c r="AF79" s="33">
        <f>G79*(1-0.397861111111111)</f>
        <v>0</v>
      </c>
      <c r="AM79" s="33">
        <f>F79*AE79</f>
        <v>0</v>
      </c>
      <c r="AN79" s="33">
        <f>F79*AF79</f>
        <v>0</v>
      </c>
      <c r="AO79" s="34" t="s">
        <v>452</v>
      </c>
      <c r="AP79" s="34" t="s">
        <v>475</v>
      </c>
      <c r="AQ79" s="25" t="s">
        <v>480</v>
      </c>
    </row>
    <row r="80" spans="1:43" ht="12.75">
      <c r="A80" s="4" t="s">
        <v>56</v>
      </c>
      <c r="B80" s="4"/>
      <c r="C80" s="4" t="s">
        <v>179</v>
      </c>
      <c r="D80" s="4" t="s">
        <v>319</v>
      </c>
      <c r="E80" s="4" t="s">
        <v>401</v>
      </c>
      <c r="F80" s="16">
        <v>1</v>
      </c>
      <c r="G80" s="16"/>
      <c r="H80" s="16">
        <f>F80*AE80</f>
        <v>0</v>
      </c>
      <c r="I80" s="16">
        <f>J80-H80</f>
        <v>0</v>
      </c>
      <c r="J80" s="16">
        <f>F80*G80</f>
        <v>0</v>
      </c>
      <c r="K80" s="16">
        <v>0.00179</v>
      </c>
      <c r="L80" s="16">
        <f>F80*K80</f>
        <v>0.00179</v>
      </c>
      <c r="M80" s="28" t="s">
        <v>420</v>
      </c>
      <c r="N80" s="28" t="s">
        <v>7</v>
      </c>
      <c r="O80" s="16">
        <f>IF(N80="5",I80,0)</f>
        <v>0</v>
      </c>
      <c r="Z80" s="16">
        <f>IF(AD80=0,J80,0)</f>
        <v>0</v>
      </c>
      <c r="AA80" s="16">
        <f>IF(AD80=15,J80,0)</f>
        <v>0</v>
      </c>
      <c r="AB80" s="16">
        <f>IF(AD80=21,J80,0)</f>
        <v>0</v>
      </c>
      <c r="AD80" s="33">
        <v>15</v>
      </c>
      <c r="AE80" s="33">
        <f>G80*0.354108</f>
        <v>0</v>
      </c>
      <c r="AF80" s="33">
        <f>G80*(1-0.354108)</f>
        <v>0</v>
      </c>
      <c r="AM80" s="33">
        <f>F80*AE80</f>
        <v>0</v>
      </c>
      <c r="AN80" s="33">
        <f>F80*AF80</f>
        <v>0</v>
      </c>
      <c r="AO80" s="34" t="s">
        <v>452</v>
      </c>
      <c r="AP80" s="34" t="s">
        <v>475</v>
      </c>
      <c r="AQ80" s="25" t="s">
        <v>480</v>
      </c>
    </row>
    <row r="81" spans="1:37" ht="12.75">
      <c r="A81" s="5"/>
      <c r="B81" s="13"/>
      <c r="C81" s="13" t="s">
        <v>180</v>
      </c>
      <c r="D81" s="78" t="s">
        <v>320</v>
      </c>
      <c r="E81" s="79"/>
      <c r="F81" s="79"/>
      <c r="G81" s="79"/>
      <c r="H81" s="36">
        <f>SUM(H82:H82)</f>
        <v>0</v>
      </c>
      <c r="I81" s="36">
        <f>SUM(I82:I82)</f>
        <v>0</v>
      </c>
      <c r="J81" s="36">
        <f>H81+I81</f>
        <v>0</v>
      </c>
      <c r="K81" s="25"/>
      <c r="L81" s="36">
        <f>SUM(L82:L82)</f>
        <v>0.00019</v>
      </c>
      <c r="M81" s="25"/>
      <c r="P81" s="36">
        <f>IF(Q81="PR",J81,SUM(O82:O82))</f>
        <v>0</v>
      </c>
      <c r="Q81" s="25" t="s">
        <v>424</v>
      </c>
      <c r="R81" s="36">
        <f>IF(Q81="HS",H81,0)</f>
        <v>0</v>
      </c>
      <c r="S81" s="36">
        <f>IF(Q81="HS",I81-P81,0)</f>
        <v>0</v>
      </c>
      <c r="T81" s="36">
        <f>IF(Q81="PS",H81,0)</f>
        <v>0</v>
      </c>
      <c r="U81" s="36">
        <f>IF(Q81="PS",I81-P81,0)</f>
        <v>0</v>
      </c>
      <c r="V81" s="36">
        <f>IF(Q81="MP",H81,0)</f>
        <v>0</v>
      </c>
      <c r="W81" s="36">
        <f>IF(Q81="MP",I81-P81,0)</f>
        <v>0</v>
      </c>
      <c r="X81" s="36">
        <f>IF(Q81="OM",H81,0)</f>
        <v>0</v>
      </c>
      <c r="Y81" s="25"/>
      <c r="AI81" s="36">
        <f>SUM(Z82:Z82)</f>
        <v>0</v>
      </c>
      <c r="AJ81" s="36">
        <f>SUM(AA82:AA82)</f>
        <v>0</v>
      </c>
      <c r="AK81" s="36">
        <f>SUM(AB82:AB82)</f>
        <v>0</v>
      </c>
    </row>
    <row r="82" spans="1:43" ht="12.75">
      <c r="A82" s="4" t="s">
        <v>57</v>
      </c>
      <c r="B82" s="4"/>
      <c r="C82" s="4" t="s">
        <v>181</v>
      </c>
      <c r="D82" s="4" t="s">
        <v>321</v>
      </c>
      <c r="E82" s="4" t="s">
        <v>400</v>
      </c>
      <c r="F82" s="16">
        <v>1</v>
      </c>
      <c r="G82" s="16"/>
      <c r="H82" s="16">
        <f>F82*AE82</f>
        <v>0</v>
      </c>
      <c r="I82" s="16">
        <f>J82-H82</f>
        <v>0</v>
      </c>
      <c r="J82" s="16">
        <f>F82*G82</f>
        <v>0</v>
      </c>
      <c r="K82" s="16">
        <v>0.00019</v>
      </c>
      <c r="L82" s="16">
        <f>F82*K82</f>
        <v>0.00019</v>
      </c>
      <c r="M82" s="28" t="s">
        <v>420</v>
      </c>
      <c r="N82" s="28" t="s">
        <v>7</v>
      </c>
      <c r="O82" s="16">
        <f>IF(N82="5",I82,0)</f>
        <v>0</v>
      </c>
      <c r="Z82" s="16">
        <f>IF(AD82=0,J82,0)</f>
        <v>0</v>
      </c>
      <c r="AA82" s="16">
        <f>IF(AD82=15,J82,0)</f>
        <v>0</v>
      </c>
      <c r="AB82" s="16">
        <f>IF(AD82=21,J82,0)</f>
        <v>0</v>
      </c>
      <c r="AD82" s="33">
        <v>15</v>
      </c>
      <c r="AE82" s="33">
        <f>G82*0.601203369434417</f>
        <v>0</v>
      </c>
      <c r="AF82" s="33">
        <f>G82*(1-0.601203369434417)</f>
        <v>0</v>
      </c>
      <c r="AM82" s="33">
        <f>F82*AE82</f>
        <v>0</v>
      </c>
      <c r="AN82" s="33">
        <f>F82*AF82</f>
        <v>0</v>
      </c>
      <c r="AO82" s="34" t="s">
        <v>453</v>
      </c>
      <c r="AP82" s="34" t="s">
        <v>475</v>
      </c>
      <c r="AQ82" s="25" t="s">
        <v>480</v>
      </c>
    </row>
    <row r="83" spans="1:37" ht="12.75">
      <c r="A83" s="5"/>
      <c r="B83" s="13"/>
      <c r="C83" s="13" t="s">
        <v>182</v>
      </c>
      <c r="D83" s="78" t="s">
        <v>322</v>
      </c>
      <c r="E83" s="79"/>
      <c r="F83" s="79"/>
      <c r="G83" s="79"/>
      <c r="H83" s="36">
        <f>SUM(H84:H90)</f>
        <v>0</v>
      </c>
      <c r="I83" s="36">
        <f>SUM(I84:I90)</f>
        <v>0</v>
      </c>
      <c r="J83" s="36">
        <f>H83+I83</f>
        <v>0</v>
      </c>
      <c r="K83" s="25"/>
      <c r="L83" s="36">
        <f>SUM(L84:L90)</f>
        <v>0.019323999999999997</v>
      </c>
      <c r="M83" s="25"/>
      <c r="P83" s="36">
        <f>IF(Q83="PR",J83,SUM(O84:O90))</f>
        <v>0</v>
      </c>
      <c r="Q83" s="25" t="s">
        <v>424</v>
      </c>
      <c r="R83" s="36">
        <f>IF(Q83="HS",H83,0)</f>
        <v>0</v>
      </c>
      <c r="S83" s="36">
        <f>IF(Q83="HS",I83-P83,0)</f>
        <v>0</v>
      </c>
      <c r="T83" s="36">
        <f>IF(Q83="PS",H83,0)</f>
        <v>0</v>
      </c>
      <c r="U83" s="36">
        <f>IF(Q83="PS",I83-P83,0)</f>
        <v>0</v>
      </c>
      <c r="V83" s="36">
        <f>IF(Q83="MP",H83,0)</f>
        <v>0</v>
      </c>
      <c r="W83" s="36">
        <f>IF(Q83="MP",I83-P83,0)</f>
        <v>0</v>
      </c>
      <c r="X83" s="36">
        <f>IF(Q83="OM",H83,0)</f>
        <v>0</v>
      </c>
      <c r="Y83" s="25"/>
      <c r="AI83" s="36">
        <f>SUM(Z84:Z90)</f>
        <v>0</v>
      </c>
      <c r="AJ83" s="36">
        <f>SUM(AA84:AA90)</f>
        <v>0</v>
      </c>
      <c r="AK83" s="36">
        <f>SUM(AB84:AB90)</f>
        <v>0</v>
      </c>
    </row>
    <row r="84" spans="1:43" ht="12.75">
      <c r="A84" s="4" t="s">
        <v>58</v>
      </c>
      <c r="B84" s="4"/>
      <c r="C84" s="4" t="s">
        <v>183</v>
      </c>
      <c r="D84" s="4" t="s">
        <v>323</v>
      </c>
      <c r="E84" s="4" t="s">
        <v>403</v>
      </c>
      <c r="F84" s="16">
        <v>14</v>
      </c>
      <c r="G84" s="16"/>
      <c r="H84" s="16">
        <f aca="true" t="shared" si="10" ref="H84:H90">F84*AE84</f>
        <v>0</v>
      </c>
      <c r="I84" s="16">
        <f aca="true" t="shared" si="11" ref="I84:I90">J84-H84</f>
        <v>0</v>
      </c>
      <c r="J84" s="16">
        <f aca="true" t="shared" si="12" ref="J84:J90">F84*G84</f>
        <v>0</v>
      </c>
      <c r="K84" s="16">
        <v>0.0012</v>
      </c>
      <c r="L84" s="16">
        <f aca="true" t="shared" si="13" ref="L84:L90">F84*K84</f>
        <v>0.0168</v>
      </c>
      <c r="M84" s="28" t="s">
        <v>420</v>
      </c>
      <c r="N84" s="28" t="s">
        <v>7</v>
      </c>
      <c r="O84" s="16">
        <f aca="true" t="shared" si="14" ref="O84:O90">IF(N84="5",I84,0)</f>
        <v>0</v>
      </c>
      <c r="Z84" s="16">
        <f aca="true" t="shared" si="15" ref="Z84:Z90">IF(AD84=0,J84,0)</f>
        <v>0</v>
      </c>
      <c r="AA84" s="16">
        <f aca="true" t="shared" si="16" ref="AA84:AA90">IF(AD84=15,J84,0)</f>
        <v>0</v>
      </c>
      <c r="AB84" s="16">
        <f aca="true" t="shared" si="17" ref="AB84:AB90">IF(AD84=21,J84,0)</f>
        <v>0</v>
      </c>
      <c r="AD84" s="33">
        <v>15</v>
      </c>
      <c r="AE84" s="33">
        <f>G84*0.126745954219998</f>
        <v>0</v>
      </c>
      <c r="AF84" s="33">
        <f>G84*(1-0.126745954219998)</f>
        <v>0</v>
      </c>
      <c r="AM84" s="33">
        <f aca="true" t="shared" si="18" ref="AM84:AM90">F84*AE84</f>
        <v>0</v>
      </c>
      <c r="AN84" s="33">
        <f aca="true" t="shared" si="19" ref="AN84:AN90">F84*AF84</f>
        <v>0</v>
      </c>
      <c r="AO84" s="34" t="s">
        <v>454</v>
      </c>
      <c r="AP84" s="34" t="s">
        <v>475</v>
      </c>
      <c r="AQ84" s="25" t="s">
        <v>480</v>
      </c>
    </row>
    <row r="85" spans="1:43" ht="12.75">
      <c r="A85" s="4" t="s">
        <v>59</v>
      </c>
      <c r="B85" s="4"/>
      <c r="C85" s="4" t="s">
        <v>184</v>
      </c>
      <c r="D85" s="4" t="s">
        <v>324</v>
      </c>
      <c r="E85" s="4" t="s">
        <v>403</v>
      </c>
      <c r="F85" s="16">
        <v>14</v>
      </c>
      <c r="G85" s="16"/>
      <c r="H85" s="16">
        <f t="shared" si="10"/>
        <v>0</v>
      </c>
      <c r="I85" s="16">
        <f t="shared" si="11"/>
        <v>0</v>
      </c>
      <c r="J85" s="16">
        <f t="shared" si="12"/>
        <v>0</v>
      </c>
      <c r="K85" s="16">
        <v>0</v>
      </c>
      <c r="L85" s="16">
        <f t="shared" si="13"/>
        <v>0</v>
      </c>
      <c r="M85" s="28" t="s">
        <v>420</v>
      </c>
      <c r="N85" s="28" t="s">
        <v>7</v>
      </c>
      <c r="O85" s="16">
        <f t="shared" si="14"/>
        <v>0</v>
      </c>
      <c r="Z85" s="16">
        <f t="shared" si="15"/>
        <v>0</v>
      </c>
      <c r="AA85" s="16">
        <f t="shared" si="16"/>
        <v>0</v>
      </c>
      <c r="AB85" s="16">
        <f t="shared" si="17"/>
        <v>0</v>
      </c>
      <c r="AD85" s="33">
        <v>15</v>
      </c>
      <c r="AE85" s="33">
        <f>G85*0</f>
        <v>0</v>
      </c>
      <c r="AF85" s="33">
        <f>G85*(1-0)</f>
        <v>0</v>
      </c>
      <c r="AM85" s="33">
        <f t="shared" si="18"/>
        <v>0</v>
      </c>
      <c r="AN85" s="33">
        <f t="shared" si="19"/>
        <v>0</v>
      </c>
      <c r="AO85" s="34" t="s">
        <v>454</v>
      </c>
      <c r="AP85" s="34" t="s">
        <v>475</v>
      </c>
      <c r="AQ85" s="25" t="s">
        <v>480</v>
      </c>
    </row>
    <row r="86" spans="1:43" ht="12.75">
      <c r="A86" s="4" t="s">
        <v>60</v>
      </c>
      <c r="B86" s="4"/>
      <c r="C86" s="4" t="s">
        <v>185</v>
      </c>
      <c r="D86" s="4" t="s">
        <v>325</v>
      </c>
      <c r="E86" s="4" t="s">
        <v>403</v>
      </c>
      <c r="F86" s="16">
        <v>4</v>
      </c>
      <c r="G86" s="16"/>
      <c r="H86" s="16">
        <f t="shared" si="10"/>
        <v>0</v>
      </c>
      <c r="I86" s="16">
        <f t="shared" si="11"/>
        <v>0</v>
      </c>
      <c r="J86" s="16">
        <f t="shared" si="12"/>
        <v>0</v>
      </c>
      <c r="K86" s="16">
        <v>0</v>
      </c>
      <c r="L86" s="16">
        <f t="shared" si="13"/>
        <v>0</v>
      </c>
      <c r="M86" s="28" t="s">
        <v>420</v>
      </c>
      <c r="N86" s="28" t="s">
        <v>7</v>
      </c>
      <c r="O86" s="16">
        <f t="shared" si="14"/>
        <v>0</v>
      </c>
      <c r="Z86" s="16">
        <f t="shared" si="15"/>
        <v>0</v>
      </c>
      <c r="AA86" s="16">
        <f t="shared" si="16"/>
        <v>0</v>
      </c>
      <c r="AB86" s="16">
        <f t="shared" si="17"/>
        <v>0</v>
      </c>
      <c r="AD86" s="33">
        <v>15</v>
      </c>
      <c r="AE86" s="33">
        <f>G86*0</f>
        <v>0</v>
      </c>
      <c r="AF86" s="33">
        <f>G86*(1-0)</f>
        <v>0</v>
      </c>
      <c r="AM86" s="33">
        <f t="shared" si="18"/>
        <v>0</v>
      </c>
      <c r="AN86" s="33">
        <f t="shared" si="19"/>
        <v>0</v>
      </c>
      <c r="AO86" s="34" t="s">
        <v>454</v>
      </c>
      <c r="AP86" s="34" t="s">
        <v>475</v>
      </c>
      <c r="AQ86" s="25" t="s">
        <v>480</v>
      </c>
    </row>
    <row r="87" spans="1:43" ht="12.75">
      <c r="A87" s="4" t="s">
        <v>61</v>
      </c>
      <c r="B87" s="4"/>
      <c r="C87" s="4" t="s">
        <v>186</v>
      </c>
      <c r="D87" s="4" t="s">
        <v>326</v>
      </c>
      <c r="E87" s="4" t="s">
        <v>403</v>
      </c>
      <c r="F87" s="16">
        <v>18</v>
      </c>
      <c r="G87" s="16"/>
      <c r="H87" s="16">
        <f t="shared" si="10"/>
        <v>0</v>
      </c>
      <c r="I87" s="16">
        <f t="shared" si="11"/>
        <v>0</v>
      </c>
      <c r="J87" s="16">
        <f t="shared" si="12"/>
        <v>0</v>
      </c>
      <c r="K87" s="16">
        <v>1E-05</v>
      </c>
      <c r="L87" s="16">
        <f t="shared" si="13"/>
        <v>0.00018</v>
      </c>
      <c r="M87" s="28" t="s">
        <v>420</v>
      </c>
      <c r="N87" s="28" t="s">
        <v>7</v>
      </c>
      <c r="O87" s="16">
        <f t="shared" si="14"/>
        <v>0</v>
      </c>
      <c r="Z87" s="16">
        <f t="shared" si="15"/>
        <v>0</v>
      </c>
      <c r="AA87" s="16">
        <f t="shared" si="16"/>
        <v>0</v>
      </c>
      <c r="AB87" s="16">
        <f t="shared" si="17"/>
        <v>0</v>
      </c>
      <c r="AD87" s="33">
        <v>15</v>
      </c>
      <c r="AE87" s="33">
        <f>G87*0.0277644230769231</f>
        <v>0</v>
      </c>
      <c r="AF87" s="33">
        <f>G87*(1-0.0277644230769231)</f>
        <v>0</v>
      </c>
      <c r="AM87" s="33">
        <f t="shared" si="18"/>
        <v>0</v>
      </c>
      <c r="AN87" s="33">
        <f t="shared" si="19"/>
        <v>0</v>
      </c>
      <c r="AO87" s="34" t="s">
        <v>454</v>
      </c>
      <c r="AP87" s="34" t="s">
        <v>475</v>
      </c>
      <c r="AQ87" s="25" t="s">
        <v>480</v>
      </c>
    </row>
    <row r="88" spans="1:43" ht="12.75">
      <c r="A88" s="4" t="s">
        <v>62</v>
      </c>
      <c r="B88" s="4"/>
      <c r="C88" s="4" t="s">
        <v>187</v>
      </c>
      <c r="D88" s="4" t="s">
        <v>327</v>
      </c>
      <c r="E88" s="4" t="s">
        <v>403</v>
      </c>
      <c r="F88" s="16">
        <v>14</v>
      </c>
      <c r="G88" s="16"/>
      <c r="H88" s="16">
        <f t="shared" si="10"/>
        <v>0</v>
      </c>
      <c r="I88" s="16">
        <f t="shared" si="11"/>
        <v>0</v>
      </c>
      <c r="J88" s="16">
        <f t="shared" si="12"/>
        <v>0</v>
      </c>
      <c r="K88" s="16">
        <v>2E-05</v>
      </c>
      <c r="L88" s="16">
        <f t="shared" si="13"/>
        <v>0.00028000000000000003</v>
      </c>
      <c r="M88" s="28" t="s">
        <v>420</v>
      </c>
      <c r="N88" s="28" t="s">
        <v>7</v>
      </c>
      <c r="O88" s="16">
        <f t="shared" si="14"/>
        <v>0</v>
      </c>
      <c r="Z88" s="16">
        <f t="shared" si="15"/>
        <v>0</v>
      </c>
      <c r="AA88" s="16">
        <f t="shared" si="16"/>
        <v>0</v>
      </c>
      <c r="AB88" s="16">
        <f t="shared" si="17"/>
        <v>0</v>
      </c>
      <c r="AD88" s="33">
        <v>15</v>
      </c>
      <c r="AE88" s="33">
        <f>G88*0.0210983981693364</f>
        <v>0</v>
      </c>
      <c r="AF88" s="33">
        <f>G88*(1-0.0210983981693364)</f>
        <v>0</v>
      </c>
      <c r="AM88" s="33">
        <f t="shared" si="18"/>
        <v>0</v>
      </c>
      <c r="AN88" s="33">
        <f t="shared" si="19"/>
        <v>0</v>
      </c>
      <c r="AO88" s="34" t="s">
        <v>454</v>
      </c>
      <c r="AP88" s="34" t="s">
        <v>475</v>
      </c>
      <c r="AQ88" s="25" t="s">
        <v>480</v>
      </c>
    </row>
    <row r="89" spans="1:43" ht="12.75">
      <c r="A89" s="4" t="s">
        <v>63</v>
      </c>
      <c r="B89" s="4"/>
      <c r="C89" s="4" t="s">
        <v>188</v>
      </c>
      <c r="D89" s="4" t="s">
        <v>328</v>
      </c>
      <c r="E89" s="4" t="s">
        <v>403</v>
      </c>
      <c r="F89" s="16">
        <v>1</v>
      </c>
      <c r="G89" s="16"/>
      <c r="H89" s="16">
        <f t="shared" si="10"/>
        <v>0</v>
      </c>
      <c r="I89" s="16">
        <f t="shared" si="11"/>
        <v>0</v>
      </c>
      <c r="J89" s="16">
        <f t="shared" si="12"/>
        <v>0</v>
      </c>
      <c r="K89" s="16">
        <v>0.00168</v>
      </c>
      <c r="L89" s="16">
        <f t="shared" si="13"/>
        <v>0.00168</v>
      </c>
      <c r="M89" s="28" t="s">
        <v>420</v>
      </c>
      <c r="N89" s="28" t="s">
        <v>7</v>
      </c>
      <c r="O89" s="16">
        <f t="shared" si="14"/>
        <v>0</v>
      </c>
      <c r="Z89" s="16">
        <f t="shared" si="15"/>
        <v>0</v>
      </c>
      <c r="AA89" s="16">
        <f t="shared" si="16"/>
        <v>0</v>
      </c>
      <c r="AB89" s="16">
        <f t="shared" si="17"/>
        <v>0</v>
      </c>
      <c r="AD89" s="33">
        <v>15</v>
      </c>
      <c r="AE89" s="33">
        <f>G89*0.174115674769489</f>
        <v>0</v>
      </c>
      <c r="AF89" s="33">
        <f>G89*(1-0.174115674769489)</f>
        <v>0</v>
      </c>
      <c r="AM89" s="33">
        <f t="shared" si="18"/>
        <v>0</v>
      </c>
      <c r="AN89" s="33">
        <f t="shared" si="19"/>
        <v>0</v>
      </c>
      <c r="AO89" s="34" t="s">
        <v>454</v>
      </c>
      <c r="AP89" s="34" t="s">
        <v>475</v>
      </c>
      <c r="AQ89" s="25" t="s">
        <v>480</v>
      </c>
    </row>
    <row r="90" spans="1:43" ht="12.75">
      <c r="A90" s="4" t="s">
        <v>64</v>
      </c>
      <c r="B90" s="4"/>
      <c r="C90" s="4" t="s">
        <v>189</v>
      </c>
      <c r="D90" s="4" t="s">
        <v>329</v>
      </c>
      <c r="E90" s="4" t="s">
        <v>401</v>
      </c>
      <c r="F90" s="16">
        <v>4.8</v>
      </c>
      <c r="G90" s="16"/>
      <c r="H90" s="16">
        <f t="shared" si="10"/>
        <v>0</v>
      </c>
      <c r="I90" s="16">
        <f t="shared" si="11"/>
        <v>0</v>
      </c>
      <c r="J90" s="16">
        <f t="shared" si="12"/>
        <v>0</v>
      </c>
      <c r="K90" s="16">
        <v>8E-05</v>
      </c>
      <c r="L90" s="16">
        <f t="shared" si="13"/>
        <v>0.000384</v>
      </c>
      <c r="M90" s="28" t="s">
        <v>420</v>
      </c>
      <c r="N90" s="28" t="s">
        <v>7</v>
      </c>
      <c r="O90" s="16">
        <f t="shared" si="14"/>
        <v>0</v>
      </c>
      <c r="Z90" s="16">
        <f t="shared" si="15"/>
        <v>0</v>
      </c>
      <c r="AA90" s="16">
        <f t="shared" si="16"/>
        <v>0</v>
      </c>
      <c r="AB90" s="16">
        <f t="shared" si="17"/>
        <v>0</v>
      </c>
      <c r="AD90" s="33">
        <v>15</v>
      </c>
      <c r="AE90" s="33">
        <f>G90*0.0492424242424242</f>
        <v>0</v>
      </c>
      <c r="AF90" s="33">
        <f>G90*(1-0.0492424242424242)</f>
        <v>0</v>
      </c>
      <c r="AM90" s="33">
        <f t="shared" si="18"/>
        <v>0</v>
      </c>
      <c r="AN90" s="33">
        <f t="shared" si="19"/>
        <v>0</v>
      </c>
      <c r="AO90" s="34" t="s">
        <v>454</v>
      </c>
      <c r="AP90" s="34" t="s">
        <v>475</v>
      </c>
      <c r="AQ90" s="25" t="s">
        <v>480</v>
      </c>
    </row>
    <row r="91" spans="1:37" ht="12.75">
      <c r="A91" s="5"/>
      <c r="B91" s="13"/>
      <c r="C91" s="13" t="s">
        <v>190</v>
      </c>
      <c r="D91" s="78" t="s">
        <v>330</v>
      </c>
      <c r="E91" s="79"/>
      <c r="F91" s="79"/>
      <c r="G91" s="79"/>
      <c r="H91" s="36">
        <f>SUM(H92:H95)</f>
        <v>0</v>
      </c>
      <c r="I91" s="36">
        <f>SUM(I92:I95)</f>
        <v>0</v>
      </c>
      <c r="J91" s="36">
        <f>H91+I91</f>
        <v>0</v>
      </c>
      <c r="K91" s="25"/>
      <c r="L91" s="36">
        <f>SUM(L92:L95)</f>
        <v>0.22835999999999998</v>
      </c>
      <c r="M91" s="25"/>
      <c r="P91" s="36">
        <f>IF(Q91="PR",J91,SUM(O92:O95))</f>
        <v>0</v>
      </c>
      <c r="Q91" s="25" t="s">
        <v>424</v>
      </c>
      <c r="R91" s="36">
        <f>IF(Q91="HS",H91,0)</f>
        <v>0</v>
      </c>
      <c r="S91" s="36">
        <f>IF(Q91="HS",I91-P91,0)</f>
        <v>0</v>
      </c>
      <c r="T91" s="36">
        <f>IF(Q91="PS",H91,0)</f>
        <v>0</v>
      </c>
      <c r="U91" s="36">
        <f>IF(Q91="PS",I91-P91,0)</f>
        <v>0</v>
      </c>
      <c r="V91" s="36">
        <f>IF(Q91="MP",H91,0)</f>
        <v>0</v>
      </c>
      <c r="W91" s="36">
        <f>IF(Q91="MP",I91-P91,0)</f>
        <v>0</v>
      </c>
      <c r="X91" s="36">
        <f>IF(Q91="OM",H91,0)</f>
        <v>0</v>
      </c>
      <c r="Y91" s="25"/>
      <c r="AI91" s="36">
        <f>SUM(Z92:Z95)</f>
        <v>0</v>
      </c>
      <c r="AJ91" s="36">
        <f>SUM(AA92:AA95)</f>
        <v>0</v>
      </c>
      <c r="AK91" s="36">
        <f>SUM(AB92:AB95)</f>
        <v>0</v>
      </c>
    </row>
    <row r="92" spans="1:43" ht="12.75">
      <c r="A92" s="4" t="s">
        <v>65</v>
      </c>
      <c r="B92" s="4"/>
      <c r="C92" s="4" t="s">
        <v>191</v>
      </c>
      <c r="D92" s="4" t="s">
        <v>331</v>
      </c>
      <c r="E92" s="4" t="s">
        <v>400</v>
      </c>
      <c r="F92" s="16">
        <v>66</v>
      </c>
      <c r="G92" s="16"/>
      <c r="H92" s="16">
        <f>F92*AE92</f>
        <v>0</v>
      </c>
      <c r="I92" s="16">
        <f>J92-H92</f>
        <v>0</v>
      </c>
      <c r="J92" s="16">
        <f>F92*G92</f>
        <v>0</v>
      </c>
      <c r="K92" s="16">
        <v>0.0004</v>
      </c>
      <c r="L92" s="16">
        <f>F92*K92</f>
        <v>0.0264</v>
      </c>
      <c r="M92" s="28" t="s">
        <v>420</v>
      </c>
      <c r="N92" s="28" t="s">
        <v>7</v>
      </c>
      <c r="O92" s="16">
        <f>IF(N92="5",I92,0)</f>
        <v>0</v>
      </c>
      <c r="Z92" s="16">
        <f>IF(AD92=0,J92,0)</f>
        <v>0</v>
      </c>
      <c r="AA92" s="16">
        <f>IF(AD92=15,J92,0)</f>
        <v>0</v>
      </c>
      <c r="AB92" s="16">
        <f>IF(AD92=21,J92,0)</f>
        <v>0</v>
      </c>
      <c r="AD92" s="33">
        <v>15</v>
      </c>
      <c r="AE92" s="33">
        <f>G92*1</f>
        <v>0</v>
      </c>
      <c r="AF92" s="33">
        <f>G92*(1-1)</f>
        <v>0</v>
      </c>
      <c r="AM92" s="33">
        <f>F92*AE92</f>
        <v>0</v>
      </c>
      <c r="AN92" s="33">
        <f>F92*AF92</f>
        <v>0</v>
      </c>
      <c r="AO92" s="34" t="s">
        <v>455</v>
      </c>
      <c r="AP92" s="34" t="s">
        <v>476</v>
      </c>
      <c r="AQ92" s="25" t="s">
        <v>480</v>
      </c>
    </row>
    <row r="93" spans="1:43" ht="12.75">
      <c r="A93" s="4" t="s">
        <v>66</v>
      </c>
      <c r="B93" s="4"/>
      <c r="C93" s="4" t="s">
        <v>192</v>
      </c>
      <c r="D93" s="4" t="s">
        <v>332</v>
      </c>
      <c r="E93" s="4" t="s">
        <v>400</v>
      </c>
      <c r="F93" s="16">
        <v>66</v>
      </c>
      <c r="G93" s="16"/>
      <c r="H93" s="16">
        <f>F93*AE93</f>
        <v>0</v>
      </c>
      <c r="I93" s="16">
        <f>J93-H93</f>
        <v>0</v>
      </c>
      <c r="J93" s="16">
        <f>F93*G93</f>
        <v>0</v>
      </c>
      <c r="K93" s="16">
        <v>0</v>
      </c>
      <c r="L93" s="16">
        <f>F93*K93</f>
        <v>0</v>
      </c>
      <c r="M93" s="28" t="s">
        <v>420</v>
      </c>
      <c r="N93" s="28" t="s">
        <v>7</v>
      </c>
      <c r="O93" s="16">
        <f>IF(N93="5",I93,0)</f>
        <v>0</v>
      </c>
      <c r="Z93" s="16">
        <f>IF(AD93=0,J93,0)</f>
        <v>0</v>
      </c>
      <c r="AA93" s="16">
        <f>IF(AD93=15,J93,0)</f>
        <v>0</v>
      </c>
      <c r="AB93" s="16">
        <f>IF(AD93=21,J93,0)</f>
        <v>0</v>
      </c>
      <c r="AD93" s="33">
        <v>15</v>
      </c>
      <c r="AE93" s="33">
        <f>G93*0</f>
        <v>0</v>
      </c>
      <c r="AF93" s="33">
        <f>G93*(1-0)</f>
        <v>0</v>
      </c>
      <c r="AM93" s="33">
        <f>F93*AE93</f>
        <v>0</v>
      </c>
      <c r="AN93" s="33">
        <f>F93*AF93</f>
        <v>0</v>
      </c>
      <c r="AO93" s="34" t="s">
        <v>455</v>
      </c>
      <c r="AP93" s="34" t="s">
        <v>476</v>
      </c>
      <c r="AQ93" s="25" t="s">
        <v>480</v>
      </c>
    </row>
    <row r="94" spans="1:43" ht="12.75">
      <c r="A94" s="4" t="s">
        <v>67</v>
      </c>
      <c r="B94" s="4"/>
      <c r="C94" s="4" t="s">
        <v>193</v>
      </c>
      <c r="D94" s="4" t="s">
        <v>333</v>
      </c>
      <c r="E94" s="4" t="s">
        <v>400</v>
      </c>
      <c r="F94" s="16">
        <v>66</v>
      </c>
      <c r="G94" s="16"/>
      <c r="H94" s="16">
        <f>F94*AE94</f>
        <v>0</v>
      </c>
      <c r="I94" s="16">
        <f>J94-H94</f>
        <v>0</v>
      </c>
      <c r="J94" s="16">
        <f>F94*G94</f>
        <v>0</v>
      </c>
      <c r="K94" s="16">
        <v>0</v>
      </c>
      <c r="L94" s="16">
        <f>F94*K94</f>
        <v>0</v>
      </c>
      <c r="M94" s="28" t="s">
        <v>420</v>
      </c>
      <c r="N94" s="28" t="s">
        <v>7</v>
      </c>
      <c r="O94" s="16">
        <f>IF(N94="5",I94,0)</f>
        <v>0</v>
      </c>
      <c r="Z94" s="16">
        <f>IF(AD94=0,J94,0)</f>
        <v>0</v>
      </c>
      <c r="AA94" s="16">
        <f>IF(AD94=15,J94,0)</f>
        <v>0</v>
      </c>
      <c r="AB94" s="16">
        <f>IF(AD94=21,J94,0)</f>
        <v>0</v>
      </c>
      <c r="AD94" s="33">
        <v>15</v>
      </c>
      <c r="AE94" s="33">
        <f>G94*0</f>
        <v>0</v>
      </c>
      <c r="AF94" s="33">
        <f>G94*(1-0)</f>
        <v>0</v>
      </c>
      <c r="AM94" s="33">
        <f>F94*AE94</f>
        <v>0</v>
      </c>
      <c r="AN94" s="33">
        <f>F94*AF94</f>
        <v>0</v>
      </c>
      <c r="AO94" s="34" t="s">
        <v>455</v>
      </c>
      <c r="AP94" s="34" t="s">
        <v>476</v>
      </c>
      <c r="AQ94" s="25" t="s">
        <v>480</v>
      </c>
    </row>
    <row r="95" spans="1:43" ht="12.75">
      <c r="A95" s="4" t="s">
        <v>68</v>
      </c>
      <c r="B95" s="4"/>
      <c r="C95" s="4" t="s">
        <v>194</v>
      </c>
      <c r="D95" s="4" t="s">
        <v>334</v>
      </c>
      <c r="E95" s="4" t="s">
        <v>400</v>
      </c>
      <c r="F95" s="16">
        <v>66</v>
      </c>
      <c r="G95" s="16"/>
      <c r="H95" s="16">
        <f>F95*AE95</f>
        <v>0</v>
      </c>
      <c r="I95" s="16">
        <f>J95-H95</f>
        <v>0</v>
      </c>
      <c r="J95" s="16">
        <f>F95*G95</f>
        <v>0</v>
      </c>
      <c r="K95" s="16">
        <v>0.00306</v>
      </c>
      <c r="L95" s="16">
        <f>F95*K95</f>
        <v>0.20195999999999997</v>
      </c>
      <c r="M95" s="28" t="s">
        <v>420</v>
      </c>
      <c r="N95" s="28" t="s">
        <v>7</v>
      </c>
      <c r="O95" s="16">
        <f>IF(N95="5",I95,0)</f>
        <v>0</v>
      </c>
      <c r="Z95" s="16">
        <f>IF(AD95=0,J95,0)</f>
        <v>0</v>
      </c>
      <c r="AA95" s="16">
        <f>IF(AD95=15,J95,0)</f>
        <v>0</v>
      </c>
      <c r="AB95" s="16">
        <f>IF(AD95=21,J95,0)</f>
        <v>0</v>
      </c>
      <c r="AD95" s="33">
        <v>15</v>
      </c>
      <c r="AE95" s="33">
        <f>G95*0.102904564315353</f>
        <v>0</v>
      </c>
      <c r="AF95" s="33">
        <f>G95*(1-0.102904564315353)</f>
        <v>0</v>
      </c>
      <c r="AM95" s="33">
        <f>F95*AE95</f>
        <v>0</v>
      </c>
      <c r="AN95" s="33">
        <f>F95*AF95</f>
        <v>0</v>
      </c>
      <c r="AO95" s="34" t="s">
        <v>455</v>
      </c>
      <c r="AP95" s="34" t="s">
        <v>476</v>
      </c>
      <c r="AQ95" s="25" t="s">
        <v>480</v>
      </c>
    </row>
    <row r="96" spans="1:37" ht="12.75">
      <c r="A96" s="5"/>
      <c r="B96" s="13"/>
      <c r="C96" s="13" t="s">
        <v>195</v>
      </c>
      <c r="D96" s="78" t="s">
        <v>335</v>
      </c>
      <c r="E96" s="79"/>
      <c r="F96" s="79"/>
      <c r="G96" s="79"/>
      <c r="H96" s="36">
        <f>SUM(H97:H101)</f>
        <v>0</v>
      </c>
      <c r="I96" s="36">
        <f>SUM(I97:I101)</f>
        <v>0</v>
      </c>
      <c r="J96" s="36">
        <f>H96+I96</f>
        <v>0</v>
      </c>
      <c r="K96" s="25"/>
      <c r="L96" s="36">
        <f>SUM(L97:L101)</f>
        <v>0.7866200000000001</v>
      </c>
      <c r="M96" s="25"/>
      <c r="P96" s="36">
        <f>IF(Q96="PR",J96,SUM(O97:O101))</f>
        <v>0</v>
      </c>
      <c r="Q96" s="25" t="s">
        <v>424</v>
      </c>
      <c r="R96" s="36">
        <f>IF(Q96="HS",H96,0)</f>
        <v>0</v>
      </c>
      <c r="S96" s="36">
        <f>IF(Q96="HS",I96-P96,0)</f>
        <v>0</v>
      </c>
      <c r="T96" s="36">
        <f>IF(Q96="PS",H96,0)</f>
        <v>0</v>
      </c>
      <c r="U96" s="36">
        <f>IF(Q96="PS",I96-P96,0)</f>
        <v>0</v>
      </c>
      <c r="V96" s="36">
        <f>IF(Q96="MP",H96,0)</f>
        <v>0</v>
      </c>
      <c r="W96" s="36">
        <f>IF(Q96="MP",I96-P96,0)</f>
        <v>0</v>
      </c>
      <c r="X96" s="36">
        <f>IF(Q96="OM",H96,0)</f>
        <v>0</v>
      </c>
      <c r="Y96" s="25"/>
      <c r="AI96" s="36">
        <f>SUM(Z97:Z101)</f>
        <v>0</v>
      </c>
      <c r="AJ96" s="36">
        <f>SUM(AA97:AA101)</f>
        <v>0</v>
      </c>
      <c r="AK96" s="36">
        <f>SUM(AB97:AB101)</f>
        <v>0</v>
      </c>
    </row>
    <row r="97" spans="1:43" ht="12.75">
      <c r="A97" s="4" t="s">
        <v>69</v>
      </c>
      <c r="B97" s="4"/>
      <c r="C97" s="4" t="s">
        <v>196</v>
      </c>
      <c r="D97" s="4" t="s">
        <v>336</v>
      </c>
      <c r="E97" s="4" t="s">
        <v>400</v>
      </c>
      <c r="F97" s="16">
        <v>177</v>
      </c>
      <c r="G97" s="16"/>
      <c r="H97" s="16">
        <f>F97*AE97</f>
        <v>0</v>
      </c>
      <c r="I97" s="16">
        <f>J97-H97</f>
        <v>0</v>
      </c>
      <c r="J97" s="16">
        <f>F97*G97</f>
        <v>0</v>
      </c>
      <c r="K97" s="16">
        <v>0</v>
      </c>
      <c r="L97" s="16">
        <f>F97*K97</f>
        <v>0</v>
      </c>
      <c r="M97" s="28" t="s">
        <v>420</v>
      </c>
      <c r="N97" s="28" t="s">
        <v>7</v>
      </c>
      <c r="O97" s="16">
        <f>IF(N97="5",I97,0)</f>
        <v>0</v>
      </c>
      <c r="Z97" s="16">
        <f>IF(AD97=0,J97,0)</f>
        <v>0</v>
      </c>
      <c r="AA97" s="16">
        <f>IF(AD97=15,J97,0)</f>
        <v>0</v>
      </c>
      <c r="AB97" s="16">
        <f>IF(AD97=21,J97,0)</f>
        <v>0</v>
      </c>
      <c r="AD97" s="33">
        <v>15</v>
      </c>
      <c r="AE97" s="33">
        <f>G97*0</f>
        <v>0</v>
      </c>
      <c r="AF97" s="33">
        <f>G97*(1-0)</f>
        <v>0</v>
      </c>
      <c r="AM97" s="33">
        <f>F97*AE97</f>
        <v>0</v>
      </c>
      <c r="AN97" s="33">
        <f>F97*AF97</f>
        <v>0</v>
      </c>
      <c r="AO97" s="34" t="s">
        <v>456</v>
      </c>
      <c r="AP97" s="34" t="s">
        <v>476</v>
      </c>
      <c r="AQ97" s="25" t="s">
        <v>480</v>
      </c>
    </row>
    <row r="98" spans="1:43" ht="12.75">
      <c r="A98" s="4" t="s">
        <v>70</v>
      </c>
      <c r="B98" s="4"/>
      <c r="C98" s="4" t="s">
        <v>197</v>
      </c>
      <c r="D98" s="4" t="s">
        <v>333</v>
      </c>
      <c r="E98" s="4" t="s">
        <v>400</v>
      </c>
      <c r="F98" s="16">
        <v>177</v>
      </c>
      <c r="G98" s="16"/>
      <c r="H98" s="16">
        <f>F98*AE98</f>
        <v>0</v>
      </c>
      <c r="I98" s="16">
        <f>J98-H98</f>
        <v>0</v>
      </c>
      <c r="J98" s="16">
        <f>F98*G98</f>
        <v>0</v>
      </c>
      <c r="K98" s="16">
        <v>0</v>
      </c>
      <c r="L98" s="16">
        <f>F98*K98</f>
        <v>0</v>
      </c>
      <c r="M98" s="28" t="s">
        <v>420</v>
      </c>
      <c r="N98" s="28" t="s">
        <v>7</v>
      </c>
      <c r="O98" s="16">
        <f>IF(N98="5",I98,0)</f>
        <v>0</v>
      </c>
      <c r="Z98" s="16">
        <f>IF(AD98=0,J98,0)</f>
        <v>0</v>
      </c>
      <c r="AA98" s="16">
        <f>IF(AD98=15,J98,0)</f>
        <v>0</v>
      </c>
      <c r="AB98" s="16">
        <f>IF(AD98=21,J98,0)</f>
        <v>0</v>
      </c>
      <c r="AD98" s="33">
        <v>15</v>
      </c>
      <c r="AE98" s="33">
        <f>G98*0</f>
        <v>0</v>
      </c>
      <c r="AF98" s="33">
        <f>G98*(1-0)</f>
        <v>0</v>
      </c>
      <c r="AM98" s="33">
        <f>F98*AE98</f>
        <v>0</v>
      </c>
      <c r="AN98" s="33">
        <f>F98*AF98</f>
        <v>0</v>
      </c>
      <c r="AO98" s="34" t="s">
        <v>456</v>
      </c>
      <c r="AP98" s="34" t="s">
        <v>476</v>
      </c>
      <c r="AQ98" s="25" t="s">
        <v>480</v>
      </c>
    </row>
    <row r="99" spans="1:43" ht="12.75">
      <c r="A99" s="4" t="s">
        <v>71</v>
      </c>
      <c r="B99" s="4"/>
      <c r="C99" s="4" t="s">
        <v>198</v>
      </c>
      <c r="D99" s="4" t="s">
        <v>337</v>
      </c>
      <c r="E99" s="4" t="s">
        <v>401</v>
      </c>
      <c r="F99" s="16">
        <v>148</v>
      </c>
      <c r="G99" s="16"/>
      <c r="H99" s="16">
        <f>F99*AE99</f>
        <v>0</v>
      </c>
      <c r="I99" s="16">
        <f>J99-H99</f>
        <v>0</v>
      </c>
      <c r="J99" s="16">
        <f>F99*G99</f>
        <v>0</v>
      </c>
      <c r="K99" s="16">
        <v>0.00059</v>
      </c>
      <c r="L99" s="16">
        <f>F99*K99</f>
        <v>0.08732000000000001</v>
      </c>
      <c r="M99" s="28" t="s">
        <v>420</v>
      </c>
      <c r="N99" s="28" t="s">
        <v>7</v>
      </c>
      <c r="O99" s="16">
        <f>IF(N99="5",I99,0)</f>
        <v>0</v>
      </c>
      <c r="Z99" s="16">
        <f>IF(AD99=0,J99,0)</f>
        <v>0</v>
      </c>
      <c r="AA99" s="16">
        <f>IF(AD99=15,J99,0)</f>
        <v>0</v>
      </c>
      <c r="AB99" s="16">
        <f>IF(AD99=21,J99,0)</f>
        <v>0</v>
      </c>
      <c r="AD99" s="33">
        <v>15</v>
      </c>
      <c r="AE99" s="33">
        <f>G99*0.286222910216718</f>
        <v>0</v>
      </c>
      <c r="AF99" s="33">
        <f>G99*(1-0.286222910216718)</f>
        <v>0</v>
      </c>
      <c r="AM99" s="33">
        <f>F99*AE99</f>
        <v>0</v>
      </c>
      <c r="AN99" s="33">
        <f>F99*AF99</f>
        <v>0</v>
      </c>
      <c r="AO99" s="34" t="s">
        <v>456</v>
      </c>
      <c r="AP99" s="34" t="s">
        <v>476</v>
      </c>
      <c r="AQ99" s="25" t="s">
        <v>480</v>
      </c>
    </row>
    <row r="100" spans="1:43" ht="12.75">
      <c r="A100" s="4" t="s">
        <v>72</v>
      </c>
      <c r="B100" s="4"/>
      <c r="C100" s="4" t="s">
        <v>199</v>
      </c>
      <c r="D100" s="4" t="s">
        <v>338</v>
      </c>
      <c r="E100" s="4" t="s">
        <v>400</v>
      </c>
      <c r="F100" s="16">
        <v>185</v>
      </c>
      <c r="G100" s="16"/>
      <c r="H100" s="16">
        <f>F100*AE100</f>
        <v>0</v>
      </c>
      <c r="I100" s="16">
        <f>J100-H100</f>
        <v>0</v>
      </c>
      <c r="J100" s="16">
        <f>F100*G100</f>
        <v>0</v>
      </c>
      <c r="K100" s="16">
        <v>0.00278</v>
      </c>
      <c r="L100" s="16">
        <f>F100*K100</f>
        <v>0.5143</v>
      </c>
      <c r="M100" s="28" t="s">
        <v>420</v>
      </c>
      <c r="N100" s="28" t="s">
        <v>7</v>
      </c>
      <c r="O100" s="16">
        <f>IF(N100="5",I100,0)</f>
        <v>0</v>
      </c>
      <c r="Z100" s="16">
        <f>IF(AD100=0,J100,0)</f>
        <v>0</v>
      </c>
      <c r="AA100" s="16">
        <f>IF(AD100=15,J100,0)</f>
        <v>0</v>
      </c>
      <c r="AB100" s="16">
        <f>IF(AD100=21,J100,0)</f>
        <v>0</v>
      </c>
      <c r="AD100" s="33">
        <v>15</v>
      </c>
      <c r="AE100" s="33">
        <f>G100*0.729491525423729</f>
        <v>0</v>
      </c>
      <c r="AF100" s="33">
        <f>G100*(1-0.729491525423729)</f>
        <v>0</v>
      </c>
      <c r="AM100" s="33">
        <f>F100*AE100</f>
        <v>0</v>
      </c>
      <c r="AN100" s="33">
        <f>F100*AF100</f>
        <v>0</v>
      </c>
      <c r="AO100" s="34" t="s">
        <v>456</v>
      </c>
      <c r="AP100" s="34" t="s">
        <v>476</v>
      </c>
      <c r="AQ100" s="25" t="s">
        <v>480</v>
      </c>
    </row>
    <row r="101" spans="1:43" ht="12.75">
      <c r="A101" s="4" t="s">
        <v>73</v>
      </c>
      <c r="B101" s="4"/>
      <c r="C101" s="4" t="s">
        <v>200</v>
      </c>
      <c r="D101" s="4" t="s">
        <v>339</v>
      </c>
      <c r="E101" s="4" t="s">
        <v>400</v>
      </c>
      <c r="F101" s="16">
        <v>185</v>
      </c>
      <c r="G101" s="16"/>
      <c r="H101" s="16">
        <f>F101*AE101</f>
        <v>0</v>
      </c>
      <c r="I101" s="16">
        <f>J101-H101</f>
        <v>0</v>
      </c>
      <c r="J101" s="16">
        <f>F101*G101</f>
        <v>0</v>
      </c>
      <c r="K101" s="16">
        <v>0.001</v>
      </c>
      <c r="L101" s="16">
        <f>F101*K101</f>
        <v>0.185</v>
      </c>
      <c r="M101" s="28" t="s">
        <v>420</v>
      </c>
      <c r="N101" s="28" t="s">
        <v>7</v>
      </c>
      <c r="O101" s="16">
        <f>IF(N101="5",I101,0)</f>
        <v>0</v>
      </c>
      <c r="Z101" s="16">
        <f>IF(AD101=0,J101,0)</f>
        <v>0</v>
      </c>
      <c r="AA101" s="16">
        <f>IF(AD101=15,J101,0)</f>
        <v>0</v>
      </c>
      <c r="AB101" s="16">
        <f>IF(AD101=21,J101,0)</f>
        <v>0</v>
      </c>
      <c r="AD101" s="33">
        <v>15</v>
      </c>
      <c r="AE101" s="33">
        <f>G101*0</f>
        <v>0</v>
      </c>
      <c r="AF101" s="33">
        <f>G101*(1-0)</f>
        <v>0</v>
      </c>
      <c r="AM101" s="33">
        <f>F101*AE101</f>
        <v>0</v>
      </c>
      <c r="AN101" s="33">
        <f>F101*AF101</f>
        <v>0</v>
      </c>
      <c r="AO101" s="34" t="s">
        <v>456</v>
      </c>
      <c r="AP101" s="34" t="s">
        <v>476</v>
      </c>
      <c r="AQ101" s="25" t="s">
        <v>480</v>
      </c>
    </row>
    <row r="102" spans="1:37" ht="12.75">
      <c r="A102" s="5"/>
      <c r="B102" s="13"/>
      <c r="C102" s="13" t="s">
        <v>201</v>
      </c>
      <c r="D102" s="78" t="s">
        <v>340</v>
      </c>
      <c r="E102" s="79"/>
      <c r="F102" s="79"/>
      <c r="G102" s="79"/>
      <c r="H102" s="36">
        <f>SUM(H103:H105)</f>
        <v>0</v>
      </c>
      <c r="I102" s="36">
        <f>SUM(I103:I105)</f>
        <v>0</v>
      </c>
      <c r="J102" s="36">
        <f>H102+I102</f>
        <v>0</v>
      </c>
      <c r="K102" s="25"/>
      <c r="L102" s="36">
        <f>SUM(L103:L105)</f>
        <v>0.38684999999999997</v>
      </c>
      <c r="M102" s="25"/>
      <c r="P102" s="36">
        <f>IF(Q102="PR",J102,SUM(O103:O105))</f>
        <v>0</v>
      </c>
      <c r="Q102" s="25" t="s">
        <v>424</v>
      </c>
      <c r="R102" s="36">
        <f>IF(Q102="HS",H102,0)</f>
        <v>0</v>
      </c>
      <c r="S102" s="36">
        <f>IF(Q102="HS",I102-P102,0)</f>
        <v>0</v>
      </c>
      <c r="T102" s="36">
        <f>IF(Q102="PS",H102,0)</f>
        <v>0</v>
      </c>
      <c r="U102" s="36">
        <f>IF(Q102="PS",I102-P102,0)</f>
        <v>0</v>
      </c>
      <c r="V102" s="36">
        <f>IF(Q102="MP",H102,0)</f>
        <v>0</v>
      </c>
      <c r="W102" s="36">
        <f>IF(Q102="MP",I102-P102,0)</f>
        <v>0</v>
      </c>
      <c r="X102" s="36">
        <f>IF(Q102="OM",H102,0)</f>
        <v>0</v>
      </c>
      <c r="Y102" s="25"/>
      <c r="AI102" s="36">
        <f>SUM(Z103:Z105)</f>
        <v>0</v>
      </c>
      <c r="AJ102" s="36">
        <f>SUM(AA103:AA105)</f>
        <v>0</v>
      </c>
      <c r="AK102" s="36">
        <f>SUM(AB103:AB105)</f>
        <v>0</v>
      </c>
    </row>
    <row r="103" spans="1:43" ht="12.75">
      <c r="A103" s="4" t="s">
        <v>74</v>
      </c>
      <c r="B103" s="4"/>
      <c r="C103" s="4" t="s">
        <v>202</v>
      </c>
      <c r="D103" s="4" t="s">
        <v>341</v>
      </c>
      <c r="E103" s="4" t="s">
        <v>400</v>
      </c>
      <c r="F103" s="16">
        <v>9</v>
      </c>
      <c r="G103" s="16"/>
      <c r="H103" s="16">
        <f>F103*AE103</f>
        <v>0</v>
      </c>
      <c r="I103" s="16">
        <f>J103-H103</f>
        <v>0</v>
      </c>
      <c r="J103" s="16">
        <f>F103*G103</f>
        <v>0</v>
      </c>
      <c r="K103" s="16">
        <v>0</v>
      </c>
      <c r="L103" s="16">
        <f>F103*K103</f>
        <v>0</v>
      </c>
      <c r="M103" s="28" t="s">
        <v>420</v>
      </c>
      <c r="N103" s="28" t="s">
        <v>7</v>
      </c>
      <c r="O103" s="16">
        <f>IF(N103="5",I103,0)</f>
        <v>0</v>
      </c>
      <c r="Z103" s="16">
        <f>IF(AD103=0,J103,0)</f>
        <v>0</v>
      </c>
      <c r="AA103" s="16">
        <f>IF(AD103=15,J103,0)</f>
        <v>0</v>
      </c>
      <c r="AB103" s="16">
        <f>IF(AD103=21,J103,0)</f>
        <v>0</v>
      </c>
      <c r="AD103" s="33">
        <v>15</v>
      </c>
      <c r="AE103" s="33">
        <f>G103*0</f>
        <v>0</v>
      </c>
      <c r="AF103" s="33">
        <f>G103*(1-0)</f>
        <v>0</v>
      </c>
      <c r="AM103" s="33">
        <f>F103*AE103</f>
        <v>0</v>
      </c>
      <c r="AN103" s="33">
        <f>F103*AF103</f>
        <v>0</v>
      </c>
      <c r="AO103" s="34" t="s">
        <v>457</v>
      </c>
      <c r="AP103" s="34" t="s">
        <v>477</v>
      </c>
      <c r="AQ103" s="25" t="s">
        <v>480</v>
      </c>
    </row>
    <row r="104" spans="1:43" ht="12.75">
      <c r="A104" s="4" t="s">
        <v>75</v>
      </c>
      <c r="B104" s="4"/>
      <c r="C104" s="4" t="s">
        <v>203</v>
      </c>
      <c r="D104" s="4" t="s">
        <v>342</v>
      </c>
      <c r="E104" s="4" t="s">
        <v>400</v>
      </c>
      <c r="F104" s="16">
        <v>9</v>
      </c>
      <c r="G104" s="16"/>
      <c r="H104" s="16">
        <f>F104*AE104</f>
        <v>0</v>
      </c>
      <c r="I104" s="16">
        <f>J104-H104</f>
        <v>0</v>
      </c>
      <c r="J104" s="16">
        <f>F104*G104</f>
        <v>0</v>
      </c>
      <c r="K104" s="16">
        <v>0.00021</v>
      </c>
      <c r="L104" s="16">
        <f>F104*K104</f>
        <v>0.0018900000000000002</v>
      </c>
      <c r="M104" s="28" t="s">
        <v>420</v>
      </c>
      <c r="N104" s="28" t="s">
        <v>7</v>
      </c>
      <c r="O104" s="16">
        <f>IF(N104="5",I104,0)</f>
        <v>0</v>
      </c>
      <c r="Z104" s="16">
        <f>IF(AD104=0,J104,0)</f>
        <v>0</v>
      </c>
      <c r="AA104" s="16">
        <f>IF(AD104=15,J104,0)</f>
        <v>0</v>
      </c>
      <c r="AB104" s="16">
        <f>IF(AD104=21,J104,0)</f>
        <v>0</v>
      </c>
      <c r="AD104" s="33">
        <v>15</v>
      </c>
      <c r="AE104" s="33">
        <f>G104*0.567362924281984</f>
        <v>0</v>
      </c>
      <c r="AF104" s="33">
        <f>G104*(1-0.567362924281984)</f>
        <v>0</v>
      </c>
      <c r="AM104" s="33">
        <f>F104*AE104</f>
        <v>0</v>
      </c>
      <c r="AN104" s="33">
        <f>F104*AF104</f>
        <v>0</v>
      </c>
      <c r="AO104" s="34" t="s">
        <v>457</v>
      </c>
      <c r="AP104" s="34" t="s">
        <v>477</v>
      </c>
      <c r="AQ104" s="25" t="s">
        <v>480</v>
      </c>
    </row>
    <row r="105" spans="1:43" ht="12.75">
      <c r="A105" s="4" t="s">
        <v>76</v>
      </c>
      <c r="B105" s="4"/>
      <c r="C105" s="4" t="s">
        <v>204</v>
      </c>
      <c r="D105" s="4" t="s">
        <v>343</v>
      </c>
      <c r="E105" s="4" t="s">
        <v>400</v>
      </c>
      <c r="F105" s="16">
        <v>96</v>
      </c>
      <c r="G105" s="16"/>
      <c r="H105" s="16">
        <f>F105*AE105</f>
        <v>0</v>
      </c>
      <c r="I105" s="16">
        <f>J105-H105</f>
        <v>0</v>
      </c>
      <c r="J105" s="16">
        <f>F105*G105</f>
        <v>0</v>
      </c>
      <c r="K105" s="16">
        <v>0.00401</v>
      </c>
      <c r="L105" s="16">
        <f>F105*K105</f>
        <v>0.38495999999999997</v>
      </c>
      <c r="M105" s="28" t="s">
        <v>420</v>
      </c>
      <c r="N105" s="28" t="s">
        <v>7</v>
      </c>
      <c r="O105" s="16">
        <f>IF(N105="5",I105,0)</f>
        <v>0</v>
      </c>
      <c r="Z105" s="16">
        <f>IF(AD105=0,J105,0)</f>
        <v>0</v>
      </c>
      <c r="AA105" s="16">
        <f>IF(AD105=15,J105,0)</f>
        <v>0</v>
      </c>
      <c r="AB105" s="16">
        <f>IF(AD105=21,J105,0)</f>
        <v>0</v>
      </c>
      <c r="AD105" s="33">
        <v>15</v>
      </c>
      <c r="AE105" s="33">
        <f>G105*0.214514285714286</f>
        <v>0</v>
      </c>
      <c r="AF105" s="33">
        <f>G105*(1-0.214514285714286)</f>
        <v>0</v>
      </c>
      <c r="AM105" s="33">
        <f>F105*AE105</f>
        <v>0</v>
      </c>
      <c r="AN105" s="33">
        <f>F105*AF105</f>
        <v>0</v>
      </c>
      <c r="AO105" s="34" t="s">
        <v>457</v>
      </c>
      <c r="AP105" s="34" t="s">
        <v>477</v>
      </c>
      <c r="AQ105" s="25" t="s">
        <v>480</v>
      </c>
    </row>
    <row r="106" spans="1:37" ht="12.75">
      <c r="A106" s="5"/>
      <c r="B106" s="13"/>
      <c r="C106" s="13" t="s">
        <v>205</v>
      </c>
      <c r="D106" s="78" t="s">
        <v>344</v>
      </c>
      <c r="E106" s="79"/>
      <c r="F106" s="79"/>
      <c r="G106" s="79"/>
      <c r="H106" s="36">
        <f>SUM(H107:H107)</f>
        <v>0</v>
      </c>
      <c r="I106" s="36">
        <f>SUM(I107:I107)</f>
        <v>0</v>
      </c>
      <c r="J106" s="36">
        <f>H106+I106</f>
        <v>0</v>
      </c>
      <c r="K106" s="25"/>
      <c r="L106" s="36">
        <f>SUM(L107:L107)</f>
        <v>0.018000000000000002</v>
      </c>
      <c r="M106" s="25"/>
      <c r="P106" s="36">
        <f>IF(Q106="PR",J106,SUM(O107:O107))</f>
        <v>0</v>
      </c>
      <c r="Q106" s="25" t="s">
        <v>424</v>
      </c>
      <c r="R106" s="36">
        <f>IF(Q106="HS",H106,0)</f>
        <v>0</v>
      </c>
      <c r="S106" s="36">
        <f>IF(Q106="HS",I106-P106,0)</f>
        <v>0</v>
      </c>
      <c r="T106" s="36">
        <f>IF(Q106="PS",H106,0)</f>
        <v>0</v>
      </c>
      <c r="U106" s="36">
        <f>IF(Q106="PS",I106-P106,0)</f>
        <v>0</v>
      </c>
      <c r="V106" s="36">
        <f>IF(Q106="MP",H106,0)</f>
        <v>0</v>
      </c>
      <c r="W106" s="36">
        <f>IF(Q106="MP",I106-P106,0)</f>
        <v>0</v>
      </c>
      <c r="X106" s="36">
        <f>IF(Q106="OM",H106,0)</f>
        <v>0</v>
      </c>
      <c r="Y106" s="25"/>
      <c r="AI106" s="36">
        <f>SUM(Z107:Z107)</f>
        <v>0</v>
      </c>
      <c r="AJ106" s="36">
        <f>SUM(AA107:AA107)</f>
        <v>0</v>
      </c>
      <c r="AK106" s="36">
        <f>SUM(AB107:AB107)</f>
        <v>0</v>
      </c>
    </row>
    <row r="107" spans="1:43" ht="12.75">
      <c r="A107" s="4" t="s">
        <v>77</v>
      </c>
      <c r="B107" s="4"/>
      <c r="C107" s="4" t="s">
        <v>206</v>
      </c>
      <c r="D107" s="4" t="s">
        <v>345</v>
      </c>
      <c r="E107" s="4" t="s">
        <v>400</v>
      </c>
      <c r="F107" s="16">
        <v>75</v>
      </c>
      <c r="G107" s="16"/>
      <c r="H107" s="16">
        <f>F107*AE107</f>
        <v>0</v>
      </c>
      <c r="I107" s="16">
        <f>J107-H107</f>
        <v>0</v>
      </c>
      <c r="J107" s="16">
        <f>F107*G107</f>
        <v>0</v>
      </c>
      <c r="K107" s="16">
        <v>0.00024</v>
      </c>
      <c r="L107" s="16">
        <f>F107*K107</f>
        <v>0.018000000000000002</v>
      </c>
      <c r="M107" s="28" t="s">
        <v>420</v>
      </c>
      <c r="N107" s="28" t="s">
        <v>7</v>
      </c>
      <c r="O107" s="16">
        <f>IF(N107="5",I107,0)</f>
        <v>0</v>
      </c>
      <c r="Z107" s="16">
        <f>IF(AD107=0,J107,0)</f>
        <v>0</v>
      </c>
      <c r="AA107" s="16">
        <f>IF(AD107=15,J107,0)</f>
        <v>0</v>
      </c>
      <c r="AB107" s="16">
        <f>IF(AD107=21,J107,0)</f>
        <v>0</v>
      </c>
      <c r="AD107" s="33">
        <v>15</v>
      </c>
      <c r="AE107" s="33">
        <f>G107*0.209032258064516</f>
        <v>0</v>
      </c>
      <c r="AF107" s="33">
        <f>G107*(1-0.209032258064516)</f>
        <v>0</v>
      </c>
      <c r="AM107" s="33">
        <f>F107*AE107</f>
        <v>0</v>
      </c>
      <c r="AN107" s="33">
        <f>F107*AF107</f>
        <v>0</v>
      </c>
      <c r="AO107" s="34" t="s">
        <v>458</v>
      </c>
      <c r="AP107" s="34" t="s">
        <v>477</v>
      </c>
      <c r="AQ107" s="25" t="s">
        <v>480</v>
      </c>
    </row>
    <row r="108" spans="1:37" ht="12.75">
      <c r="A108" s="5"/>
      <c r="B108" s="13"/>
      <c r="C108" s="13" t="s">
        <v>207</v>
      </c>
      <c r="D108" s="78" t="s">
        <v>346</v>
      </c>
      <c r="E108" s="79"/>
      <c r="F108" s="79"/>
      <c r="G108" s="79"/>
      <c r="H108" s="36">
        <f>SUM(H109:H110)</f>
        <v>0</v>
      </c>
      <c r="I108" s="36">
        <f>SUM(I109:I110)</f>
        <v>0</v>
      </c>
      <c r="J108" s="36">
        <f>H108+I108</f>
        <v>0</v>
      </c>
      <c r="K108" s="25"/>
      <c r="L108" s="36">
        <f>SUM(L109:L110)</f>
        <v>0.38280000000000003</v>
      </c>
      <c r="M108" s="25"/>
      <c r="P108" s="36">
        <f>IF(Q108="PR",J108,SUM(O109:O110))</f>
        <v>0</v>
      </c>
      <c r="Q108" s="25" t="s">
        <v>424</v>
      </c>
      <c r="R108" s="36">
        <f>IF(Q108="HS",H108,0)</f>
        <v>0</v>
      </c>
      <c r="S108" s="36">
        <f>IF(Q108="HS",I108-P108,0)</f>
        <v>0</v>
      </c>
      <c r="T108" s="36">
        <f>IF(Q108="PS",H108,0)</f>
        <v>0</v>
      </c>
      <c r="U108" s="36">
        <f>IF(Q108="PS",I108-P108,0)</f>
        <v>0</v>
      </c>
      <c r="V108" s="36">
        <f>IF(Q108="MP",H108,0)</f>
        <v>0</v>
      </c>
      <c r="W108" s="36">
        <f>IF(Q108="MP",I108-P108,0)</f>
        <v>0</v>
      </c>
      <c r="X108" s="36">
        <f>IF(Q108="OM",H108,0)</f>
        <v>0</v>
      </c>
      <c r="Y108" s="25"/>
      <c r="AI108" s="36">
        <f>SUM(Z109:Z110)</f>
        <v>0</v>
      </c>
      <c r="AJ108" s="36">
        <f>SUM(AA109:AA110)</f>
        <v>0</v>
      </c>
      <c r="AK108" s="36">
        <f>SUM(AB109:AB110)</f>
        <v>0</v>
      </c>
    </row>
    <row r="109" spans="1:43" ht="12.75">
      <c r="A109" s="4" t="s">
        <v>78</v>
      </c>
      <c r="B109" s="4"/>
      <c r="C109" s="4" t="s">
        <v>208</v>
      </c>
      <c r="D109" s="4" t="s">
        <v>347</v>
      </c>
      <c r="E109" s="4" t="s">
        <v>400</v>
      </c>
      <c r="F109" s="16">
        <v>870</v>
      </c>
      <c r="G109" s="16"/>
      <c r="H109" s="16">
        <f>F109*AE109</f>
        <v>0</v>
      </c>
      <c r="I109" s="16">
        <f>J109-H109</f>
        <v>0</v>
      </c>
      <c r="J109" s="16">
        <f>F109*G109</f>
        <v>0</v>
      </c>
      <c r="K109" s="16">
        <v>0.0002</v>
      </c>
      <c r="L109" s="16">
        <f>F109*K109</f>
        <v>0.17400000000000002</v>
      </c>
      <c r="M109" s="28" t="s">
        <v>420</v>
      </c>
      <c r="N109" s="28" t="s">
        <v>7</v>
      </c>
      <c r="O109" s="16">
        <f>IF(N109="5",I109,0)</f>
        <v>0</v>
      </c>
      <c r="Z109" s="16">
        <f>IF(AD109=0,J109,0)</f>
        <v>0</v>
      </c>
      <c r="AA109" s="16">
        <f>IF(AD109=15,J109,0)</f>
        <v>0</v>
      </c>
      <c r="AB109" s="16">
        <f>IF(AD109=21,J109,0)</f>
        <v>0</v>
      </c>
      <c r="AD109" s="33">
        <v>15</v>
      </c>
      <c r="AE109" s="33">
        <f>G109*0.479326186830015</f>
        <v>0</v>
      </c>
      <c r="AF109" s="33">
        <f>G109*(1-0.479326186830015)</f>
        <v>0</v>
      </c>
      <c r="AM109" s="33">
        <f>F109*AE109</f>
        <v>0</v>
      </c>
      <c r="AN109" s="33">
        <f>F109*AF109</f>
        <v>0</v>
      </c>
      <c r="AO109" s="34" t="s">
        <v>459</v>
      </c>
      <c r="AP109" s="34" t="s">
        <v>477</v>
      </c>
      <c r="AQ109" s="25" t="s">
        <v>480</v>
      </c>
    </row>
    <row r="110" spans="1:43" ht="12.75">
      <c r="A110" s="4" t="s">
        <v>79</v>
      </c>
      <c r="B110" s="4"/>
      <c r="C110" s="4" t="s">
        <v>209</v>
      </c>
      <c r="D110" s="4" t="s">
        <v>348</v>
      </c>
      <c r="E110" s="4" t="s">
        <v>400</v>
      </c>
      <c r="F110" s="16">
        <v>870</v>
      </c>
      <c r="G110" s="16"/>
      <c r="H110" s="16">
        <f>F110*AE110</f>
        <v>0</v>
      </c>
      <c r="I110" s="16">
        <f>J110-H110</f>
        <v>0</v>
      </c>
      <c r="J110" s="16">
        <f>F110*G110</f>
        <v>0</v>
      </c>
      <c r="K110" s="16">
        <v>0.00024</v>
      </c>
      <c r="L110" s="16">
        <f>F110*K110</f>
        <v>0.2088</v>
      </c>
      <c r="M110" s="28" t="s">
        <v>420</v>
      </c>
      <c r="N110" s="28" t="s">
        <v>7</v>
      </c>
      <c r="O110" s="16">
        <f>IF(N110="5",I110,0)</f>
        <v>0</v>
      </c>
      <c r="Z110" s="16">
        <f>IF(AD110=0,J110,0)</f>
        <v>0</v>
      </c>
      <c r="AA110" s="16">
        <f>IF(AD110=15,J110,0)</f>
        <v>0</v>
      </c>
      <c r="AB110" s="16">
        <f>IF(AD110=21,J110,0)</f>
        <v>0</v>
      </c>
      <c r="AD110" s="33">
        <v>15</v>
      </c>
      <c r="AE110" s="33">
        <f>G110*0.217530244236476</f>
        <v>0</v>
      </c>
      <c r="AF110" s="33">
        <f>G110*(1-0.217530244236476)</f>
        <v>0</v>
      </c>
      <c r="AM110" s="33">
        <f>F110*AE110</f>
        <v>0</v>
      </c>
      <c r="AN110" s="33">
        <f>F110*AF110</f>
        <v>0</v>
      </c>
      <c r="AO110" s="34" t="s">
        <v>459</v>
      </c>
      <c r="AP110" s="34" t="s">
        <v>477</v>
      </c>
      <c r="AQ110" s="25" t="s">
        <v>480</v>
      </c>
    </row>
    <row r="111" spans="1:37" ht="12.75">
      <c r="A111" s="5"/>
      <c r="B111" s="13"/>
      <c r="C111" s="13" t="s">
        <v>100</v>
      </c>
      <c r="D111" s="78" t="s">
        <v>349</v>
      </c>
      <c r="E111" s="79"/>
      <c r="F111" s="79"/>
      <c r="G111" s="79"/>
      <c r="H111" s="36">
        <f>SUM(H112:H113)</f>
        <v>0</v>
      </c>
      <c r="I111" s="36">
        <f>SUM(I112:I113)</f>
        <v>0</v>
      </c>
      <c r="J111" s="36">
        <f>H111+I111</f>
        <v>0</v>
      </c>
      <c r="K111" s="25"/>
      <c r="L111" s="36">
        <f>SUM(L112:L113)</f>
        <v>6.7462</v>
      </c>
      <c r="M111" s="25"/>
      <c r="P111" s="36">
        <f>IF(Q111="PR",J111,SUM(O112:O113))</f>
        <v>0</v>
      </c>
      <c r="Q111" s="25" t="s">
        <v>423</v>
      </c>
      <c r="R111" s="36">
        <f>IF(Q111="HS",H111,0)</f>
        <v>0</v>
      </c>
      <c r="S111" s="36">
        <f>IF(Q111="HS",I111-P111,0)</f>
        <v>0</v>
      </c>
      <c r="T111" s="36">
        <f>IF(Q111="PS",H111,0)</f>
        <v>0</v>
      </c>
      <c r="U111" s="36">
        <f>IF(Q111="PS",I111-P111,0)</f>
        <v>0</v>
      </c>
      <c r="V111" s="36">
        <f>IF(Q111="MP",H111,0)</f>
        <v>0</v>
      </c>
      <c r="W111" s="36">
        <f>IF(Q111="MP",I111-P111,0)</f>
        <v>0</v>
      </c>
      <c r="X111" s="36">
        <f>IF(Q111="OM",H111,0)</f>
        <v>0</v>
      </c>
      <c r="Y111" s="25"/>
      <c r="AI111" s="36">
        <f>SUM(Z112:Z113)</f>
        <v>0</v>
      </c>
      <c r="AJ111" s="36">
        <f>SUM(AA112:AA113)</f>
        <v>0</v>
      </c>
      <c r="AK111" s="36">
        <f>SUM(AB112:AB113)</f>
        <v>0</v>
      </c>
    </row>
    <row r="112" spans="1:43" ht="12.75">
      <c r="A112" s="4" t="s">
        <v>80</v>
      </c>
      <c r="B112" s="4"/>
      <c r="C112" s="4" t="s">
        <v>210</v>
      </c>
      <c r="D112" s="4" t="s">
        <v>350</v>
      </c>
      <c r="E112" s="4" t="s">
        <v>400</v>
      </c>
      <c r="F112" s="16">
        <v>115</v>
      </c>
      <c r="G112" s="16"/>
      <c r="H112" s="16">
        <f>F112*AE112</f>
        <v>0</v>
      </c>
      <c r="I112" s="16">
        <f>J112-H112</f>
        <v>0</v>
      </c>
      <c r="J112" s="16">
        <f>F112*G112</f>
        <v>0</v>
      </c>
      <c r="K112" s="16">
        <v>0.00592</v>
      </c>
      <c r="L112" s="16">
        <f>F112*K112</f>
        <v>0.6808</v>
      </c>
      <c r="M112" s="28" t="s">
        <v>420</v>
      </c>
      <c r="N112" s="28" t="s">
        <v>7</v>
      </c>
      <c r="O112" s="16">
        <f>IF(N112="5",I112,0)</f>
        <v>0</v>
      </c>
      <c r="Z112" s="16">
        <f>IF(AD112=0,J112,0)</f>
        <v>0</v>
      </c>
      <c r="AA112" s="16">
        <f>IF(AD112=15,J112,0)</f>
        <v>0</v>
      </c>
      <c r="AB112" s="16">
        <f>IF(AD112=21,J112,0)</f>
        <v>0</v>
      </c>
      <c r="AD112" s="33">
        <v>15</v>
      </c>
      <c r="AE112" s="33">
        <f>G112*0.517611237976611</f>
        <v>0</v>
      </c>
      <c r="AF112" s="33">
        <f>G112*(1-0.517611237976611)</f>
        <v>0</v>
      </c>
      <c r="AM112" s="33">
        <f>F112*AE112</f>
        <v>0</v>
      </c>
      <c r="AN112" s="33">
        <f>F112*AF112</f>
        <v>0</v>
      </c>
      <c r="AO112" s="34" t="s">
        <v>460</v>
      </c>
      <c r="AP112" s="34" t="s">
        <v>478</v>
      </c>
      <c r="AQ112" s="25" t="s">
        <v>480</v>
      </c>
    </row>
    <row r="113" spans="1:43" ht="12.75">
      <c r="A113" s="4" t="s">
        <v>81</v>
      </c>
      <c r="B113" s="4"/>
      <c r="C113" s="4" t="s">
        <v>211</v>
      </c>
      <c r="D113" s="4" t="s">
        <v>351</v>
      </c>
      <c r="E113" s="4" t="s">
        <v>400</v>
      </c>
      <c r="F113" s="16">
        <v>330</v>
      </c>
      <c r="G113" s="16"/>
      <c r="H113" s="16">
        <f>F113*AE113</f>
        <v>0</v>
      </c>
      <c r="I113" s="16">
        <f>J113-H113</f>
        <v>0</v>
      </c>
      <c r="J113" s="16">
        <f>F113*G113</f>
        <v>0</v>
      </c>
      <c r="K113" s="16">
        <v>0.01838</v>
      </c>
      <c r="L113" s="16">
        <f>F113*K113</f>
        <v>6.0654</v>
      </c>
      <c r="M113" s="28" t="s">
        <v>420</v>
      </c>
      <c r="N113" s="28" t="s">
        <v>7</v>
      </c>
      <c r="O113" s="16">
        <f>IF(N113="5",I113,0)</f>
        <v>0</v>
      </c>
      <c r="Z113" s="16">
        <f>IF(AD113=0,J113,0)</f>
        <v>0</v>
      </c>
      <c r="AA113" s="16">
        <f>IF(AD113=15,J113,0)</f>
        <v>0</v>
      </c>
      <c r="AB113" s="16">
        <f>IF(AD113=21,J113,0)</f>
        <v>0</v>
      </c>
      <c r="AD113" s="33">
        <v>15</v>
      </c>
      <c r="AE113" s="33">
        <f>G113*0.0005</f>
        <v>0</v>
      </c>
      <c r="AF113" s="33">
        <f>G113*(1-0.0005)</f>
        <v>0</v>
      </c>
      <c r="AM113" s="33">
        <f>F113*AE113</f>
        <v>0</v>
      </c>
      <c r="AN113" s="33">
        <f>F113*AF113</f>
        <v>0</v>
      </c>
      <c r="AO113" s="34" t="s">
        <v>460</v>
      </c>
      <c r="AP113" s="34" t="s">
        <v>478</v>
      </c>
      <c r="AQ113" s="25" t="s">
        <v>480</v>
      </c>
    </row>
    <row r="114" spans="1:37" ht="12.75">
      <c r="A114" s="5"/>
      <c r="B114" s="13"/>
      <c r="C114" s="13" t="s">
        <v>101</v>
      </c>
      <c r="D114" s="78" t="s">
        <v>352</v>
      </c>
      <c r="E114" s="79"/>
      <c r="F114" s="79"/>
      <c r="G114" s="79"/>
      <c r="H114" s="36">
        <f>SUM(H115:H116)</f>
        <v>0</v>
      </c>
      <c r="I114" s="36">
        <f>SUM(I115:I116)</f>
        <v>0</v>
      </c>
      <c r="J114" s="36">
        <f>H114+I114</f>
        <v>0</v>
      </c>
      <c r="K114" s="25"/>
      <c r="L114" s="36">
        <f>SUM(L115:L116)</f>
        <v>0.07544</v>
      </c>
      <c r="M114" s="25"/>
      <c r="P114" s="36">
        <f>IF(Q114="PR",J114,SUM(O115:O116))</f>
        <v>0</v>
      </c>
      <c r="Q114" s="25" t="s">
        <v>423</v>
      </c>
      <c r="R114" s="36">
        <f>IF(Q114="HS",H114,0)</f>
        <v>0</v>
      </c>
      <c r="S114" s="36">
        <f>IF(Q114="HS",I114-P114,0)</f>
        <v>0</v>
      </c>
      <c r="T114" s="36">
        <f>IF(Q114="PS",H114,0)</f>
        <v>0</v>
      </c>
      <c r="U114" s="36">
        <f>IF(Q114="PS",I114-P114,0)</f>
        <v>0</v>
      </c>
      <c r="V114" s="36">
        <f>IF(Q114="MP",H114,0)</f>
        <v>0</v>
      </c>
      <c r="W114" s="36">
        <f>IF(Q114="MP",I114-P114,0)</f>
        <v>0</v>
      </c>
      <c r="X114" s="36">
        <f>IF(Q114="OM",H114,0)</f>
        <v>0</v>
      </c>
      <c r="Y114" s="25"/>
      <c r="AI114" s="36">
        <f>SUM(Z115:Z116)</f>
        <v>0</v>
      </c>
      <c r="AJ114" s="36">
        <f>SUM(AA115:AA116)</f>
        <v>0</v>
      </c>
      <c r="AK114" s="36">
        <f>SUM(AB115:AB116)</f>
        <v>0</v>
      </c>
    </row>
    <row r="115" spans="1:43" ht="12.75">
      <c r="A115" s="4" t="s">
        <v>82</v>
      </c>
      <c r="B115" s="4"/>
      <c r="C115" s="4" t="s">
        <v>212</v>
      </c>
      <c r="D115" s="4" t="s">
        <v>353</v>
      </c>
      <c r="E115" s="4" t="s">
        <v>400</v>
      </c>
      <c r="F115" s="16">
        <v>248</v>
      </c>
      <c r="G115" s="16"/>
      <c r="H115" s="16">
        <f>F115*AE115</f>
        <v>0</v>
      </c>
      <c r="I115" s="16">
        <f>J115-H115</f>
        <v>0</v>
      </c>
      <c r="J115" s="16">
        <f>F115*G115</f>
        <v>0</v>
      </c>
      <c r="K115" s="16">
        <v>4E-05</v>
      </c>
      <c r="L115" s="16">
        <f>F115*K115</f>
        <v>0.00992</v>
      </c>
      <c r="M115" s="28" t="s">
        <v>420</v>
      </c>
      <c r="N115" s="28" t="s">
        <v>7</v>
      </c>
      <c r="O115" s="16">
        <f>IF(N115="5",I115,0)</f>
        <v>0</v>
      </c>
      <c r="Z115" s="16">
        <f>IF(AD115=0,J115,0)</f>
        <v>0</v>
      </c>
      <c r="AA115" s="16">
        <f>IF(AD115=15,J115,0)</f>
        <v>0</v>
      </c>
      <c r="AB115" s="16">
        <f>IF(AD115=21,J115,0)</f>
        <v>0</v>
      </c>
      <c r="AD115" s="33">
        <v>15</v>
      </c>
      <c r="AE115" s="33">
        <f>G115*0.0159580403972771</f>
        <v>0</v>
      </c>
      <c r="AF115" s="33">
        <f>G115*(1-0.0159580403972771)</f>
        <v>0</v>
      </c>
      <c r="AM115" s="33">
        <f>F115*AE115</f>
        <v>0</v>
      </c>
      <c r="AN115" s="33">
        <f>F115*AF115</f>
        <v>0</v>
      </c>
      <c r="AO115" s="34" t="s">
        <v>461</v>
      </c>
      <c r="AP115" s="34" t="s">
        <v>478</v>
      </c>
      <c r="AQ115" s="25" t="s">
        <v>480</v>
      </c>
    </row>
    <row r="116" spans="1:43" ht="12.75">
      <c r="A116" s="4" t="s">
        <v>83</v>
      </c>
      <c r="B116" s="4"/>
      <c r="C116" s="4" t="s">
        <v>213</v>
      </c>
      <c r="D116" s="4" t="s">
        <v>354</v>
      </c>
      <c r="E116" s="4" t="s">
        <v>403</v>
      </c>
      <c r="F116" s="16">
        <v>14</v>
      </c>
      <c r="G116" s="16"/>
      <c r="H116" s="16">
        <f>F116*AE116</f>
        <v>0</v>
      </c>
      <c r="I116" s="16">
        <f>J116-H116</f>
        <v>0</v>
      </c>
      <c r="J116" s="16">
        <f>F116*G116</f>
        <v>0</v>
      </c>
      <c r="K116" s="16">
        <v>0.00468</v>
      </c>
      <c r="L116" s="16">
        <f>F116*K116</f>
        <v>0.06552</v>
      </c>
      <c r="M116" s="28" t="s">
        <v>420</v>
      </c>
      <c r="N116" s="28" t="s">
        <v>7</v>
      </c>
      <c r="O116" s="16">
        <f>IF(N116="5",I116,0)</f>
        <v>0</v>
      </c>
      <c r="Z116" s="16">
        <f>IF(AD116=0,J116,0)</f>
        <v>0</v>
      </c>
      <c r="AA116" s="16">
        <f>IF(AD116=15,J116,0)</f>
        <v>0</v>
      </c>
      <c r="AB116" s="16">
        <f>IF(AD116=21,J116,0)</f>
        <v>0</v>
      </c>
      <c r="AD116" s="33">
        <v>15</v>
      </c>
      <c r="AE116" s="33">
        <f>G116*0.0441538461538461</f>
        <v>0</v>
      </c>
      <c r="AF116" s="33">
        <f>G116*(1-0.0441538461538461)</f>
        <v>0</v>
      </c>
      <c r="AM116" s="33">
        <f>F116*AE116</f>
        <v>0</v>
      </c>
      <c r="AN116" s="33">
        <f>F116*AF116</f>
        <v>0</v>
      </c>
      <c r="AO116" s="34" t="s">
        <v>461</v>
      </c>
      <c r="AP116" s="34" t="s">
        <v>478</v>
      </c>
      <c r="AQ116" s="25" t="s">
        <v>480</v>
      </c>
    </row>
    <row r="117" spans="1:37" ht="12.75">
      <c r="A117" s="5"/>
      <c r="B117" s="13"/>
      <c r="C117" s="13" t="s">
        <v>102</v>
      </c>
      <c r="D117" s="78" t="s">
        <v>355</v>
      </c>
      <c r="E117" s="79"/>
      <c r="F117" s="79"/>
      <c r="G117" s="79"/>
      <c r="H117" s="36">
        <f>SUM(H118:H125)</f>
        <v>0</v>
      </c>
      <c r="I117" s="36">
        <f>SUM(I118:I125)</f>
        <v>0</v>
      </c>
      <c r="J117" s="36">
        <f>H117+I117</f>
        <v>0</v>
      </c>
      <c r="K117" s="25"/>
      <c r="L117" s="36">
        <f>SUM(L118:L125)</f>
        <v>23.377921999999998</v>
      </c>
      <c r="M117" s="25"/>
      <c r="P117" s="36">
        <f>IF(Q117="PR",J117,SUM(O118:O125))</f>
        <v>0</v>
      </c>
      <c r="Q117" s="25" t="s">
        <v>423</v>
      </c>
      <c r="R117" s="36">
        <f>IF(Q117="HS",H117,0)</f>
        <v>0</v>
      </c>
      <c r="S117" s="36">
        <f>IF(Q117="HS",I117-P117,0)</f>
        <v>0</v>
      </c>
      <c r="T117" s="36">
        <f>IF(Q117="PS",H117,0)</f>
        <v>0</v>
      </c>
      <c r="U117" s="36">
        <f>IF(Q117="PS",I117-P117,0)</f>
        <v>0</v>
      </c>
      <c r="V117" s="36">
        <f>IF(Q117="MP",H117,0)</f>
        <v>0</v>
      </c>
      <c r="W117" s="36">
        <f>IF(Q117="MP",I117-P117,0)</f>
        <v>0</v>
      </c>
      <c r="X117" s="36">
        <f>IF(Q117="OM",H117,0)</f>
        <v>0</v>
      </c>
      <c r="Y117" s="25"/>
      <c r="AI117" s="36">
        <f>SUM(Z118:Z125)</f>
        <v>0</v>
      </c>
      <c r="AJ117" s="36">
        <f>SUM(AA118:AA125)</f>
        <v>0</v>
      </c>
      <c r="AK117" s="36">
        <f>SUM(AB118:AB125)</f>
        <v>0</v>
      </c>
    </row>
    <row r="118" spans="1:43" ht="12.75">
      <c r="A118" s="4" t="s">
        <v>84</v>
      </c>
      <c r="B118" s="4"/>
      <c r="C118" s="4" t="s">
        <v>214</v>
      </c>
      <c r="D118" s="4" t="s">
        <v>356</v>
      </c>
      <c r="E118" s="4" t="s">
        <v>400</v>
      </c>
      <c r="F118" s="16">
        <v>27</v>
      </c>
      <c r="G118" s="16"/>
      <c r="H118" s="16">
        <f aca="true" t="shared" si="20" ref="H118:H125">F118*AE118</f>
        <v>0</v>
      </c>
      <c r="I118" s="16">
        <f aca="true" t="shared" si="21" ref="I118:I125">J118-H118</f>
        <v>0</v>
      </c>
      <c r="J118" s="16">
        <f aca="true" t="shared" si="22" ref="J118:J125">F118*G118</f>
        <v>0</v>
      </c>
      <c r="K118" s="16">
        <v>0.26167</v>
      </c>
      <c r="L118" s="16">
        <f aca="true" t="shared" si="23" ref="L118:L125">F118*K118</f>
        <v>7.0650900000000005</v>
      </c>
      <c r="M118" s="28" t="s">
        <v>420</v>
      </c>
      <c r="N118" s="28" t="s">
        <v>7</v>
      </c>
      <c r="O118" s="16">
        <f aca="true" t="shared" si="24" ref="O118:O125">IF(N118="5",I118,0)</f>
        <v>0</v>
      </c>
      <c r="Z118" s="16">
        <f aca="true" t="shared" si="25" ref="Z118:Z125">IF(AD118=0,J118,0)</f>
        <v>0</v>
      </c>
      <c r="AA118" s="16">
        <f aca="true" t="shared" si="26" ref="AA118:AA125">IF(AD118=15,J118,0)</f>
        <v>0</v>
      </c>
      <c r="AB118" s="16">
        <f aca="true" t="shared" si="27" ref="AB118:AB125">IF(AD118=21,J118,0)</f>
        <v>0</v>
      </c>
      <c r="AD118" s="33">
        <v>15</v>
      </c>
      <c r="AE118" s="33">
        <f>G118*0.151578947368421</f>
        <v>0</v>
      </c>
      <c r="AF118" s="33">
        <f>G118*(1-0.151578947368421)</f>
        <v>0</v>
      </c>
      <c r="AM118" s="33">
        <f aca="true" t="shared" si="28" ref="AM118:AM125">F118*AE118</f>
        <v>0</v>
      </c>
      <c r="AN118" s="33">
        <f aca="true" t="shared" si="29" ref="AN118:AN125">F118*AF118</f>
        <v>0</v>
      </c>
      <c r="AO118" s="34" t="s">
        <v>462</v>
      </c>
      <c r="AP118" s="34" t="s">
        <v>478</v>
      </c>
      <c r="AQ118" s="25" t="s">
        <v>480</v>
      </c>
    </row>
    <row r="119" spans="1:43" ht="12.75">
      <c r="A119" s="4" t="s">
        <v>85</v>
      </c>
      <c r="B119" s="4"/>
      <c r="C119" s="4" t="s">
        <v>215</v>
      </c>
      <c r="D119" s="4" t="s">
        <v>357</v>
      </c>
      <c r="E119" s="4" t="s">
        <v>402</v>
      </c>
      <c r="F119" s="16">
        <v>1.9</v>
      </c>
      <c r="G119" s="16"/>
      <c r="H119" s="16">
        <f t="shared" si="20"/>
        <v>0</v>
      </c>
      <c r="I119" s="16">
        <f t="shared" si="21"/>
        <v>0</v>
      </c>
      <c r="J119" s="16">
        <f t="shared" si="22"/>
        <v>0</v>
      </c>
      <c r="K119" s="16">
        <v>1.95128</v>
      </c>
      <c r="L119" s="16">
        <f t="shared" si="23"/>
        <v>3.707432</v>
      </c>
      <c r="M119" s="28" t="s">
        <v>420</v>
      </c>
      <c r="N119" s="28" t="s">
        <v>7</v>
      </c>
      <c r="O119" s="16">
        <f t="shared" si="24"/>
        <v>0</v>
      </c>
      <c r="Z119" s="16">
        <f t="shared" si="25"/>
        <v>0</v>
      </c>
      <c r="AA119" s="16">
        <f t="shared" si="26"/>
        <v>0</v>
      </c>
      <c r="AB119" s="16">
        <f t="shared" si="27"/>
        <v>0</v>
      </c>
      <c r="AD119" s="33">
        <v>15</v>
      </c>
      <c r="AE119" s="33">
        <f>G119*0.0442649199417758</f>
        <v>0</v>
      </c>
      <c r="AF119" s="33">
        <f>G119*(1-0.0442649199417758)</f>
        <v>0</v>
      </c>
      <c r="AM119" s="33">
        <f t="shared" si="28"/>
        <v>0</v>
      </c>
      <c r="AN119" s="33">
        <f t="shared" si="29"/>
        <v>0</v>
      </c>
      <c r="AO119" s="34" t="s">
        <v>462</v>
      </c>
      <c r="AP119" s="34" t="s">
        <v>478</v>
      </c>
      <c r="AQ119" s="25" t="s">
        <v>480</v>
      </c>
    </row>
    <row r="120" spans="1:43" ht="12.75">
      <c r="A120" s="4" t="s">
        <v>86</v>
      </c>
      <c r="B120" s="4"/>
      <c r="C120" s="4" t="s">
        <v>216</v>
      </c>
      <c r="D120" s="4" t="s">
        <v>358</v>
      </c>
      <c r="E120" s="4" t="s">
        <v>400</v>
      </c>
      <c r="F120" s="16">
        <v>39</v>
      </c>
      <c r="G120" s="16"/>
      <c r="H120" s="16">
        <f t="shared" si="20"/>
        <v>0</v>
      </c>
      <c r="I120" s="16">
        <f t="shared" si="21"/>
        <v>0</v>
      </c>
      <c r="J120" s="16">
        <f t="shared" si="22"/>
        <v>0</v>
      </c>
      <c r="K120" s="16">
        <v>0.063</v>
      </c>
      <c r="L120" s="16">
        <f t="shared" si="23"/>
        <v>2.457</v>
      </c>
      <c r="M120" s="28" t="s">
        <v>420</v>
      </c>
      <c r="N120" s="28" t="s">
        <v>7</v>
      </c>
      <c r="O120" s="16">
        <f t="shared" si="24"/>
        <v>0</v>
      </c>
      <c r="Z120" s="16">
        <f t="shared" si="25"/>
        <v>0</v>
      </c>
      <c r="AA120" s="16">
        <f t="shared" si="26"/>
        <v>0</v>
      </c>
      <c r="AB120" s="16">
        <f t="shared" si="27"/>
        <v>0</v>
      </c>
      <c r="AD120" s="33">
        <v>15</v>
      </c>
      <c r="AE120" s="33">
        <f>G120*0.133024191295603</f>
        <v>0</v>
      </c>
      <c r="AF120" s="33">
        <f>G120*(1-0.133024191295603)</f>
        <v>0</v>
      </c>
      <c r="AM120" s="33">
        <f t="shared" si="28"/>
        <v>0</v>
      </c>
      <c r="AN120" s="33">
        <f t="shared" si="29"/>
        <v>0</v>
      </c>
      <c r="AO120" s="34" t="s">
        <v>462</v>
      </c>
      <c r="AP120" s="34" t="s">
        <v>478</v>
      </c>
      <c r="AQ120" s="25" t="s">
        <v>480</v>
      </c>
    </row>
    <row r="121" spans="1:43" ht="12.75">
      <c r="A121" s="4" t="s">
        <v>87</v>
      </c>
      <c r="B121" s="4"/>
      <c r="C121" s="4" t="s">
        <v>217</v>
      </c>
      <c r="D121" s="4" t="s">
        <v>359</v>
      </c>
      <c r="E121" s="4" t="s">
        <v>400</v>
      </c>
      <c r="F121" s="16">
        <v>4</v>
      </c>
      <c r="G121" s="16"/>
      <c r="H121" s="16">
        <f t="shared" si="20"/>
        <v>0</v>
      </c>
      <c r="I121" s="16">
        <f t="shared" si="21"/>
        <v>0</v>
      </c>
      <c r="J121" s="16">
        <f t="shared" si="22"/>
        <v>0</v>
      </c>
      <c r="K121" s="16">
        <v>0.064</v>
      </c>
      <c r="L121" s="16">
        <f t="shared" si="23"/>
        <v>0.256</v>
      </c>
      <c r="M121" s="28" t="s">
        <v>420</v>
      </c>
      <c r="N121" s="28" t="s">
        <v>7</v>
      </c>
      <c r="O121" s="16">
        <f t="shared" si="24"/>
        <v>0</v>
      </c>
      <c r="Z121" s="16">
        <f t="shared" si="25"/>
        <v>0</v>
      </c>
      <c r="AA121" s="16">
        <f t="shared" si="26"/>
        <v>0</v>
      </c>
      <c r="AB121" s="16">
        <f t="shared" si="27"/>
        <v>0</v>
      </c>
      <c r="AD121" s="33">
        <v>15</v>
      </c>
      <c r="AE121" s="33">
        <f>G121*0.115863746958637</f>
        <v>0</v>
      </c>
      <c r="AF121" s="33">
        <f>G121*(1-0.115863746958637)</f>
        <v>0</v>
      </c>
      <c r="AM121" s="33">
        <f t="shared" si="28"/>
        <v>0</v>
      </c>
      <c r="AN121" s="33">
        <f t="shared" si="29"/>
        <v>0</v>
      </c>
      <c r="AO121" s="34" t="s">
        <v>462</v>
      </c>
      <c r="AP121" s="34" t="s">
        <v>478</v>
      </c>
      <c r="AQ121" s="25" t="s">
        <v>480</v>
      </c>
    </row>
    <row r="122" spans="1:43" ht="12.75">
      <c r="A122" s="4" t="s">
        <v>88</v>
      </c>
      <c r="B122" s="4"/>
      <c r="C122" s="4" t="s">
        <v>218</v>
      </c>
      <c r="D122" s="4" t="s">
        <v>360</v>
      </c>
      <c r="E122" s="4" t="s">
        <v>400</v>
      </c>
      <c r="F122" s="16">
        <v>2</v>
      </c>
      <c r="G122" s="16"/>
      <c r="H122" s="16">
        <f t="shared" si="20"/>
        <v>0</v>
      </c>
      <c r="I122" s="16">
        <f t="shared" si="21"/>
        <v>0</v>
      </c>
      <c r="J122" s="16">
        <f t="shared" si="22"/>
        <v>0</v>
      </c>
      <c r="K122" s="16">
        <v>0.07717</v>
      </c>
      <c r="L122" s="16">
        <f t="shared" si="23"/>
        <v>0.15434</v>
      </c>
      <c r="M122" s="28" t="s">
        <v>420</v>
      </c>
      <c r="N122" s="28" t="s">
        <v>7</v>
      </c>
      <c r="O122" s="16">
        <f t="shared" si="24"/>
        <v>0</v>
      </c>
      <c r="Z122" s="16">
        <f t="shared" si="25"/>
        <v>0</v>
      </c>
      <c r="AA122" s="16">
        <f t="shared" si="26"/>
        <v>0</v>
      </c>
      <c r="AB122" s="16">
        <f t="shared" si="27"/>
        <v>0</v>
      </c>
      <c r="AD122" s="33">
        <v>15</v>
      </c>
      <c r="AE122" s="33">
        <f>G122*0.105094339622642</f>
        <v>0</v>
      </c>
      <c r="AF122" s="33">
        <f>G122*(1-0.105094339622642)</f>
        <v>0</v>
      </c>
      <c r="AM122" s="33">
        <f t="shared" si="28"/>
        <v>0</v>
      </c>
      <c r="AN122" s="33">
        <f t="shared" si="29"/>
        <v>0</v>
      </c>
      <c r="AO122" s="34" t="s">
        <v>462</v>
      </c>
      <c r="AP122" s="34" t="s">
        <v>478</v>
      </c>
      <c r="AQ122" s="25" t="s">
        <v>480</v>
      </c>
    </row>
    <row r="123" spans="1:43" ht="12.75">
      <c r="A123" s="4" t="s">
        <v>89</v>
      </c>
      <c r="B123" s="4"/>
      <c r="C123" s="4" t="s">
        <v>219</v>
      </c>
      <c r="D123" s="4" t="s">
        <v>361</v>
      </c>
      <c r="E123" s="4" t="s">
        <v>403</v>
      </c>
      <c r="F123" s="16">
        <v>19</v>
      </c>
      <c r="G123" s="16"/>
      <c r="H123" s="16">
        <f t="shared" si="20"/>
        <v>0</v>
      </c>
      <c r="I123" s="16">
        <f t="shared" si="21"/>
        <v>0</v>
      </c>
      <c r="J123" s="16">
        <f t="shared" si="22"/>
        <v>0</v>
      </c>
      <c r="K123" s="16">
        <v>0</v>
      </c>
      <c r="L123" s="16">
        <f t="shared" si="23"/>
        <v>0</v>
      </c>
      <c r="M123" s="28" t="s">
        <v>420</v>
      </c>
      <c r="N123" s="28" t="s">
        <v>7</v>
      </c>
      <c r="O123" s="16">
        <f t="shared" si="24"/>
        <v>0</v>
      </c>
      <c r="Z123" s="16">
        <f t="shared" si="25"/>
        <v>0</v>
      </c>
      <c r="AA123" s="16">
        <f t="shared" si="26"/>
        <v>0</v>
      </c>
      <c r="AB123" s="16">
        <f t="shared" si="27"/>
        <v>0</v>
      </c>
      <c r="AD123" s="33">
        <v>15</v>
      </c>
      <c r="AE123" s="33">
        <f>G123*0</f>
        <v>0</v>
      </c>
      <c r="AF123" s="33">
        <f>G123*(1-0)</f>
        <v>0</v>
      </c>
      <c r="AM123" s="33">
        <f t="shared" si="28"/>
        <v>0</v>
      </c>
      <c r="AN123" s="33">
        <f t="shared" si="29"/>
        <v>0</v>
      </c>
      <c r="AO123" s="34" t="s">
        <v>462</v>
      </c>
      <c r="AP123" s="34" t="s">
        <v>478</v>
      </c>
      <c r="AQ123" s="25" t="s">
        <v>480</v>
      </c>
    </row>
    <row r="124" spans="1:43" ht="12.75">
      <c r="A124" s="4" t="s">
        <v>90</v>
      </c>
      <c r="B124" s="4"/>
      <c r="C124" s="4" t="s">
        <v>220</v>
      </c>
      <c r="D124" s="4" t="s">
        <v>362</v>
      </c>
      <c r="E124" s="4" t="s">
        <v>400</v>
      </c>
      <c r="F124" s="16">
        <v>59</v>
      </c>
      <c r="G124" s="16"/>
      <c r="H124" s="16">
        <f t="shared" si="20"/>
        <v>0</v>
      </c>
      <c r="I124" s="16">
        <f t="shared" si="21"/>
        <v>0</v>
      </c>
      <c r="J124" s="16">
        <f t="shared" si="22"/>
        <v>0</v>
      </c>
      <c r="K124" s="16">
        <v>0.09234</v>
      </c>
      <c r="L124" s="16">
        <f t="shared" si="23"/>
        <v>5.44806</v>
      </c>
      <c r="M124" s="28" t="s">
        <v>420</v>
      </c>
      <c r="N124" s="28" t="s">
        <v>7</v>
      </c>
      <c r="O124" s="16">
        <f t="shared" si="24"/>
        <v>0</v>
      </c>
      <c r="Z124" s="16">
        <f t="shared" si="25"/>
        <v>0</v>
      </c>
      <c r="AA124" s="16">
        <f t="shared" si="26"/>
        <v>0</v>
      </c>
      <c r="AB124" s="16">
        <f t="shared" si="27"/>
        <v>0</v>
      </c>
      <c r="AD124" s="33">
        <v>15</v>
      </c>
      <c r="AE124" s="33">
        <f>G124*0.0471597633136095</f>
        <v>0</v>
      </c>
      <c r="AF124" s="33">
        <f>G124*(1-0.0471597633136095)</f>
        <v>0</v>
      </c>
      <c r="AM124" s="33">
        <f t="shared" si="28"/>
        <v>0</v>
      </c>
      <c r="AN124" s="33">
        <f t="shared" si="29"/>
        <v>0</v>
      </c>
      <c r="AO124" s="34" t="s">
        <v>462</v>
      </c>
      <c r="AP124" s="34" t="s">
        <v>478</v>
      </c>
      <c r="AQ124" s="25" t="s">
        <v>480</v>
      </c>
    </row>
    <row r="125" spans="1:43" ht="12.75">
      <c r="A125" s="4" t="s">
        <v>91</v>
      </c>
      <c r="B125" s="4"/>
      <c r="C125" s="4" t="s">
        <v>221</v>
      </c>
      <c r="D125" s="4" t="s">
        <v>363</v>
      </c>
      <c r="E125" s="4" t="s">
        <v>402</v>
      </c>
      <c r="F125" s="16">
        <v>1.95</v>
      </c>
      <c r="G125" s="16"/>
      <c r="H125" s="16">
        <f t="shared" si="20"/>
        <v>0</v>
      </c>
      <c r="I125" s="16">
        <f t="shared" si="21"/>
        <v>0</v>
      </c>
      <c r="J125" s="16">
        <f t="shared" si="22"/>
        <v>0</v>
      </c>
      <c r="K125" s="16">
        <v>2.2</v>
      </c>
      <c r="L125" s="16">
        <f t="shared" si="23"/>
        <v>4.29</v>
      </c>
      <c r="M125" s="28" t="s">
        <v>420</v>
      </c>
      <c r="N125" s="28" t="s">
        <v>7</v>
      </c>
      <c r="O125" s="16">
        <f t="shared" si="24"/>
        <v>0</v>
      </c>
      <c r="Z125" s="16">
        <f t="shared" si="25"/>
        <v>0</v>
      </c>
      <c r="AA125" s="16">
        <f t="shared" si="26"/>
        <v>0</v>
      </c>
      <c r="AB125" s="16">
        <f t="shared" si="27"/>
        <v>0</v>
      </c>
      <c r="AD125" s="33">
        <v>15</v>
      </c>
      <c r="AE125" s="33">
        <f>G125*0</f>
        <v>0</v>
      </c>
      <c r="AF125" s="33">
        <f>G125*(1-0)</f>
        <v>0</v>
      </c>
      <c r="AM125" s="33">
        <f t="shared" si="28"/>
        <v>0</v>
      </c>
      <c r="AN125" s="33">
        <f t="shared" si="29"/>
        <v>0</v>
      </c>
      <c r="AO125" s="34" t="s">
        <v>462</v>
      </c>
      <c r="AP125" s="34" t="s">
        <v>478</v>
      </c>
      <c r="AQ125" s="25" t="s">
        <v>480</v>
      </c>
    </row>
    <row r="126" spans="1:37" ht="12.75">
      <c r="A126" s="5"/>
      <c r="B126" s="13"/>
      <c r="C126" s="13" t="s">
        <v>103</v>
      </c>
      <c r="D126" s="78" t="s">
        <v>364</v>
      </c>
      <c r="E126" s="79"/>
      <c r="F126" s="79"/>
      <c r="G126" s="79"/>
      <c r="H126" s="36">
        <f>SUM(H127:H132)</f>
        <v>0</v>
      </c>
      <c r="I126" s="36">
        <f>SUM(I127:I132)</f>
        <v>0</v>
      </c>
      <c r="J126" s="36">
        <f>H126+I126</f>
        <v>0</v>
      </c>
      <c r="K126" s="25"/>
      <c r="L126" s="36">
        <f>SUM(L127:L132)</f>
        <v>4.16332</v>
      </c>
      <c r="M126" s="25"/>
      <c r="P126" s="36">
        <f>IF(Q126="PR",J126,SUM(O127:O132))</f>
        <v>0</v>
      </c>
      <c r="Q126" s="25" t="s">
        <v>423</v>
      </c>
      <c r="R126" s="36">
        <f>IF(Q126="HS",H126,0)</f>
        <v>0</v>
      </c>
      <c r="S126" s="36">
        <f>IF(Q126="HS",I126-P126,0)</f>
        <v>0</v>
      </c>
      <c r="T126" s="36">
        <f>IF(Q126="PS",H126,0)</f>
        <v>0</v>
      </c>
      <c r="U126" s="36">
        <f>IF(Q126="PS",I126-P126,0)</f>
        <v>0</v>
      </c>
      <c r="V126" s="36">
        <f>IF(Q126="MP",H126,0)</f>
        <v>0</v>
      </c>
      <c r="W126" s="36">
        <f>IF(Q126="MP",I126-P126,0)</f>
        <v>0</v>
      </c>
      <c r="X126" s="36">
        <f>IF(Q126="OM",H126,0)</f>
        <v>0</v>
      </c>
      <c r="Y126" s="25"/>
      <c r="AI126" s="36">
        <f>SUM(Z127:Z132)</f>
        <v>0</v>
      </c>
      <c r="AJ126" s="36">
        <f>SUM(AA127:AA132)</f>
        <v>0</v>
      </c>
      <c r="AK126" s="36">
        <f>SUM(AB127:AB132)</f>
        <v>0</v>
      </c>
    </row>
    <row r="127" spans="1:43" ht="12.75">
      <c r="A127" s="4" t="s">
        <v>92</v>
      </c>
      <c r="B127" s="4"/>
      <c r="C127" s="4" t="s">
        <v>222</v>
      </c>
      <c r="D127" s="4" t="s">
        <v>365</v>
      </c>
      <c r="E127" s="4" t="s">
        <v>403</v>
      </c>
      <c r="F127" s="16">
        <v>10</v>
      </c>
      <c r="G127" s="16"/>
      <c r="H127" s="16">
        <f aca="true" t="shared" si="30" ref="H127:H132">F127*AE127</f>
        <v>0</v>
      </c>
      <c r="I127" s="16">
        <f aca="true" t="shared" si="31" ref="I127:I132">J127-H127</f>
        <v>0</v>
      </c>
      <c r="J127" s="16">
        <f aca="true" t="shared" si="32" ref="J127:J132">F127*G127</f>
        <v>0</v>
      </c>
      <c r="K127" s="16">
        <v>0.001</v>
      </c>
      <c r="L127" s="16">
        <f aca="true" t="shared" si="33" ref="L127:L132">F127*K127</f>
        <v>0.01</v>
      </c>
      <c r="M127" s="28" t="s">
        <v>420</v>
      </c>
      <c r="N127" s="28" t="s">
        <v>7</v>
      </c>
      <c r="O127" s="16">
        <f aca="true" t="shared" si="34" ref="O127:O132">IF(N127="5",I127,0)</f>
        <v>0</v>
      </c>
      <c r="Z127" s="16">
        <f aca="true" t="shared" si="35" ref="Z127:Z132">IF(AD127=0,J127,0)</f>
        <v>0</v>
      </c>
      <c r="AA127" s="16">
        <f aca="true" t="shared" si="36" ref="AA127:AA132">IF(AD127=15,J127,0)</f>
        <v>0</v>
      </c>
      <c r="AB127" s="16">
        <f aca="true" t="shared" si="37" ref="AB127:AB132">IF(AD127=21,J127,0)</f>
        <v>0</v>
      </c>
      <c r="AD127" s="33">
        <v>15</v>
      </c>
      <c r="AE127" s="33">
        <f>G127*0</f>
        <v>0</v>
      </c>
      <c r="AF127" s="33">
        <f>G127*(1-0)</f>
        <v>0</v>
      </c>
      <c r="AM127" s="33">
        <f aca="true" t="shared" si="38" ref="AM127:AM132">F127*AE127</f>
        <v>0</v>
      </c>
      <c r="AN127" s="33">
        <f aca="true" t="shared" si="39" ref="AN127:AN132">F127*AF127</f>
        <v>0</v>
      </c>
      <c r="AO127" s="34" t="s">
        <v>463</v>
      </c>
      <c r="AP127" s="34" t="s">
        <v>478</v>
      </c>
      <c r="AQ127" s="25" t="s">
        <v>480</v>
      </c>
    </row>
    <row r="128" spans="1:43" ht="12.75">
      <c r="A128" s="4" t="s">
        <v>93</v>
      </c>
      <c r="B128" s="4"/>
      <c r="C128" s="4" t="s">
        <v>223</v>
      </c>
      <c r="D128" s="4" t="s">
        <v>366</v>
      </c>
      <c r="E128" s="4" t="s">
        <v>401</v>
      </c>
      <c r="F128" s="16">
        <v>39</v>
      </c>
      <c r="G128" s="16"/>
      <c r="H128" s="16">
        <f t="shared" si="30"/>
        <v>0</v>
      </c>
      <c r="I128" s="16">
        <f t="shared" si="31"/>
        <v>0</v>
      </c>
      <c r="J128" s="16">
        <f t="shared" si="32"/>
        <v>0</v>
      </c>
      <c r="K128" s="16">
        <v>0.01949</v>
      </c>
      <c r="L128" s="16">
        <f t="shared" si="33"/>
        <v>0.7601100000000001</v>
      </c>
      <c r="M128" s="28" t="s">
        <v>420</v>
      </c>
      <c r="N128" s="28" t="s">
        <v>7</v>
      </c>
      <c r="O128" s="16">
        <f t="shared" si="34"/>
        <v>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D128" s="33">
        <v>15</v>
      </c>
      <c r="AE128" s="33">
        <f>G128*0.117587939698492</f>
        <v>0</v>
      </c>
      <c r="AF128" s="33">
        <f>G128*(1-0.117587939698492)</f>
        <v>0</v>
      </c>
      <c r="AM128" s="33">
        <f t="shared" si="38"/>
        <v>0</v>
      </c>
      <c r="AN128" s="33">
        <f t="shared" si="39"/>
        <v>0</v>
      </c>
      <c r="AO128" s="34" t="s">
        <v>463</v>
      </c>
      <c r="AP128" s="34" t="s">
        <v>478</v>
      </c>
      <c r="AQ128" s="25" t="s">
        <v>480</v>
      </c>
    </row>
    <row r="129" spans="1:43" ht="12.75">
      <c r="A129" s="4" t="s">
        <v>94</v>
      </c>
      <c r="B129" s="4"/>
      <c r="C129" s="4" t="s">
        <v>224</v>
      </c>
      <c r="D129" s="4" t="s">
        <v>367</v>
      </c>
      <c r="E129" s="4" t="s">
        <v>401</v>
      </c>
      <c r="F129" s="16">
        <v>18</v>
      </c>
      <c r="G129" s="16"/>
      <c r="H129" s="16">
        <f t="shared" si="30"/>
        <v>0</v>
      </c>
      <c r="I129" s="16">
        <f t="shared" si="31"/>
        <v>0</v>
      </c>
      <c r="J129" s="16">
        <f t="shared" si="32"/>
        <v>0</v>
      </c>
      <c r="K129" s="16">
        <v>0.082</v>
      </c>
      <c r="L129" s="16">
        <f t="shared" si="33"/>
        <v>1.476</v>
      </c>
      <c r="M129" s="28" t="s">
        <v>420</v>
      </c>
      <c r="N129" s="28" t="s">
        <v>7</v>
      </c>
      <c r="O129" s="16">
        <f t="shared" si="34"/>
        <v>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D129" s="33">
        <v>15</v>
      </c>
      <c r="AE129" s="33">
        <f>G129*0</f>
        <v>0</v>
      </c>
      <c r="AF129" s="33">
        <f>G129*(1-0)</f>
        <v>0</v>
      </c>
      <c r="AM129" s="33">
        <f t="shared" si="38"/>
        <v>0</v>
      </c>
      <c r="AN129" s="33">
        <f t="shared" si="39"/>
        <v>0</v>
      </c>
      <c r="AO129" s="34" t="s">
        <v>463</v>
      </c>
      <c r="AP129" s="34" t="s">
        <v>478</v>
      </c>
      <c r="AQ129" s="25" t="s">
        <v>480</v>
      </c>
    </row>
    <row r="130" spans="1:43" ht="12.75">
      <c r="A130" s="4" t="s">
        <v>95</v>
      </c>
      <c r="B130" s="4"/>
      <c r="C130" s="4" t="s">
        <v>225</v>
      </c>
      <c r="D130" s="4" t="s">
        <v>368</v>
      </c>
      <c r="E130" s="4" t="s">
        <v>401</v>
      </c>
      <c r="F130" s="16">
        <v>19</v>
      </c>
      <c r="G130" s="16"/>
      <c r="H130" s="16">
        <f t="shared" si="30"/>
        <v>0</v>
      </c>
      <c r="I130" s="16">
        <f t="shared" si="31"/>
        <v>0</v>
      </c>
      <c r="J130" s="16">
        <f t="shared" si="32"/>
        <v>0</v>
      </c>
      <c r="K130" s="16">
        <v>0.05</v>
      </c>
      <c r="L130" s="16">
        <f t="shared" si="33"/>
        <v>0.9500000000000001</v>
      </c>
      <c r="M130" s="28" t="s">
        <v>420</v>
      </c>
      <c r="N130" s="28" t="s">
        <v>7</v>
      </c>
      <c r="O130" s="16">
        <f t="shared" si="34"/>
        <v>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D130" s="33">
        <v>15</v>
      </c>
      <c r="AE130" s="33">
        <f>G130*0</f>
        <v>0</v>
      </c>
      <c r="AF130" s="33">
        <f>G130*(1-0)</f>
        <v>0</v>
      </c>
      <c r="AM130" s="33">
        <f t="shared" si="38"/>
        <v>0</v>
      </c>
      <c r="AN130" s="33">
        <f t="shared" si="39"/>
        <v>0</v>
      </c>
      <c r="AO130" s="34" t="s">
        <v>463</v>
      </c>
      <c r="AP130" s="34" t="s">
        <v>478</v>
      </c>
      <c r="AQ130" s="25" t="s">
        <v>480</v>
      </c>
    </row>
    <row r="131" spans="1:43" ht="12.75">
      <c r="A131" s="4" t="s">
        <v>96</v>
      </c>
      <c r="B131" s="4"/>
      <c r="C131" s="4" t="s">
        <v>226</v>
      </c>
      <c r="D131" s="4" t="s">
        <v>369</v>
      </c>
      <c r="E131" s="4" t="s">
        <v>401</v>
      </c>
      <c r="F131" s="16">
        <v>29</v>
      </c>
      <c r="G131" s="16"/>
      <c r="H131" s="16">
        <f t="shared" si="30"/>
        <v>0</v>
      </c>
      <c r="I131" s="16">
        <f t="shared" si="31"/>
        <v>0</v>
      </c>
      <c r="J131" s="16">
        <f t="shared" si="32"/>
        <v>0</v>
      </c>
      <c r="K131" s="16">
        <v>0.01349</v>
      </c>
      <c r="L131" s="16">
        <f t="shared" si="33"/>
        <v>0.39121</v>
      </c>
      <c r="M131" s="28" t="s">
        <v>420</v>
      </c>
      <c r="N131" s="28" t="s">
        <v>7</v>
      </c>
      <c r="O131" s="16">
        <f t="shared" si="34"/>
        <v>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D131" s="33">
        <v>15</v>
      </c>
      <c r="AE131" s="33">
        <f>G131*0.143540669856459</f>
        <v>0</v>
      </c>
      <c r="AF131" s="33">
        <f>G131*(1-0.143540669856459)</f>
        <v>0</v>
      </c>
      <c r="AM131" s="33">
        <f t="shared" si="38"/>
        <v>0</v>
      </c>
      <c r="AN131" s="33">
        <f t="shared" si="39"/>
        <v>0</v>
      </c>
      <c r="AO131" s="34" t="s">
        <v>463</v>
      </c>
      <c r="AP131" s="34" t="s">
        <v>478</v>
      </c>
      <c r="AQ131" s="25" t="s">
        <v>480</v>
      </c>
    </row>
    <row r="132" spans="1:43" ht="12.75">
      <c r="A132" s="4" t="s">
        <v>97</v>
      </c>
      <c r="B132" s="4"/>
      <c r="C132" s="4" t="s">
        <v>227</v>
      </c>
      <c r="D132" s="4" t="s">
        <v>370</v>
      </c>
      <c r="E132" s="4" t="s">
        <v>403</v>
      </c>
      <c r="F132" s="16">
        <v>64</v>
      </c>
      <c r="G132" s="16"/>
      <c r="H132" s="16">
        <f t="shared" si="30"/>
        <v>0</v>
      </c>
      <c r="I132" s="16">
        <f t="shared" si="31"/>
        <v>0</v>
      </c>
      <c r="J132" s="16">
        <f t="shared" si="32"/>
        <v>0</v>
      </c>
      <c r="K132" s="16">
        <v>0.009</v>
      </c>
      <c r="L132" s="16">
        <f t="shared" si="33"/>
        <v>0.576</v>
      </c>
      <c r="M132" s="28" t="s">
        <v>420</v>
      </c>
      <c r="N132" s="28" t="s">
        <v>7</v>
      </c>
      <c r="O132" s="16">
        <f t="shared" si="34"/>
        <v>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D132" s="33">
        <v>15</v>
      </c>
      <c r="AE132" s="33">
        <f>G132*0</f>
        <v>0</v>
      </c>
      <c r="AF132" s="33">
        <f>G132*(1-0)</f>
        <v>0</v>
      </c>
      <c r="AM132" s="33">
        <f t="shared" si="38"/>
        <v>0</v>
      </c>
      <c r="AN132" s="33">
        <f t="shared" si="39"/>
        <v>0</v>
      </c>
      <c r="AO132" s="34" t="s">
        <v>463</v>
      </c>
      <c r="AP132" s="34" t="s">
        <v>478</v>
      </c>
      <c r="AQ132" s="25" t="s">
        <v>480</v>
      </c>
    </row>
    <row r="133" spans="1:37" ht="12.75">
      <c r="A133" s="5"/>
      <c r="B133" s="13"/>
      <c r="C133" s="13" t="s">
        <v>228</v>
      </c>
      <c r="D133" s="78" t="s">
        <v>371</v>
      </c>
      <c r="E133" s="79"/>
      <c r="F133" s="79"/>
      <c r="G133" s="79"/>
      <c r="H133" s="36">
        <f>SUM(H134:H134)</f>
        <v>0</v>
      </c>
      <c r="I133" s="36">
        <f>SUM(I134:I134)</f>
        <v>0</v>
      </c>
      <c r="J133" s="36">
        <f>H133+I133</f>
        <v>0</v>
      </c>
      <c r="K133" s="25"/>
      <c r="L133" s="36">
        <f>SUM(L134:L134)</f>
        <v>0</v>
      </c>
      <c r="M133" s="25"/>
      <c r="P133" s="36">
        <f>IF(Q133="PR",J133,SUM(O134:O134))</f>
        <v>0</v>
      </c>
      <c r="Q133" s="25" t="s">
        <v>425</v>
      </c>
      <c r="R133" s="36">
        <f>IF(Q133="HS",H133,0)</f>
        <v>0</v>
      </c>
      <c r="S133" s="36">
        <f>IF(Q133="HS",I133-P133,0)</f>
        <v>0</v>
      </c>
      <c r="T133" s="36">
        <f>IF(Q133="PS",H133,0)</f>
        <v>0</v>
      </c>
      <c r="U133" s="36">
        <f>IF(Q133="PS",I133-P133,0)</f>
        <v>0</v>
      </c>
      <c r="V133" s="36">
        <f>IF(Q133="MP",H133,0)</f>
        <v>0</v>
      </c>
      <c r="W133" s="36">
        <f>IF(Q133="MP",I133-P133,0)</f>
        <v>0</v>
      </c>
      <c r="X133" s="36">
        <f>IF(Q133="OM",H133,0)</f>
        <v>0</v>
      </c>
      <c r="Y133" s="25"/>
      <c r="AI133" s="36">
        <f>SUM(Z134:Z134)</f>
        <v>0</v>
      </c>
      <c r="AJ133" s="36">
        <f>SUM(AA134:AA134)</f>
        <v>0</v>
      </c>
      <c r="AK133" s="36">
        <f>SUM(AB134:AB134)</f>
        <v>0</v>
      </c>
    </row>
    <row r="134" spans="1:43" ht="12.75">
      <c r="A134" s="4" t="s">
        <v>98</v>
      </c>
      <c r="B134" s="4"/>
      <c r="C134" s="4" t="s">
        <v>229</v>
      </c>
      <c r="D134" s="4" t="s">
        <v>372</v>
      </c>
      <c r="E134" s="4" t="s">
        <v>398</v>
      </c>
      <c r="F134" s="16">
        <v>1</v>
      </c>
      <c r="G134" s="16"/>
      <c r="H134" s="16">
        <f>F134*AE134</f>
        <v>0</v>
      </c>
      <c r="I134" s="16">
        <f>J134-H134</f>
        <v>0</v>
      </c>
      <c r="J134" s="16">
        <f>F134*G134</f>
        <v>0</v>
      </c>
      <c r="K134" s="16">
        <v>0</v>
      </c>
      <c r="L134" s="16">
        <f>F134*K134</f>
        <v>0</v>
      </c>
      <c r="M134" s="28" t="s">
        <v>420</v>
      </c>
      <c r="N134" s="28" t="s">
        <v>8</v>
      </c>
      <c r="O134" s="16">
        <f>IF(N134="5",I134,0)</f>
        <v>0</v>
      </c>
      <c r="Z134" s="16">
        <f>IF(AD134=0,J134,0)</f>
        <v>0</v>
      </c>
      <c r="AA134" s="16">
        <f>IF(AD134=15,J134,0)</f>
        <v>0</v>
      </c>
      <c r="AB134" s="16">
        <f>IF(AD134=21,J134,0)</f>
        <v>0</v>
      </c>
      <c r="AD134" s="33">
        <v>15</v>
      </c>
      <c r="AE134" s="33">
        <f>G134*0</f>
        <v>0</v>
      </c>
      <c r="AF134" s="33">
        <f>G134*(1-0)</f>
        <v>0</v>
      </c>
      <c r="AM134" s="33">
        <f>F134*AE134</f>
        <v>0</v>
      </c>
      <c r="AN134" s="33">
        <f>F134*AF134</f>
        <v>0</v>
      </c>
      <c r="AO134" s="34" t="s">
        <v>464</v>
      </c>
      <c r="AP134" s="34" t="s">
        <v>478</v>
      </c>
      <c r="AQ134" s="25" t="s">
        <v>480</v>
      </c>
    </row>
    <row r="135" spans="1:37" ht="12.75">
      <c r="A135" s="5"/>
      <c r="B135" s="13"/>
      <c r="C135" s="13" t="s">
        <v>230</v>
      </c>
      <c r="D135" s="78" t="s">
        <v>373</v>
      </c>
      <c r="E135" s="79"/>
      <c r="F135" s="79"/>
      <c r="G135" s="79"/>
      <c r="H135" s="36">
        <f>SUM(H136:H136)</f>
        <v>0</v>
      </c>
      <c r="I135" s="36">
        <f>SUM(I136:I136)</f>
        <v>0</v>
      </c>
      <c r="J135" s="36">
        <f>H135+I135</f>
        <v>0</v>
      </c>
      <c r="K135" s="25"/>
      <c r="L135" s="36">
        <f>SUM(L136:L136)</f>
        <v>0.00037</v>
      </c>
      <c r="M135" s="25"/>
      <c r="P135" s="36">
        <f>IF(Q135="PR",J135,SUM(O136:O136))</f>
        <v>0</v>
      </c>
      <c r="Q135" s="25" t="s">
        <v>425</v>
      </c>
      <c r="R135" s="36">
        <f>IF(Q135="HS",H135,0)</f>
        <v>0</v>
      </c>
      <c r="S135" s="36">
        <f>IF(Q135="HS",I135-P135,0)</f>
        <v>0</v>
      </c>
      <c r="T135" s="36">
        <f>IF(Q135="PS",H135,0)</f>
        <v>0</v>
      </c>
      <c r="U135" s="36">
        <f>IF(Q135="PS",I135-P135,0)</f>
        <v>0</v>
      </c>
      <c r="V135" s="36">
        <f>IF(Q135="MP",H135,0)</f>
        <v>0</v>
      </c>
      <c r="W135" s="36">
        <f>IF(Q135="MP",I135-P135,0)</f>
        <v>0</v>
      </c>
      <c r="X135" s="36">
        <f>IF(Q135="OM",H135,0)</f>
        <v>0</v>
      </c>
      <c r="Y135" s="25"/>
      <c r="AI135" s="36">
        <f>SUM(Z136:Z136)</f>
        <v>0</v>
      </c>
      <c r="AJ135" s="36">
        <f>SUM(AA136:AA136)</f>
        <v>0</v>
      </c>
      <c r="AK135" s="36">
        <f>SUM(AB136:AB136)</f>
        <v>0</v>
      </c>
    </row>
    <row r="136" spans="1:43" ht="12.75">
      <c r="A136" s="4" t="s">
        <v>99</v>
      </c>
      <c r="B136" s="4"/>
      <c r="C136" s="4" t="s">
        <v>231</v>
      </c>
      <c r="D136" s="4" t="s">
        <v>374</v>
      </c>
      <c r="E136" s="4" t="s">
        <v>403</v>
      </c>
      <c r="F136" s="16">
        <v>1</v>
      </c>
      <c r="G136" s="16"/>
      <c r="H136" s="16">
        <f>F136*AE136</f>
        <v>0</v>
      </c>
      <c r="I136" s="16">
        <f>J136-H136</f>
        <v>0</v>
      </c>
      <c r="J136" s="16">
        <f>F136*G136</f>
        <v>0</v>
      </c>
      <c r="K136" s="16">
        <v>0.00037</v>
      </c>
      <c r="L136" s="16">
        <f>F136*K136</f>
        <v>0.00037</v>
      </c>
      <c r="M136" s="28" t="s">
        <v>420</v>
      </c>
      <c r="N136" s="28" t="s">
        <v>8</v>
      </c>
      <c r="O136" s="16">
        <f>IF(N136="5",I136,0)</f>
        <v>0</v>
      </c>
      <c r="Z136" s="16">
        <f>IF(AD136=0,J136,0)</f>
        <v>0</v>
      </c>
      <c r="AA136" s="16">
        <f>IF(AD136=15,J136,0)</f>
        <v>0</v>
      </c>
      <c r="AB136" s="16">
        <f>IF(AD136=21,J136,0)</f>
        <v>0</v>
      </c>
      <c r="AD136" s="33">
        <v>15</v>
      </c>
      <c r="AE136" s="33">
        <f>G136*0.483308727272727</f>
        <v>0</v>
      </c>
      <c r="AF136" s="33">
        <f>G136*(1-0.483308727272727)</f>
        <v>0</v>
      </c>
      <c r="AM136" s="33">
        <f>F136*AE136</f>
        <v>0</v>
      </c>
      <c r="AN136" s="33">
        <f>F136*AF136</f>
        <v>0</v>
      </c>
      <c r="AO136" s="34" t="s">
        <v>465</v>
      </c>
      <c r="AP136" s="34" t="s">
        <v>478</v>
      </c>
      <c r="AQ136" s="25" t="s">
        <v>480</v>
      </c>
    </row>
    <row r="137" spans="1:37" ht="12.75">
      <c r="A137" s="5"/>
      <c r="B137" s="13"/>
      <c r="C137" s="13" t="s">
        <v>232</v>
      </c>
      <c r="D137" s="78" t="s">
        <v>375</v>
      </c>
      <c r="E137" s="79"/>
      <c r="F137" s="79"/>
      <c r="G137" s="79"/>
      <c r="H137" s="36">
        <f>SUM(H138:H141)</f>
        <v>0</v>
      </c>
      <c r="I137" s="36">
        <f>SUM(I138:I141)</f>
        <v>0</v>
      </c>
      <c r="J137" s="36">
        <f>H137+I137</f>
        <v>0</v>
      </c>
      <c r="K137" s="25"/>
      <c r="L137" s="36">
        <f>SUM(L138:L141)</f>
        <v>0</v>
      </c>
      <c r="M137" s="25"/>
      <c r="P137" s="36">
        <f>IF(Q137="PR",J137,SUM(O138:O141))</f>
        <v>0</v>
      </c>
      <c r="Q137" s="25" t="s">
        <v>423</v>
      </c>
      <c r="R137" s="36">
        <f>IF(Q137="HS",H137,0)</f>
        <v>0</v>
      </c>
      <c r="S137" s="36">
        <f>IF(Q137="HS",I137-P137,0)</f>
        <v>0</v>
      </c>
      <c r="T137" s="36">
        <f>IF(Q137="PS",H137,0)</f>
        <v>0</v>
      </c>
      <c r="U137" s="36">
        <f>IF(Q137="PS",I137-P137,0)</f>
        <v>0</v>
      </c>
      <c r="V137" s="36">
        <f>IF(Q137="MP",H137,0)</f>
        <v>0</v>
      </c>
      <c r="W137" s="36">
        <f>IF(Q137="MP",I137-P137,0)</f>
        <v>0</v>
      </c>
      <c r="X137" s="36">
        <f>IF(Q137="OM",H137,0)</f>
        <v>0</v>
      </c>
      <c r="Y137" s="25"/>
      <c r="AI137" s="36">
        <f>SUM(Z138:Z141)</f>
        <v>0</v>
      </c>
      <c r="AJ137" s="36">
        <f>SUM(AA138:AA141)</f>
        <v>0</v>
      </c>
      <c r="AK137" s="36">
        <f>SUM(AB138:AB141)</f>
        <v>0</v>
      </c>
    </row>
    <row r="138" spans="1:43" ht="12.75">
      <c r="A138" s="4" t="s">
        <v>100</v>
      </c>
      <c r="B138" s="4"/>
      <c r="C138" s="4" t="s">
        <v>233</v>
      </c>
      <c r="D138" s="4" t="s">
        <v>376</v>
      </c>
      <c r="E138" s="4" t="s">
        <v>399</v>
      </c>
      <c r="F138" s="16">
        <v>27.53</v>
      </c>
      <c r="G138" s="16"/>
      <c r="H138" s="16">
        <f>F138*AE138</f>
        <v>0</v>
      </c>
      <c r="I138" s="16">
        <f>J138-H138</f>
        <v>0</v>
      </c>
      <c r="J138" s="16">
        <f>F138*G138</f>
        <v>0</v>
      </c>
      <c r="K138" s="16">
        <v>0</v>
      </c>
      <c r="L138" s="16">
        <f>F138*K138</f>
        <v>0</v>
      </c>
      <c r="M138" s="28" t="s">
        <v>420</v>
      </c>
      <c r="N138" s="28" t="s">
        <v>11</v>
      </c>
      <c r="O138" s="16">
        <f>IF(N138="5",I138,0)</f>
        <v>0</v>
      </c>
      <c r="Z138" s="16">
        <f>IF(AD138=0,J138,0)</f>
        <v>0</v>
      </c>
      <c r="AA138" s="16">
        <f>IF(AD138=15,J138,0)</f>
        <v>0</v>
      </c>
      <c r="AB138" s="16">
        <f>IF(AD138=21,J138,0)</f>
        <v>0</v>
      </c>
      <c r="AD138" s="33">
        <v>15</v>
      </c>
      <c r="AE138" s="33">
        <f>G138*0</f>
        <v>0</v>
      </c>
      <c r="AF138" s="33">
        <f>G138*(1-0)</f>
        <v>0</v>
      </c>
      <c r="AM138" s="33">
        <f>F138*AE138</f>
        <v>0</v>
      </c>
      <c r="AN138" s="33">
        <f>F138*AF138</f>
        <v>0</v>
      </c>
      <c r="AO138" s="34" t="s">
        <v>466</v>
      </c>
      <c r="AP138" s="34" t="s">
        <v>478</v>
      </c>
      <c r="AQ138" s="25" t="s">
        <v>480</v>
      </c>
    </row>
    <row r="139" spans="1:43" ht="12.75">
      <c r="A139" s="4" t="s">
        <v>101</v>
      </c>
      <c r="B139" s="4"/>
      <c r="C139" s="4" t="s">
        <v>234</v>
      </c>
      <c r="D139" s="4" t="s">
        <v>377</v>
      </c>
      <c r="E139" s="4" t="s">
        <v>399</v>
      </c>
      <c r="F139" s="16">
        <v>27.53</v>
      </c>
      <c r="G139" s="16"/>
      <c r="H139" s="16">
        <f>F139*AE139</f>
        <v>0</v>
      </c>
      <c r="I139" s="16">
        <f>J139-H139</f>
        <v>0</v>
      </c>
      <c r="J139" s="16">
        <f>F139*G139</f>
        <v>0</v>
      </c>
      <c r="K139" s="16">
        <v>0</v>
      </c>
      <c r="L139" s="16">
        <f>F139*K139</f>
        <v>0</v>
      </c>
      <c r="M139" s="28" t="s">
        <v>420</v>
      </c>
      <c r="N139" s="28" t="s">
        <v>11</v>
      </c>
      <c r="O139" s="16">
        <f>IF(N139="5",I139,0)</f>
        <v>0</v>
      </c>
      <c r="Z139" s="16">
        <f>IF(AD139=0,J139,0)</f>
        <v>0</v>
      </c>
      <c r="AA139" s="16">
        <f>IF(AD139=15,J139,0)</f>
        <v>0</v>
      </c>
      <c r="AB139" s="16">
        <f>IF(AD139=21,J139,0)</f>
        <v>0</v>
      </c>
      <c r="AD139" s="33">
        <v>15</v>
      </c>
      <c r="AE139" s="33">
        <f>G139*0.00923317683881064</f>
        <v>0</v>
      </c>
      <c r="AF139" s="33">
        <f>G139*(1-0.00923317683881064)</f>
        <v>0</v>
      </c>
      <c r="AM139" s="33">
        <f>F139*AE139</f>
        <v>0</v>
      </c>
      <c r="AN139" s="33">
        <f>F139*AF139</f>
        <v>0</v>
      </c>
      <c r="AO139" s="34" t="s">
        <v>466</v>
      </c>
      <c r="AP139" s="34" t="s">
        <v>478</v>
      </c>
      <c r="AQ139" s="25" t="s">
        <v>480</v>
      </c>
    </row>
    <row r="140" spans="1:43" ht="12.75">
      <c r="A140" s="4" t="s">
        <v>102</v>
      </c>
      <c r="B140" s="4"/>
      <c r="C140" s="4" t="s">
        <v>235</v>
      </c>
      <c r="D140" s="4" t="s">
        <v>378</v>
      </c>
      <c r="E140" s="4" t="s">
        <v>399</v>
      </c>
      <c r="F140" s="16">
        <v>27.53</v>
      </c>
      <c r="G140" s="16"/>
      <c r="H140" s="16">
        <f>F140*AE140</f>
        <v>0</v>
      </c>
      <c r="I140" s="16">
        <f>J140-H140</f>
        <v>0</v>
      </c>
      <c r="J140" s="16">
        <f>F140*G140</f>
        <v>0</v>
      </c>
      <c r="K140" s="16">
        <v>0</v>
      </c>
      <c r="L140" s="16">
        <f>F140*K140</f>
        <v>0</v>
      </c>
      <c r="M140" s="28" t="s">
        <v>420</v>
      </c>
      <c r="N140" s="28" t="s">
        <v>11</v>
      </c>
      <c r="O140" s="16">
        <f>IF(N140="5",I140,0)</f>
        <v>0</v>
      </c>
      <c r="Z140" s="16">
        <f>IF(AD140=0,J140,0)</f>
        <v>0</v>
      </c>
      <c r="AA140" s="16">
        <f>IF(AD140=15,J140,0)</f>
        <v>0</v>
      </c>
      <c r="AB140" s="16">
        <f>IF(AD140=21,J140,0)</f>
        <v>0</v>
      </c>
      <c r="AD140" s="33">
        <v>15</v>
      </c>
      <c r="AE140" s="33">
        <f>G140*0</f>
        <v>0</v>
      </c>
      <c r="AF140" s="33">
        <f>G140*(1-0)</f>
        <v>0</v>
      </c>
      <c r="AM140" s="33">
        <f>F140*AE140</f>
        <v>0</v>
      </c>
      <c r="AN140" s="33">
        <f>F140*AF140</f>
        <v>0</v>
      </c>
      <c r="AO140" s="34" t="s">
        <v>466</v>
      </c>
      <c r="AP140" s="34" t="s">
        <v>478</v>
      </c>
      <c r="AQ140" s="25" t="s">
        <v>480</v>
      </c>
    </row>
    <row r="141" spans="1:43" ht="12.75">
      <c r="A141" s="4" t="s">
        <v>103</v>
      </c>
      <c r="B141" s="4"/>
      <c r="C141" s="4" t="s">
        <v>236</v>
      </c>
      <c r="D141" s="4" t="s">
        <v>379</v>
      </c>
      <c r="E141" s="4" t="s">
        <v>399</v>
      </c>
      <c r="F141" s="16">
        <v>27.53</v>
      </c>
      <c r="G141" s="16"/>
      <c r="H141" s="16">
        <f>F141*AE141</f>
        <v>0</v>
      </c>
      <c r="I141" s="16">
        <f>J141-H141</f>
        <v>0</v>
      </c>
      <c r="J141" s="16">
        <f>F141*G141</f>
        <v>0</v>
      </c>
      <c r="K141" s="16">
        <v>0</v>
      </c>
      <c r="L141" s="16">
        <f>F141*K141</f>
        <v>0</v>
      </c>
      <c r="M141" s="28" t="s">
        <v>420</v>
      </c>
      <c r="N141" s="28" t="s">
        <v>11</v>
      </c>
      <c r="O141" s="16">
        <f>IF(N141="5",I141,0)</f>
        <v>0</v>
      </c>
      <c r="Z141" s="16">
        <f>IF(AD141=0,J141,0)</f>
        <v>0</v>
      </c>
      <c r="AA141" s="16">
        <f>IF(AD141=15,J141,0)</f>
        <v>0</v>
      </c>
      <c r="AB141" s="16">
        <f>IF(AD141=21,J141,0)</f>
        <v>0</v>
      </c>
      <c r="AD141" s="33">
        <v>15</v>
      </c>
      <c r="AE141" s="33">
        <f>G141*0</f>
        <v>0</v>
      </c>
      <c r="AF141" s="33">
        <f>G141*(1-0)</f>
        <v>0</v>
      </c>
      <c r="AM141" s="33">
        <f>F141*AE141</f>
        <v>0</v>
      </c>
      <c r="AN141" s="33">
        <f>F141*AF141</f>
        <v>0</v>
      </c>
      <c r="AO141" s="34" t="s">
        <v>466</v>
      </c>
      <c r="AP141" s="34" t="s">
        <v>478</v>
      </c>
      <c r="AQ141" s="25" t="s">
        <v>480</v>
      </c>
    </row>
    <row r="142" spans="1:37" ht="12.75">
      <c r="A142" s="5"/>
      <c r="B142" s="13"/>
      <c r="C142" s="13"/>
      <c r="D142" s="78" t="s">
        <v>380</v>
      </c>
      <c r="E142" s="79"/>
      <c r="F142" s="79"/>
      <c r="G142" s="79"/>
      <c r="H142" s="36">
        <f>SUM(H143:H154)</f>
        <v>0</v>
      </c>
      <c r="I142" s="36">
        <f>SUM(I143:I154)</f>
        <v>0</v>
      </c>
      <c r="J142" s="36">
        <f>H142+I142</f>
        <v>0</v>
      </c>
      <c r="K142" s="25"/>
      <c r="L142" s="36">
        <f>SUM(L143:L154)</f>
        <v>3.4185999999999996</v>
      </c>
      <c r="M142" s="25"/>
      <c r="P142" s="36">
        <f>IF(Q142="PR",J142,SUM(O143:O154))</f>
        <v>0</v>
      </c>
      <c r="Q142" s="25" t="s">
        <v>426</v>
      </c>
      <c r="R142" s="36">
        <f>IF(Q142="HS",H142,0)</f>
        <v>0</v>
      </c>
      <c r="S142" s="36">
        <f>IF(Q142="HS",I142-P142,0)</f>
        <v>0</v>
      </c>
      <c r="T142" s="36">
        <f>IF(Q142="PS",H142,0)</f>
        <v>0</v>
      </c>
      <c r="U142" s="36">
        <f>IF(Q142="PS",I142-P142,0)</f>
        <v>0</v>
      </c>
      <c r="V142" s="36">
        <f>IF(Q142="MP",H142,0)</f>
        <v>0</v>
      </c>
      <c r="W142" s="36">
        <f>IF(Q142="MP",I142-P142,0)</f>
        <v>0</v>
      </c>
      <c r="X142" s="36">
        <f>IF(Q142="OM",H142,0)</f>
        <v>0</v>
      </c>
      <c r="Y142" s="25"/>
      <c r="AI142" s="36">
        <f>SUM(Z143:Z154)</f>
        <v>0</v>
      </c>
      <c r="AJ142" s="36">
        <f>SUM(AA143:AA154)</f>
        <v>0</v>
      </c>
      <c r="AK142" s="36">
        <f>SUM(AB143:AB154)</f>
        <v>0</v>
      </c>
    </row>
    <row r="143" spans="1:43" ht="12.75">
      <c r="A143" s="6" t="s">
        <v>104</v>
      </c>
      <c r="B143" s="6"/>
      <c r="C143" s="6" t="s">
        <v>237</v>
      </c>
      <c r="D143" s="6" t="s">
        <v>381</v>
      </c>
      <c r="E143" s="6" t="s">
        <v>403</v>
      </c>
      <c r="F143" s="17">
        <v>9</v>
      </c>
      <c r="G143" s="17"/>
      <c r="H143" s="17">
        <f aca="true" t="shared" si="40" ref="H143:H154">F143*AE143</f>
        <v>0</v>
      </c>
      <c r="I143" s="17">
        <f aca="true" t="shared" si="41" ref="I143:I154">J143-H143</f>
        <v>0</v>
      </c>
      <c r="J143" s="17">
        <f aca="true" t="shared" si="42" ref="J143:J154">F143*G143</f>
        <v>0</v>
      </c>
      <c r="K143" s="17">
        <v>0.026</v>
      </c>
      <c r="L143" s="17">
        <f aca="true" t="shared" si="43" ref="L143:L154">F143*K143</f>
        <v>0.23399999999999999</v>
      </c>
      <c r="M143" s="29" t="s">
        <v>420</v>
      </c>
      <c r="N143" s="29" t="s">
        <v>119</v>
      </c>
      <c r="O143" s="17">
        <f aca="true" t="shared" si="44" ref="O143:O154">IF(N143="5",I143,0)</f>
        <v>0</v>
      </c>
      <c r="Z143" s="17">
        <f aca="true" t="shared" si="45" ref="Z143:Z154">IF(AD143=0,J143,0)</f>
        <v>0</v>
      </c>
      <c r="AA143" s="17">
        <f aca="true" t="shared" si="46" ref="AA143:AA154">IF(AD143=15,J143,0)</f>
        <v>0</v>
      </c>
      <c r="AB143" s="17">
        <f aca="true" t="shared" si="47" ref="AB143:AB154">IF(AD143=21,J143,0)</f>
        <v>0</v>
      </c>
      <c r="AD143" s="33">
        <v>15</v>
      </c>
      <c r="AE143" s="33">
        <f aca="true" t="shared" si="48" ref="AE143:AE154">G143*1</f>
        <v>0</v>
      </c>
      <c r="AF143" s="33">
        <f aca="true" t="shared" si="49" ref="AF143:AF154">G143*(1-1)</f>
        <v>0</v>
      </c>
      <c r="AM143" s="33">
        <f aca="true" t="shared" si="50" ref="AM143:AM154">F143*AE143</f>
        <v>0</v>
      </c>
      <c r="AN143" s="33">
        <f aca="true" t="shared" si="51" ref="AN143:AN154">F143*AF143</f>
        <v>0</v>
      </c>
      <c r="AO143" s="34" t="s">
        <v>467</v>
      </c>
      <c r="AP143" s="34" t="s">
        <v>479</v>
      </c>
      <c r="AQ143" s="25" t="s">
        <v>480</v>
      </c>
    </row>
    <row r="144" spans="1:43" ht="12.75">
      <c r="A144" s="6" t="s">
        <v>105</v>
      </c>
      <c r="B144" s="6"/>
      <c r="C144" s="6" t="s">
        <v>238</v>
      </c>
      <c r="D144" s="6" t="s">
        <v>382</v>
      </c>
      <c r="E144" s="6" t="s">
        <v>403</v>
      </c>
      <c r="F144" s="17">
        <v>3</v>
      </c>
      <c r="G144" s="17"/>
      <c r="H144" s="17">
        <f t="shared" si="40"/>
        <v>0</v>
      </c>
      <c r="I144" s="17">
        <f t="shared" si="41"/>
        <v>0</v>
      </c>
      <c r="J144" s="17">
        <f t="shared" si="42"/>
        <v>0</v>
      </c>
      <c r="K144" s="17">
        <v>0.025</v>
      </c>
      <c r="L144" s="17">
        <f t="shared" si="43"/>
        <v>0.07500000000000001</v>
      </c>
      <c r="M144" s="29" t="s">
        <v>420</v>
      </c>
      <c r="N144" s="29" t="s">
        <v>119</v>
      </c>
      <c r="O144" s="17">
        <f t="shared" si="44"/>
        <v>0</v>
      </c>
      <c r="Z144" s="17">
        <f t="shared" si="45"/>
        <v>0</v>
      </c>
      <c r="AA144" s="17">
        <f t="shared" si="46"/>
        <v>0</v>
      </c>
      <c r="AB144" s="17">
        <f t="shared" si="47"/>
        <v>0</v>
      </c>
      <c r="AD144" s="33">
        <v>15</v>
      </c>
      <c r="AE144" s="33">
        <f t="shared" si="48"/>
        <v>0</v>
      </c>
      <c r="AF144" s="33">
        <f t="shared" si="49"/>
        <v>0</v>
      </c>
      <c r="AM144" s="33">
        <f t="shared" si="50"/>
        <v>0</v>
      </c>
      <c r="AN144" s="33">
        <f t="shared" si="51"/>
        <v>0</v>
      </c>
      <c r="AO144" s="34" t="s">
        <v>467</v>
      </c>
      <c r="AP144" s="34" t="s">
        <v>479</v>
      </c>
      <c r="AQ144" s="25" t="s">
        <v>480</v>
      </c>
    </row>
    <row r="145" spans="1:43" ht="12.75">
      <c r="A145" s="6" t="s">
        <v>106</v>
      </c>
      <c r="B145" s="6"/>
      <c r="C145" s="6" t="s">
        <v>239</v>
      </c>
      <c r="D145" s="6" t="s">
        <v>383</v>
      </c>
      <c r="E145" s="6" t="s">
        <v>403</v>
      </c>
      <c r="F145" s="17">
        <v>2</v>
      </c>
      <c r="G145" s="17"/>
      <c r="H145" s="17">
        <f t="shared" si="40"/>
        <v>0</v>
      </c>
      <c r="I145" s="17">
        <f t="shared" si="41"/>
        <v>0</v>
      </c>
      <c r="J145" s="17">
        <f t="shared" si="42"/>
        <v>0</v>
      </c>
      <c r="K145" s="17">
        <v>0.008</v>
      </c>
      <c r="L145" s="17">
        <f t="shared" si="43"/>
        <v>0.016</v>
      </c>
      <c r="M145" s="29" t="s">
        <v>420</v>
      </c>
      <c r="N145" s="29" t="s">
        <v>119</v>
      </c>
      <c r="O145" s="17">
        <f t="shared" si="44"/>
        <v>0</v>
      </c>
      <c r="Z145" s="17">
        <f t="shared" si="45"/>
        <v>0</v>
      </c>
      <c r="AA145" s="17">
        <f t="shared" si="46"/>
        <v>0</v>
      </c>
      <c r="AB145" s="17">
        <f t="shared" si="47"/>
        <v>0</v>
      </c>
      <c r="AD145" s="33">
        <v>15</v>
      </c>
      <c r="AE145" s="33">
        <f t="shared" si="48"/>
        <v>0</v>
      </c>
      <c r="AF145" s="33">
        <f t="shared" si="49"/>
        <v>0</v>
      </c>
      <c r="AM145" s="33">
        <f t="shared" si="50"/>
        <v>0</v>
      </c>
      <c r="AN145" s="33">
        <f t="shared" si="51"/>
        <v>0</v>
      </c>
      <c r="AO145" s="34" t="s">
        <v>467</v>
      </c>
      <c r="AP145" s="34" t="s">
        <v>479</v>
      </c>
      <c r="AQ145" s="25" t="s">
        <v>480</v>
      </c>
    </row>
    <row r="146" spans="1:43" ht="12.75">
      <c r="A146" s="6" t="s">
        <v>107</v>
      </c>
      <c r="B146" s="6"/>
      <c r="C146" s="6" t="s">
        <v>240</v>
      </c>
      <c r="D146" s="6" t="s">
        <v>384</v>
      </c>
      <c r="E146" s="6" t="s">
        <v>403</v>
      </c>
      <c r="F146" s="17">
        <v>3</v>
      </c>
      <c r="G146" s="17"/>
      <c r="H146" s="17">
        <f t="shared" si="40"/>
        <v>0</v>
      </c>
      <c r="I146" s="17">
        <f t="shared" si="41"/>
        <v>0</v>
      </c>
      <c r="J146" s="17">
        <f t="shared" si="42"/>
        <v>0</v>
      </c>
      <c r="K146" s="17">
        <v>0.017</v>
      </c>
      <c r="L146" s="17">
        <f t="shared" si="43"/>
        <v>0.051000000000000004</v>
      </c>
      <c r="M146" s="29" t="s">
        <v>420</v>
      </c>
      <c r="N146" s="29" t="s">
        <v>119</v>
      </c>
      <c r="O146" s="17">
        <f t="shared" si="44"/>
        <v>0</v>
      </c>
      <c r="Z146" s="17">
        <f t="shared" si="45"/>
        <v>0</v>
      </c>
      <c r="AA146" s="17">
        <f t="shared" si="46"/>
        <v>0</v>
      </c>
      <c r="AB146" s="17">
        <f t="shared" si="47"/>
        <v>0</v>
      </c>
      <c r="AD146" s="33">
        <v>15</v>
      </c>
      <c r="AE146" s="33">
        <f t="shared" si="48"/>
        <v>0</v>
      </c>
      <c r="AF146" s="33">
        <f t="shared" si="49"/>
        <v>0</v>
      </c>
      <c r="AM146" s="33">
        <f t="shared" si="50"/>
        <v>0</v>
      </c>
      <c r="AN146" s="33">
        <f t="shared" si="51"/>
        <v>0</v>
      </c>
      <c r="AO146" s="34" t="s">
        <v>467</v>
      </c>
      <c r="AP146" s="34" t="s">
        <v>479</v>
      </c>
      <c r="AQ146" s="25" t="s">
        <v>480</v>
      </c>
    </row>
    <row r="147" spans="1:43" ht="12.75">
      <c r="A147" s="6" t="s">
        <v>108</v>
      </c>
      <c r="B147" s="6"/>
      <c r="C147" s="6" t="s">
        <v>241</v>
      </c>
      <c r="D147" s="6" t="s">
        <v>385</v>
      </c>
      <c r="E147" s="6" t="s">
        <v>403</v>
      </c>
      <c r="F147" s="17">
        <v>11</v>
      </c>
      <c r="G147" s="17"/>
      <c r="H147" s="17">
        <f t="shared" si="40"/>
        <v>0</v>
      </c>
      <c r="I147" s="17">
        <f t="shared" si="41"/>
        <v>0</v>
      </c>
      <c r="J147" s="17">
        <f t="shared" si="42"/>
        <v>0</v>
      </c>
      <c r="K147" s="17">
        <v>0.019</v>
      </c>
      <c r="L147" s="17">
        <f t="shared" si="43"/>
        <v>0.209</v>
      </c>
      <c r="M147" s="29" t="s">
        <v>420</v>
      </c>
      <c r="N147" s="29" t="s">
        <v>119</v>
      </c>
      <c r="O147" s="17">
        <f t="shared" si="44"/>
        <v>0</v>
      </c>
      <c r="Z147" s="17">
        <f t="shared" si="45"/>
        <v>0</v>
      </c>
      <c r="AA147" s="17">
        <f t="shared" si="46"/>
        <v>0</v>
      </c>
      <c r="AB147" s="17">
        <f t="shared" si="47"/>
        <v>0</v>
      </c>
      <c r="AD147" s="33">
        <v>15</v>
      </c>
      <c r="AE147" s="33">
        <f t="shared" si="48"/>
        <v>0</v>
      </c>
      <c r="AF147" s="33">
        <f t="shared" si="49"/>
        <v>0</v>
      </c>
      <c r="AM147" s="33">
        <f t="shared" si="50"/>
        <v>0</v>
      </c>
      <c r="AN147" s="33">
        <f t="shared" si="51"/>
        <v>0</v>
      </c>
      <c r="AO147" s="34" t="s">
        <v>467</v>
      </c>
      <c r="AP147" s="34" t="s">
        <v>479</v>
      </c>
      <c r="AQ147" s="25" t="s">
        <v>480</v>
      </c>
    </row>
    <row r="148" spans="1:43" ht="12.75">
      <c r="A148" s="6" t="s">
        <v>109</v>
      </c>
      <c r="B148" s="6"/>
      <c r="C148" s="6" t="s">
        <v>242</v>
      </c>
      <c r="D148" s="6" t="s">
        <v>386</v>
      </c>
      <c r="E148" s="6" t="s">
        <v>403</v>
      </c>
      <c r="F148" s="17">
        <v>4</v>
      </c>
      <c r="G148" s="17"/>
      <c r="H148" s="17">
        <f t="shared" si="40"/>
        <v>0</v>
      </c>
      <c r="I148" s="17">
        <f t="shared" si="41"/>
        <v>0</v>
      </c>
      <c r="J148" s="17">
        <f t="shared" si="42"/>
        <v>0</v>
      </c>
      <c r="K148" s="17">
        <v>0.021</v>
      </c>
      <c r="L148" s="17">
        <f t="shared" si="43"/>
        <v>0.084</v>
      </c>
      <c r="M148" s="29" t="s">
        <v>420</v>
      </c>
      <c r="N148" s="29" t="s">
        <v>119</v>
      </c>
      <c r="O148" s="17">
        <f t="shared" si="44"/>
        <v>0</v>
      </c>
      <c r="Z148" s="17">
        <f t="shared" si="45"/>
        <v>0</v>
      </c>
      <c r="AA148" s="17">
        <f t="shared" si="46"/>
        <v>0</v>
      </c>
      <c r="AB148" s="17">
        <f t="shared" si="47"/>
        <v>0</v>
      </c>
      <c r="AD148" s="33">
        <v>15</v>
      </c>
      <c r="AE148" s="33">
        <f t="shared" si="48"/>
        <v>0</v>
      </c>
      <c r="AF148" s="33">
        <f t="shared" si="49"/>
        <v>0</v>
      </c>
      <c r="AM148" s="33">
        <f t="shared" si="50"/>
        <v>0</v>
      </c>
      <c r="AN148" s="33">
        <f t="shared" si="51"/>
        <v>0</v>
      </c>
      <c r="AO148" s="34" t="s">
        <v>467</v>
      </c>
      <c r="AP148" s="34" t="s">
        <v>479</v>
      </c>
      <c r="AQ148" s="25" t="s">
        <v>480</v>
      </c>
    </row>
    <row r="149" spans="1:43" ht="12.75">
      <c r="A149" s="6" t="s">
        <v>110</v>
      </c>
      <c r="B149" s="6"/>
      <c r="C149" s="6" t="s">
        <v>243</v>
      </c>
      <c r="D149" s="6" t="s">
        <v>387</v>
      </c>
      <c r="E149" s="6" t="s">
        <v>403</v>
      </c>
      <c r="F149" s="17">
        <v>1</v>
      </c>
      <c r="G149" s="17"/>
      <c r="H149" s="17">
        <f t="shared" si="40"/>
        <v>0</v>
      </c>
      <c r="I149" s="17">
        <f t="shared" si="41"/>
        <v>0</v>
      </c>
      <c r="J149" s="17">
        <f t="shared" si="42"/>
        <v>0</v>
      </c>
      <c r="K149" s="17">
        <v>0.039</v>
      </c>
      <c r="L149" s="17">
        <f t="shared" si="43"/>
        <v>0.039</v>
      </c>
      <c r="M149" s="29" t="s">
        <v>420</v>
      </c>
      <c r="N149" s="29" t="s">
        <v>119</v>
      </c>
      <c r="O149" s="17">
        <f t="shared" si="44"/>
        <v>0</v>
      </c>
      <c r="Z149" s="17">
        <f t="shared" si="45"/>
        <v>0</v>
      </c>
      <c r="AA149" s="17">
        <f t="shared" si="46"/>
        <v>0</v>
      </c>
      <c r="AB149" s="17">
        <f t="shared" si="47"/>
        <v>0</v>
      </c>
      <c r="AD149" s="33">
        <v>15</v>
      </c>
      <c r="AE149" s="33">
        <f t="shared" si="48"/>
        <v>0</v>
      </c>
      <c r="AF149" s="33">
        <f t="shared" si="49"/>
        <v>0</v>
      </c>
      <c r="AM149" s="33">
        <f t="shared" si="50"/>
        <v>0</v>
      </c>
      <c r="AN149" s="33">
        <f t="shared" si="51"/>
        <v>0</v>
      </c>
      <c r="AO149" s="34" t="s">
        <v>467</v>
      </c>
      <c r="AP149" s="34" t="s">
        <v>479</v>
      </c>
      <c r="AQ149" s="25" t="s">
        <v>480</v>
      </c>
    </row>
    <row r="150" spans="1:43" ht="12.75">
      <c r="A150" s="6" t="s">
        <v>111</v>
      </c>
      <c r="B150" s="6"/>
      <c r="C150" s="6" t="s">
        <v>244</v>
      </c>
      <c r="D150" s="6" t="s">
        <v>388</v>
      </c>
      <c r="E150" s="6" t="s">
        <v>403</v>
      </c>
      <c r="F150" s="17">
        <v>1</v>
      </c>
      <c r="G150" s="17"/>
      <c r="H150" s="17">
        <f t="shared" si="40"/>
        <v>0</v>
      </c>
      <c r="I150" s="17">
        <f t="shared" si="41"/>
        <v>0</v>
      </c>
      <c r="J150" s="17">
        <f t="shared" si="42"/>
        <v>0</v>
      </c>
      <c r="K150" s="17">
        <v>0.053</v>
      </c>
      <c r="L150" s="17">
        <f t="shared" si="43"/>
        <v>0.053</v>
      </c>
      <c r="M150" s="29" t="s">
        <v>420</v>
      </c>
      <c r="N150" s="29" t="s">
        <v>119</v>
      </c>
      <c r="O150" s="17">
        <f t="shared" si="44"/>
        <v>0</v>
      </c>
      <c r="Z150" s="17">
        <f t="shared" si="45"/>
        <v>0</v>
      </c>
      <c r="AA150" s="17">
        <f t="shared" si="46"/>
        <v>0</v>
      </c>
      <c r="AB150" s="17">
        <f t="shared" si="47"/>
        <v>0</v>
      </c>
      <c r="AD150" s="33">
        <v>15</v>
      </c>
      <c r="AE150" s="33">
        <f t="shared" si="48"/>
        <v>0</v>
      </c>
      <c r="AF150" s="33">
        <f t="shared" si="49"/>
        <v>0</v>
      </c>
      <c r="AM150" s="33">
        <f t="shared" si="50"/>
        <v>0</v>
      </c>
      <c r="AN150" s="33">
        <f t="shared" si="51"/>
        <v>0</v>
      </c>
      <c r="AO150" s="34" t="s">
        <v>467</v>
      </c>
      <c r="AP150" s="34" t="s">
        <v>479</v>
      </c>
      <c r="AQ150" s="25" t="s">
        <v>480</v>
      </c>
    </row>
    <row r="151" spans="1:43" ht="12.75">
      <c r="A151" s="6" t="s">
        <v>112</v>
      </c>
      <c r="B151" s="6"/>
      <c r="C151" s="6" t="s">
        <v>245</v>
      </c>
      <c r="D151" s="6" t="s">
        <v>389</v>
      </c>
      <c r="E151" s="6" t="s">
        <v>403</v>
      </c>
      <c r="F151" s="17">
        <v>1</v>
      </c>
      <c r="G151" s="17"/>
      <c r="H151" s="17">
        <f t="shared" si="40"/>
        <v>0</v>
      </c>
      <c r="I151" s="17">
        <f t="shared" si="41"/>
        <v>0</v>
      </c>
      <c r="J151" s="17">
        <f t="shared" si="42"/>
        <v>0</v>
      </c>
      <c r="K151" s="17">
        <v>0.029</v>
      </c>
      <c r="L151" s="17">
        <f t="shared" si="43"/>
        <v>0.029</v>
      </c>
      <c r="M151" s="29" t="s">
        <v>420</v>
      </c>
      <c r="N151" s="29" t="s">
        <v>119</v>
      </c>
      <c r="O151" s="17">
        <f t="shared" si="44"/>
        <v>0</v>
      </c>
      <c r="Z151" s="17">
        <f t="shared" si="45"/>
        <v>0</v>
      </c>
      <c r="AA151" s="17">
        <f t="shared" si="46"/>
        <v>0</v>
      </c>
      <c r="AB151" s="17">
        <f t="shared" si="47"/>
        <v>0</v>
      </c>
      <c r="AD151" s="33">
        <v>15</v>
      </c>
      <c r="AE151" s="33">
        <f t="shared" si="48"/>
        <v>0</v>
      </c>
      <c r="AF151" s="33">
        <f t="shared" si="49"/>
        <v>0</v>
      </c>
      <c r="AM151" s="33">
        <f t="shared" si="50"/>
        <v>0</v>
      </c>
      <c r="AN151" s="33">
        <f t="shared" si="51"/>
        <v>0</v>
      </c>
      <c r="AO151" s="34" t="s">
        <v>467</v>
      </c>
      <c r="AP151" s="34" t="s">
        <v>479</v>
      </c>
      <c r="AQ151" s="25" t="s">
        <v>480</v>
      </c>
    </row>
    <row r="152" spans="1:43" ht="12.75">
      <c r="A152" s="6" t="s">
        <v>113</v>
      </c>
      <c r="B152" s="6"/>
      <c r="C152" s="6" t="s">
        <v>246</v>
      </c>
      <c r="D152" s="6" t="s">
        <v>390</v>
      </c>
      <c r="E152" s="6" t="s">
        <v>400</v>
      </c>
      <c r="F152" s="17">
        <v>42</v>
      </c>
      <c r="G152" s="17"/>
      <c r="H152" s="17">
        <f t="shared" si="40"/>
        <v>0</v>
      </c>
      <c r="I152" s="17">
        <f t="shared" si="41"/>
        <v>0</v>
      </c>
      <c r="J152" s="17">
        <f t="shared" si="42"/>
        <v>0</v>
      </c>
      <c r="K152" s="17">
        <v>0.0192</v>
      </c>
      <c r="L152" s="17">
        <f t="shared" si="43"/>
        <v>0.8063999999999999</v>
      </c>
      <c r="M152" s="29" t="s">
        <v>420</v>
      </c>
      <c r="N152" s="29" t="s">
        <v>119</v>
      </c>
      <c r="O152" s="17">
        <f t="shared" si="44"/>
        <v>0</v>
      </c>
      <c r="Z152" s="17">
        <f t="shared" si="45"/>
        <v>0</v>
      </c>
      <c r="AA152" s="17">
        <f t="shared" si="46"/>
        <v>0</v>
      </c>
      <c r="AB152" s="17">
        <f t="shared" si="47"/>
        <v>0</v>
      </c>
      <c r="AD152" s="33">
        <v>15</v>
      </c>
      <c r="AE152" s="33">
        <f t="shared" si="48"/>
        <v>0</v>
      </c>
      <c r="AF152" s="33">
        <f t="shared" si="49"/>
        <v>0</v>
      </c>
      <c r="AM152" s="33">
        <f t="shared" si="50"/>
        <v>0</v>
      </c>
      <c r="AN152" s="33">
        <f t="shared" si="51"/>
        <v>0</v>
      </c>
      <c r="AO152" s="34" t="s">
        <v>467</v>
      </c>
      <c r="AP152" s="34" t="s">
        <v>479</v>
      </c>
      <c r="AQ152" s="25" t="s">
        <v>480</v>
      </c>
    </row>
    <row r="153" spans="1:43" ht="12.75">
      <c r="A153" s="6" t="s">
        <v>114</v>
      </c>
      <c r="B153" s="6"/>
      <c r="C153" s="6" t="s">
        <v>247</v>
      </c>
      <c r="D153" s="6" t="s">
        <v>391</v>
      </c>
      <c r="E153" s="6" t="s">
        <v>400</v>
      </c>
      <c r="F153" s="17">
        <v>99</v>
      </c>
      <c r="G153" s="17"/>
      <c r="H153" s="17">
        <f t="shared" si="40"/>
        <v>0</v>
      </c>
      <c r="I153" s="17">
        <f t="shared" si="41"/>
        <v>0</v>
      </c>
      <c r="J153" s="17">
        <f t="shared" si="42"/>
        <v>0</v>
      </c>
      <c r="K153" s="17">
        <v>0.0122</v>
      </c>
      <c r="L153" s="17">
        <f t="shared" si="43"/>
        <v>1.2078</v>
      </c>
      <c r="M153" s="29" t="s">
        <v>420</v>
      </c>
      <c r="N153" s="29" t="s">
        <v>119</v>
      </c>
      <c r="O153" s="17">
        <f t="shared" si="44"/>
        <v>0</v>
      </c>
      <c r="Z153" s="17">
        <f t="shared" si="45"/>
        <v>0</v>
      </c>
      <c r="AA153" s="17">
        <f t="shared" si="46"/>
        <v>0</v>
      </c>
      <c r="AB153" s="17">
        <f t="shared" si="47"/>
        <v>0</v>
      </c>
      <c r="AD153" s="33">
        <v>15</v>
      </c>
      <c r="AE153" s="33">
        <f t="shared" si="48"/>
        <v>0</v>
      </c>
      <c r="AF153" s="33">
        <f t="shared" si="49"/>
        <v>0</v>
      </c>
      <c r="AM153" s="33">
        <f t="shared" si="50"/>
        <v>0</v>
      </c>
      <c r="AN153" s="33">
        <f t="shared" si="51"/>
        <v>0</v>
      </c>
      <c r="AO153" s="34" t="s">
        <v>467</v>
      </c>
      <c r="AP153" s="34" t="s">
        <v>479</v>
      </c>
      <c r="AQ153" s="25" t="s">
        <v>480</v>
      </c>
    </row>
    <row r="154" spans="1:43" ht="12.75">
      <c r="A154" s="7" t="s">
        <v>115</v>
      </c>
      <c r="B154" s="7"/>
      <c r="C154" s="7" t="s">
        <v>248</v>
      </c>
      <c r="D154" s="7" t="s">
        <v>392</v>
      </c>
      <c r="E154" s="7" t="s">
        <v>400</v>
      </c>
      <c r="F154" s="18">
        <v>32</v>
      </c>
      <c r="G154" s="17"/>
      <c r="H154" s="18">
        <f t="shared" si="40"/>
        <v>0</v>
      </c>
      <c r="I154" s="18">
        <f t="shared" si="41"/>
        <v>0</v>
      </c>
      <c r="J154" s="18">
        <f t="shared" si="42"/>
        <v>0</v>
      </c>
      <c r="K154" s="18">
        <v>0.0192</v>
      </c>
      <c r="L154" s="18">
        <f t="shared" si="43"/>
        <v>0.6144</v>
      </c>
      <c r="M154" s="30" t="s">
        <v>420</v>
      </c>
      <c r="N154" s="29" t="s">
        <v>119</v>
      </c>
      <c r="O154" s="17">
        <f t="shared" si="44"/>
        <v>0</v>
      </c>
      <c r="Z154" s="17">
        <f t="shared" si="45"/>
        <v>0</v>
      </c>
      <c r="AA154" s="17">
        <f t="shared" si="46"/>
        <v>0</v>
      </c>
      <c r="AB154" s="17">
        <f t="shared" si="47"/>
        <v>0</v>
      </c>
      <c r="AD154" s="33">
        <v>15</v>
      </c>
      <c r="AE154" s="33">
        <f t="shared" si="48"/>
        <v>0</v>
      </c>
      <c r="AF154" s="33">
        <f t="shared" si="49"/>
        <v>0</v>
      </c>
      <c r="AM154" s="33">
        <f t="shared" si="50"/>
        <v>0</v>
      </c>
      <c r="AN154" s="33">
        <f t="shared" si="51"/>
        <v>0</v>
      </c>
      <c r="AO154" s="34" t="s">
        <v>467</v>
      </c>
      <c r="AP154" s="34" t="s">
        <v>479</v>
      </c>
      <c r="AQ154" s="25" t="s">
        <v>480</v>
      </c>
    </row>
    <row r="155" spans="1:28" ht="12.75">
      <c r="A155" s="8"/>
      <c r="B155" s="8"/>
      <c r="C155" s="8"/>
      <c r="D155" s="8"/>
      <c r="E155" s="8"/>
      <c r="F155" s="8"/>
      <c r="G155" s="8"/>
      <c r="H155" s="74" t="s">
        <v>410</v>
      </c>
      <c r="I155" s="75"/>
      <c r="J155" s="37">
        <f>J12+J14+J16+J19+J21+J23+J28+J33+J35+J38+J40+J43+J46+J50+J65+J67+J70+J73+J77+J81+J83+J91+J96+J102+J106+J108+J111+J114+J117+J126+J133+J135+J137+J142</f>
        <v>0</v>
      </c>
      <c r="K155" s="8"/>
      <c r="L155" s="8"/>
      <c r="M155" s="8"/>
      <c r="Z155" s="38">
        <f>SUM(Z13:Z154)</f>
        <v>0</v>
      </c>
      <c r="AA155" s="38">
        <f>SUM(AA13:AA154)</f>
        <v>0</v>
      </c>
      <c r="AB155" s="38">
        <f>SUM(AB13:AB154)</f>
        <v>0</v>
      </c>
    </row>
    <row r="156" ht="11.25" customHeight="1">
      <c r="A156" s="9" t="s">
        <v>116</v>
      </c>
    </row>
    <row r="157" spans="1:13" ht="409.5" customHeight="1" hidden="1">
      <c r="A157" s="7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</row>
  </sheetData>
  <sheetProtection/>
  <mergeCells count="63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16:G16"/>
    <mergeCell ref="D19:G19"/>
    <mergeCell ref="D21:G21"/>
    <mergeCell ref="D23:G23"/>
    <mergeCell ref="D28:G28"/>
    <mergeCell ref="D33:G33"/>
    <mergeCell ref="D35:G35"/>
    <mergeCell ref="D38:G38"/>
    <mergeCell ref="D40:G40"/>
    <mergeCell ref="D43:G43"/>
    <mergeCell ref="D46:G46"/>
    <mergeCell ref="D50:G50"/>
    <mergeCell ref="D65:G65"/>
    <mergeCell ref="D67:G67"/>
    <mergeCell ref="D70:G70"/>
    <mergeCell ref="D73:G73"/>
    <mergeCell ref="D77:G77"/>
    <mergeCell ref="D81:G81"/>
    <mergeCell ref="D83:G83"/>
    <mergeCell ref="D91:G91"/>
    <mergeCell ref="D96:G96"/>
    <mergeCell ref="D102:G102"/>
    <mergeCell ref="D106:G106"/>
    <mergeCell ref="D108:G108"/>
    <mergeCell ref="D111:G111"/>
    <mergeCell ref="D114:G114"/>
    <mergeCell ref="H155:I155"/>
    <mergeCell ref="A157:M157"/>
    <mergeCell ref="D117:G117"/>
    <mergeCell ref="D126:G126"/>
    <mergeCell ref="D133:G133"/>
    <mergeCell ref="D135:G135"/>
    <mergeCell ref="D137:G137"/>
    <mergeCell ref="D142:G142"/>
  </mergeCells>
  <printOptions/>
  <pageMargins left="0.394" right="0.394" top="0.591" bottom="0.591" header="0.5" footer="0.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3.140625" style="0" customWidth="1"/>
    <col min="5" max="5" width="14.57421875" style="0" customWidth="1"/>
    <col min="6" max="6" width="11.8515625" style="0" customWidth="1"/>
    <col min="7" max="7" width="20.421875" style="0" customWidth="1"/>
    <col min="8" max="8" width="16.421875" style="0" customWidth="1"/>
  </cols>
  <sheetData>
    <row r="1" spans="1:8" ht="72.75" customHeight="1">
      <c r="A1" s="93" t="s">
        <v>481</v>
      </c>
      <c r="B1" s="94"/>
      <c r="C1" s="94"/>
      <c r="D1" s="94"/>
      <c r="E1" s="94"/>
      <c r="F1" s="94"/>
      <c r="G1" s="94"/>
      <c r="H1" s="94"/>
    </row>
    <row r="2" spans="1:9" ht="12.75">
      <c r="A2" s="95" t="s">
        <v>1</v>
      </c>
      <c r="B2" s="96"/>
      <c r="C2" s="97" t="s">
        <v>542</v>
      </c>
      <c r="D2" s="97" t="s">
        <v>549</v>
      </c>
      <c r="E2" s="100" t="s">
        <v>411</v>
      </c>
      <c r="F2" s="100" t="s">
        <v>541</v>
      </c>
      <c r="G2" s="96"/>
      <c r="H2" s="101"/>
      <c r="I2" s="31"/>
    </row>
    <row r="3" spans="1:9" ht="12.75">
      <c r="A3" s="92"/>
      <c r="B3" s="77"/>
      <c r="C3" s="98"/>
      <c r="D3" s="98"/>
      <c r="E3" s="77"/>
      <c r="F3" s="77"/>
      <c r="G3" s="77"/>
      <c r="H3" s="90"/>
      <c r="I3" s="31"/>
    </row>
    <row r="4" spans="1:9" ht="12.75">
      <c r="A4" s="85" t="s">
        <v>2</v>
      </c>
      <c r="B4" s="77"/>
      <c r="C4" s="76" t="s">
        <v>543</v>
      </c>
      <c r="D4" s="77"/>
      <c r="E4" s="76" t="s">
        <v>412</v>
      </c>
      <c r="F4" s="76" t="s">
        <v>540</v>
      </c>
      <c r="G4" s="77"/>
      <c r="H4" s="90"/>
      <c r="I4" s="31"/>
    </row>
    <row r="5" spans="1:9" ht="12.75">
      <c r="A5" s="92"/>
      <c r="B5" s="77"/>
      <c r="C5" s="77"/>
      <c r="D5" s="77"/>
      <c r="E5" s="77"/>
      <c r="F5" s="77"/>
      <c r="G5" s="77"/>
      <c r="H5" s="90"/>
      <c r="I5" s="31"/>
    </row>
    <row r="6" spans="1:9" ht="12.75">
      <c r="A6" s="85" t="s">
        <v>3</v>
      </c>
      <c r="B6" s="77"/>
      <c r="C6" s="76" t="s">
        <v>544</v>
      </c>
      <c r="D6" s="77"/>
      <c r="E6" s="76" t="s">
        <v>413</v>
      </c>
      <c r="F6" s="76"/>
      <c r="G6" s="77"/>
      <c r="H6" s="90"/>
      <c r="I6" s="31"/>
    </row>
    <row r="7" spans="1:9" ht="12.75">
      <c r="A7" s="92"/>
      <c r="B7" s="77"/>
      <c r="C7" s="77"/>
      <c r="D7" s="77"/>
      <c r="E7" s="77"/>
      <c r="F7" s="77"/>
      <c r="G7" s="77"/>
      <c r="H7" s="90"/>
      <c r="I7" s="31"/>
    </row>
    <row r="8" spans="1:9" ht="12.75">
      <c r="A8" s="85" t="s">
        <v>414</v>
      </c>
      <c r="B8" s="77"/>
      <c r="C8" s="76" t="s">
        <v>548</v>
      </c>
      <c r="D8" s="77"/>
      <c r="E8" s="88" t="s">
        <v>396</v>
      </c>
      <c r="F8" s="89">
        <v>43118</v>
      </c>
      <c r="G8" s="77"/>
      <c r="H8" s="90"/>
      <c r="I8" s="31"/>
    </row>
    <row r="9" spans="1:9" ht="12.75">
      <c r="A9" s="86"/>
      <c r="B9" s="87"/>
      <c r="C9" s="87"/>
      <c r="D9" s="87"/>
      <c r="E9" s="87"/>
      <c r="F9" s="87"/>
      <c r="G9" s="87"/>
      <c r="H9" s="91"/>
      <c r="I9" s="31"/>
    </row>
    <row r="10" spans="1:9" ht="12.75">
      <c r="A10" s="40" t="s">
        <v>5</v>
      </c>
      <c r="B10" s="42" t="s">
        <v>117</v>
      </c>
      <c r="C10" s="42" t="s">
        <v>118</v>
      </c>
      <c r="D10" s="42" t="s">
        <v>249</v>
      </c>
      <c r="E10" s="42" t="s">
        <v>397</v>
      </c>
      <c r="F10" s="42" t="s">
        <v>250</v>
      </c>
      <c r="G10" s="44" t="s">
        <v>405</v>
      </c>
      <c r="H10" s="41" t="s">
        <v>482</v>
      </c>
      <c r="I10" s="32"/>
    </row>
    <row r="11" spans="1:8" ht="12.75">
      <c r="A11" s="43" t="s">
        <v>7</v>
      </c>
      <c r="B11" s="43"/>
      <c r="C11" s="43" t="s">
        <v>120</v>
      </c>
      <c r="D11" s="43" t="s">
        <v>252</v>
      </c>
      <c r="E11" s="43" t="s">
        <v>398</v>
      </c>
      <c r="F11" s="43"/>
      <c r="G11" s="45">
        <v>1</v>
      </c>
      <c r="H11" s="46" t="s">
        <v>420</v>
      </c>
    </row>
    <row r="12" spans="1:8" ht="12.75">
      <c r="A12" s="4" t="s">
        <v>8</v>
      </c>
      <c r="B12" s="4"/>
      <c r="C12" s="4" t="s">
        <v>121</v>
      </c>
      <c r="D12" s="4" t="s">
        <v>254</v>
      </c>
      <c r="E12" s="4" t="s">
        <v>399</v>
      </c>
      <c r="F12" s="4"/>
      <c r="G12" s="16">
        <v>0.35</v>
      </c>
      <c r="H12" s="28" t="s">
        <v>420</v>
      </c>
    </row>
    <row r="13" spans="1:8" ht="12.75">
      <c r="A13" s="4" t="s">
        <v>9</v>
      </c>
      <c r="B13" s="4"/>
      <c r="C13" s="4" t="s">
        <v>122</v>
      </c>
      <c r="D13" s="4" t="s">
        <v>256</v>
      </c>
      <c r="E13" s="4" t="s">
        <v>400</v>
      </c>
      <c r="F13" s="4"/>
      <c r="G13" s="16">
        <v>34.2</v>
      </c>
      <c r="H13" s="28" t="s">
        <v>420</v>
      </c>
    </row>
    <row r="14" spans="1:8" ht="12.75">
      <c r="A14" s="4" t="s">
        <v>10</v>
      </c>
      <c r="B14" s="4"/>
      <c r="C14" s="4" t="s">
        <v>123</v>
      </c>
      <c r="D14" s="4" t="s">
        <v>257</v>
      </c>
      <c r="E14" s="4" t="s">
        <v>400</v>
      </c>
      <c r="F14" s="4"/>
      <c r="G14" s="16">
        <v>23.5</v>
      </c>
      <c r="H14" s="28" t="s">
        <v>420</v>
      </c>
    </row>
    <row r="15" spans="1:8" ht="12.75">
      <c r="A15" s="4" t="s">
        <v>11</v>
      </c>
      <c r="B15" s="4"/>
      <c r="C15" s="4" t="s">
        <v>124</v>
      </c>
      <c r="D15" s="4" t="s">
        <v>259</v>
      </c>
      <c r="E15" s="4" t="s">
        <v>400</v>
      </c>
      <c r="F15" s="4"/>
      <c r="G15" s="16">
        <v>90</v>
      </c>
      <c r="H15" s="28" t="s">
        <v>420</v>
      </c>
    </row>
    <row r="16" spans="1:8" ht="12.75">
      <c r="A16" s="4" t="s">
        <v>12</v>
      </c>
      <c r="B16" s="4"/>
      <c r="C16" s="4" t="s">
        <v>125</v>
      </c>
      <c r="D16" s="4" t="s">
        <v>261</v>
      </c>
      <c r="E16" s="4" t="s">
        <v>400</v>
      </c>
      <c r="F16" s="4"/>
      <c r="G16" s="16">
        <v>45</v>
      </c>
      <c r="H16" s="28" t="s">
        <v>420</v>
      </c>
    </row>
    <row r="17" spans="1:8" ht="12.75">
      <c r="A17" s="4" t="s">
        <v>13</v>
      </c>
      <c r="B17" s="4"/>
      <c r="C17" s="4" t="s">
        <v>126</v>
      </c>
      <c r="D17" s="4" t="s">
        <v>263</v>
      </c>
      <c r="E17" s="4" t="s">
        <v>400</v>
      </c>
      <c r="F17" s="4"/>
      <c r="G17" s="16">
        <v>115.4</v>
      </c>
      <c r="H17" s="28" t="s">
        <v>420</v>
      </c>
    </row>
    <row r="18" spans="1:8" ht="12.75">
      <c r="A18" s="4" t="s">
        <v>14</v>
      </c>
      <c r="B18" s="4"/>
      <c r="C18" s="4" t="s">
        <v>127</v>
      </c>
      <c r="D18" s="4" t="s">
        <v>264</v>
      </c>
      <c r="E18" s="4" t="s">
        <v>401</v>
      </c>
      <c r="F18" s="4"/>
      <c r="G18" s="16">
        <v>81</v>
      </c>
      <c r="H18" s="28" t="s">
        <v>420</v>
      </c>
    </row>
    <row r="19" spans="1:8" ht="12.75">
      <c r="A19" s="4" t="s">
        <v>15</v>
      </c>
      <c r="B19" s="4"/>
      <c r="C19" s="4" t="s">
        <v>128</v>
      </c>
      <c r="D19" s="4" t="s">
        <v>265</v>
      </c>
      <c r="E19" s="4" t="s">
        <v>400</v>
      </c>
      <c r="F19" s="4"/>
      <c r="G19" s="16">
        <v>14</v>
      </c>
      <c r="H19" s="28" t="s">
        <v>420</v>
      </c>
    </row>
    <row r="20" spans="1:8" ht="12.75">
      <c r="A20" s="4" t="s">
        <v>16</v>
      </c>
      <c r="B20" s="4"/>
      <c r="C20" s="4" t="s">
        <v>129</v>
      </c>
      <c r="D20" s="4" t="s">
        <v>266</v>
      </c>
      <c r="E20" s="4" t="s">
        <v>400</v>
      </c>
      <c r="F20" s="4"/>
      <c r="G20" s="16">
        <v>190</v>
      </c>
      <c r="H20" s="28" t="s">
        <v>420</v>
      </c>
    </row>
    <row r="21" spans="1:8" ht="12.75">
      <c r="A21" s="4" t="s">
        <v>17</v>
      </c>
      <c r="B21" s="4"/>
      <c r="C21" s="4" t="s">
        <v>130</v>
      </c>
      <c r="D21" s="4" t="s">
        <v>268</v>
      </c>
      <c r="E21" s="4" t="s">
        <v>400</v>
      </c>
      <c r="F21" s="4"/>
      <c r="G21" s="16">
        <v>314</v>
      </c>
      <c r="H21" s="28" t="s">
        <v>420</v>
      </c>
    </row>
    <row r="22" spans="1:8" ht="12.75">
      <c r="A22" s="4" t="s">
        <v>18</v>
      </c>
      <c r="B22" s="4"/>
      <c r="C22" s="4" t="s">
        <v>131</v>
      </c>
      <c r="D22" s="4" t="s">
        <v>269</v>
      </c>
      <c r="E22" s="4" t="s">
        <v>400</v>
      </c>
      <c r="F22" s="4"/>
      <c r="G22" s="16">
        <v>39</v>
      </c>
      <c r="H22" s="28" t="s">
        <v>420</v>
      </c>
    </row>
    <row r="23" spans="1:8" ht="12.75">
      <c r="A23" s="4" t="s">
        <v>19</v>
      </c>
      <c r="B23" s="4"/>
      <c r="C23" s="4" t="s">
        <v>132</v>
      </c>
      <c r="D23" s="4" t="s">
        <v>270</v>
      </c>
      <c r="E23" s="4" t="s">
        <v>400</v>
      </c>
      <c r="F23" s="4"/>
      <c r="G23" s="16">
        <v>39</v>
      </c>
      <c r="H23" s="28" t="s">
        <v>420</v>
      </c>
    </row>
    <row r="24" spans="1:8" ht="12.75">
      <c r="A24" s="4" t="s">
        <v>20</v>
      </c>
      <c r="B24" s="4"/>
      <c r="C24" s="4" t="s">
        <v>133</v>
      </c>
      <c r="D24" s="4" t="s">
        <v>271</v>
      </c>
      <c r="E24" s="4" t="s">
        <v>401</v>
      </c>
      <c r="F24" s="4"/>
      <c r="G24" s="16">
        <v>68</v>
      </c>
      <c r="H24" s="28" t="s">
        <v>420</v>
      </c>
    </row>
    <row r="25" spans="1:8" ht="12.75">
      <c r="A25" s="4" t="s">
        <v>21</v>
      </c>
      <c r="B25" s="4"/>
      <c r="C25" s="4" t="s">
        <v>134</v>
      </c>
      <c r="D25" s="4" t="s">
        <v>273</v>
      </c>
      <c r="E25" s="4" t="s">
        <v>402</v>
      </c>
      <c r="F25" s="4"/>
      <c r="G25" s="16">
        <v>1.9</v>
      </c>
      <c r="H25" s="28" t="s">
        <v>420</v>
      </c>
    </row>
    <row r="26" spans="1:8" ht="12.75">
      <c r="A26" s="4" t="s">
        <v>22</v>
      </c>
      <c r="B26" s="4"/>
      <c r="C26" s="4" t="s">
        <v>135</v>
      </c>
      <c r="D26" s="4" t="s">
        <v>275</v>
      </c>
      <c r="E26" s="4" t="s">
        <v>403</v>
      </c>
      <c r="F26" s="4"/>
      <c r="G26" s="16">
        <v>9</v>
      </c>
      <c r="H26" s="28" t="s">
        <v>420</v>
      </c>
    </row>
    <row r="27" spans="1:8" ht="12.75">
      <c r="A27" s="4" t="s">
        <v>23</v>
      </c>
      <c r="B27" s="4"/>
      <c r="C27" s="4" t="s">
        <v>136</v>
      </c>
      <c r="D27" s="4" t="s">
        <v>276</v>
      </c>
      <c r="E27" s="4" t="s">
        <v>403</v>
      </c>
      <c r="F27" s="4"/>
      <c r="G27" s="16">
        <v>1</v>
      </c>
      <c r="H27" s="28" t="s">
        <v>420</v>
      </c>
    </row>
    <row r="28" spans="1:8" ht="12.75">
      <c r="A28" s="4" t="s">
        <v>24</v>
      </c>
      <c r="B28" s="4"/>
      <c r="C28" s="4" t="s">
        <v>138</v>
      </c>
      <c r="D28" s="4" t="s">
        <v>278</v>
      </c>
      <c r="E28" s="4" t="s">
        <v>400</v>
      </c>
      <c r="F28" s="4"/>
      <c r="G28" s="16">
        <v>325</v>
      </c>
      <c r="H28" s="28" t="s">
        <v>420</v>
      </c>
    </row>
    <row r="29" spans="1:8" ht="12.75">
      <c r="A29" s="4" t="s">
        <v>25</v>
      </c>
      <c r="B29" s="4"/>
      <c r="C29" s="4" t="s">
        <v>140</v>
      </c>
      <c r="D29" s="4" t="s">
        <v>280</v>
      </c>
      <c r="E29" s="4" t="s">
        <v>404</v>
      </c>
      <c r="F29" s="4"/>
      <c r="G29" s="16">
        <v>1</v>
      </c>
      <c r="H29" s="28" t="s">
        <v>420</v>
      </c>
    </row>
    <row r="30" spans="1:8" ht="12.75">
      <c r="A30" s="4" t="s">
        <v>26</v>
      </c>
      <c r="B30" s="4"/>
      <c r="C30" s="4" t="s">
        <v>143</v>
      </c>
      <c r="D30" s="4" t="s">
        <v>283</v>
      </c>
      <c r="E30" s="4" t="s">
        <v>398</v>
      </c>
      <c r="F30" s="4"/>
      <c r="G30" s="16">
        <v>1</v>
      </c>
      <c r="H30" s="28" t="s">
        <v>420</v>
      </c>
    </row>
    <row r="31" spans="1:8" ht="12.75">
      <c r="A31" s="4" t="s">
        <v>27</v>
      </c>
      <c r="B31" s="4"/>
      <c r="C31" s="4" t="s">
        <v>144</v>
      </c>
      <c r="D31" s="4" t="s">
        <v>284</v>
      </c>
      <c r="E31" s="4" t="s">
        <v>398</v>
      </c>
      <c r="F31" s="4"/>
      <c r="G31" s="16">
        <v>1</v>
      </c>
      <c r="H31" s="28" t="s">
        <v>420</v>
      </c>
    </row>
    <row r="32" spans="1:8" ht="12.75">
      <c r="A32" s="4" t="s">
        <v>28</v>
      </c>
      <c r="B32" s="4"/>
      <c r="C32" s="4" t="s">
        <v>146</v>
      </c>
      <c r="D32" s="4" t="s">
        <v>286</v>
      </c>
      <c r="E32" s="4" t="s">
        <v>404</v>
      </c>
      <c r="F32" s="4"/>
      <c r="G32" s="16">
        <v>1</v>
      </c>
      <c r="H32" s="28" t="s">
        <v>420</v>
      </c>
    </row>
    <row r="33" spans="1:8" ht="12.75">
      <c r="A33" s="4" t="s">
        <v>29</v>
      </c>
      <c r="B33" s="4"/>
      <c r="C33" s="4" t="s">
        <v>147</v>
      </c>
      <c r="D33" s="4" t="s">
        <v>287</v>
      </c>
      <c r="E33" s="4" t="s">
        <v>398</v>
      </c>
      <c r="F33" s="4"/>
      <c r="G33" s="16">
        <v>1</v>
      </c>
      <c r="H33" s="28" t="s">
        <v>420</v>
      </c>
    </row>
    <row r="34" spans="1:8" ht="12.75">
      <c r="A34" s="4" t="s">
        <v>30</v>
      </c>
      <c r="B34" s="4"/>
      <c r="C34" s="4" t="s">
        <v>148</v>
      </c>
      <c r="D34" s="4" t="s">
        <v>288</v>
      </c>
      <c r="E34" s="4" t="s">
        <v>398</v>
      </c>
      <c r="F34" s="4"/>
      <c r="G34" s="16">
        <v>1</v>
      </c>
      <c r="H34" s="28" t="s">
        <v>420</v>
      </c>
    </row>
    <row r="35" spans="1:8" ht="12.75">
      <c r="A35" s="4" t="s">
        <v>31</v>
      </c>
      <c r="B35" s="4"/>
      <c r="C35" s="4" t="s">
        <v>150</v>
      </c>
      <c r="D35" s="4" t="s">
        <v>290</v>
      </c>
      <c r="E35" s="4" t="s">
        <v>404</v>
      </c>
      <c r="F35" s="4"/>
      <c r="G35" s="16">
        <v>3</v>
      </c>
      <c r="H35" s="28" t="s">
        <v>420</v>
      </c>
    </row>
    <row r="36" spans="1:8" ht="12.75">
      <c r="A36" s="4" t="s">
        <v>32</v>
      </c>
      <c r="B36" s="4"/>
      <c r="C36" s="4" t="s">
        <v>151</v>
      </c>
      <c r="D36" s="4" t="s">
        <v>291</v>
      </c>
      <c r="E36" s="4" t="s">
        <v>404</v>
      </c>
      <c r="F36" s="4"/>
      <c r="G36" s="16">
        <v>1</v>
      </c>
      <c r="H36" s="28" t="s">
        <v>420</v>
      </c>
    </row>
    <row r="37" spans="1:8" ht="12.75">
      <c r="A37" s="4" t="s">
        <v>33</v>
      </c>
      <c r="B37" s="4"/>
      <c r="C37" s="4" t="s">
        <v>152</v>
      </c>
      <c r="D37" s="4" t="s">
        <v>292</v>
      </c>
      <c r="E37" s="4" t="s">
        <v>403</v>
      </c>
      <c r="F37" s="4"/>
      <c r="G37" s="16">
        <v>6</v>
      </c>
      <c r="H37" s="28" t="s">
        <v>420</v>
      </c>
    </row>
    <row r="38" spans="1:8" ht="12.75">
      <c r="A38" s="4" t="s">
        <v>34</v>
      </c>
      <c r="B38" s="4"/>
      <c r="C38" s="4" t="s">
        <v>153</v>
      </c>
      <c r="D38" s="4" t="s">
        <v>293</v>
      </c>
      <c r="E38" s="4" t="s">
        <v>403</v>
      </c>
      <c r="F38" s="4"/>
      <c r="G38" s="16">
        <v>2</v>
      </c>
      <c r="H38" s="28" t="s">
        <v>420</v>
      </c>
    </row>
    <row r="39" spans="1:8" ht="12.75">
      <c r="A39" s="4" t="s">
        <v>35</v>
      </c>
      <c r="B39" s="4"/>
      <c r="C39" s="4" t="s">
        <v>154</v>
      </c>
      <c r="D39" s="4" t="s">
        <v>294</v>
      </c>
      <c r="E39" s="4" t="s">
        <v>404</v>
      </c>
      <c r="F39" s="4"/>
      <c r="G39" s="16">
        <v>1</v>
      </c>
      <c r="H39" s="28" t="s">
        <v>420</v>
      </c>
    </row>
    <row r="40" spans="1:8" ht="12.75">
      <c r="A40" s="4" t="s">
        <v>36</v>
      </c>
      <c r="B40" s="4"/>
      <c r="C40" s="4" t="s">
        <v>155</v>
      </c>
      <c r="D40" s="4" t="s">
        <v>295</v>
      </c>
      <c r="E40" s="4" t="s">
        <v>404</v>
      </c>
      <c r="F40" s="4"/>
      <c r="G40" s="16">
        <v>1</v>
      </c>
      <c r="H40" s="28" t="s">
        <v>420</v>
      </c>
    </row>
    <row r="41" spans="1:8" ht="12.75">
      <c r="A41" s="4" t="s">
        <v>37</v>
      </c>
      <c r="B41" s="4"/>
      <c r="C41" s="4" t="s">
        <v>156</v>
      </c>
      <c r="D41" s="4" t="s">
        <v>296</v>
      </c>
      <c r="E41" s="4" t="s">
        <v>404</v>
      </c>
      <c r="F41" s="4"/>
      <c r="G41" s="16">
        <v>3</v>
      </c>
      <c r="H41" s="28" t="s">
        <v>420</v>
      </c>
    </row>
    <row r="42" spans="1:8" ht="12.75">
      <c r="A42" s="4" t="s">
        <v>38</v>
      </c>
      <c r="B42" s="4"/>
      <c r="C42" s="4" t="s">
        <v>157</v>
      </c>
      <c r="D42" s="4" t="s">
        <v>297</v>
      </c>
      <c r="E42" s="4" t="s">
        <v>404</v>
      </c>
      <c r="F42" s="4"/>
      <c r="G42" s="16">
        <v>1</v>
      </c>
      <c r="H42" s="28" t="s">
        <v>420</v>
      </c>
    </row>
    <row r="43" spans="1:8" ht="12.75">
      <c r="A43" s="4" t="s">
        <v>39</v>
      </c>
      <c r="B43" s="4"/>
      <c r="C43" s="4" t="s">
        <v>158</v>
      </c>
      <c r="D43" s="4" t="s">
        <v>298</v>
      </c>
      <c r="E43" s="4" t="s">
        <v>404</v>
      </c>
      <c r="F43" s="4"/>
      <c r="G43" s="16">
        <v>3</v>
      </c>
      <c r="H43" s="28" t="s">
        <v>420</v>
      </c>
    </row>
    <row r="44" spans="1:8" ht="12.75">
      <c r="A44" s="4" t="s">
        <v>40</v>
      </c>
      <c r="B44" s="4"/>
      <c r="C44" s="4" t="s">
        <v>159</v>
      </c>
      <c r="D44" s="4" t="s">
        <v>299</v>
      </c>
      <c r="E44" s="4" t="s">
        <v>404</v>
      </c>
      <c r="F44" s="4"/>
      <c r="G44" s="16">
        <v>1</v>
      </c>
      <c r="H44" s="28" t="s">
        <v>420</v>
      </c>
    </row>
    <row r="45" spans="1:8" ht="12.75">
      <c r="A45" s="4" t="s">
        <v>41</v>
      </c>
      <c r="B45" s="4"/>
      <c r="C45" s="4" t="s">
        <v>160</v>
      </c>
      <c r="D45" s="4" t="s">
        <v>300</v>
      </c>
      <c r="E45" s="4" t="s">
        <v>404</v>
      </c>
      <c r="F45" s="4"/>
      <c r="G45" s="16">
        <v>1</v>
      </c>
      <c r="H45" s="28" t="s">
        <v>420</v>
      </c>
    </row>
    <row r="46" spans="1:8" ht="12.75">
      <c r="A46" s="4" t="s">
        <v>42</v>
      </c>
      <c r="B46" s="4"/>
      <c r="C46" s="4" t="s">
        <v>161</v>
      </c>
      <c r="D46" s="4" t="s">
        <v>301</v>
      </c>
      <c r="E46" s="4" t="s">
        <v>404</v>
      </c>
      <c r="F46" s="4"/>
      <c r="G46" s="16">
        <v>1</v>
      </c>
      <c r="H46" s="28" t="s">
        <v>420</v>
      </c>
    </row>
    <row r="47" spans="1:8" ht="12.75">
      <c r="A47" s="4" t="s">
        <v>43</v>
      </c>
      <c r="B47" s="4"/>
      <c r="C47" s="4" t="s">
        <v>162</v>
      </c>
      <c r="D47" s="4" t="s">
        <v>302</v>
      </c>
      <c r="E47" s="4" t="s">
        <v>404</v>
      </c>
      <c r="F47" s="4"/>
      <c r="G47" s="16">
        <v>1</v>
      </c>
      <c r="H47" s="28" t="s">
        <v>420</v>
      </c>
    </row>
    <row r="48" spans="1:8" ht="12.75">
      <c r="A48" s="4" t="s">
        <v>44</v>
      </c>
      <c r="B48" s="4"/>
      <c r="C48" s="4" t="s">
        <v>163</v>
      </c>
      <c r="D48" s="4" t="s">
        <v>303</v>
      </c>
      <c r="E48" s="4" t="s">
        <v>404</v>
      </c>
      <c r="F48" s="4"/>
      <c r="G48" s="16">
        <v>1</v>
      </c>
      <c r="H48" s="28" t="s">
        <v>420</v>
      </c>
    </row>
    <row r="49" spans="1:8" ht="12.75">
      <c r="A49" s="4" t="s">
        <v>45</v>
      </c>
      <c r="B49" s="4"/>
      <c r="C49" s="4" t="s">
        <v>165</v>
      </c>
      <c r="D49" s="4" t="s">
        <v>305</v>
      </c>
      <c r="E49" s="4" t="s">
        <v>404</v>
      </c>
      <c r="F49" s="4"/>
      <c r="G49" s="16">
        <v>1</v>
      </c>
      <c r="H49" s="28" t="s">
        <v>420</v>
      </c>
    </row>
    <row r="50" spans="1:8" ht="12.75">
      <c r="A50" s="4" t="s">
        <v>46</v>
      </c>
      <c r="B50" s="4"/>
      <c r="C50" s="4" t="s">
        <v>167</v>
      </c>
      <c r="D50" s="4" t="s">
        <v>307</v>
      </c>
      <c r="E50" s="4" t="s">
        <v>398</v>
      </c>
      <c r="F50" s="4"/>
      <c r="G50" s="16">
        <v>1</v>
      </c>
      <c r="H50" s="28" t="s">
        <v>420</v>
      </c>
    </row>
    <row r="51" spans="1:8" ht="12.75">
      <c r="A51" s="4" t="s">
        <v>47</v>
      </c>
      <c r="B51" s="4"/>
      <c r="C51" s="4" t="s">
        <v>168</v>
      </c>
      <c r="D51" s="4" t="s">
        <v>308</v>
      </c>
      <c r="E51" s="4" t="s">
        <v>398</v>
      </c>
      <c r="F51" s="4"/>
      <c r="G51" s="16">
        <v>1</v>
      </c>
      <c r="H51" s="28" t="s">
        <v>420</v>
      </c>
    </row>
    <row r="52" spans="1:8" ht="12.75">
      <c r="A52" s="4" t="s">
        <v>48</v>
      </c>
      <c r="B52" s="4"/>
      <c r="C52" s="4" t="s">
        <v>170</v>
      </c>
      <c r="D52" s="4" t="s">
        <v>310</v>
      </c>
      <c r="E52" s="4" t="s">
        <v>403</v>
      </c>
      <c r="F52" s="4"/>
      <c r="G52" s="16">
        <v>1</v>
      </c>
      <c r="H52" s="28" t="s">
        <v>420</v>
      </c>
    </row>
    <row r="53" spans="1:8" ht="12.75">
      <c r="A53" s="4" t="s">
        <v>49</v>
      </c>
      <c r="B53" s="4"/>
      <c r="C53" s="4" t="s">
        <v>171</v>
      </c>
      <c r="D53" s="4" t="s">
        <v>311</v>
      </c>
      <c r="E53" s="4" t="s">
        <v>398</v>
      </c>
      <c r="F53" s="4"/>
      <c r="G53" s="16">
        <v>1</v>
      </c>
      <c r="H53" s="28" t="s">
        <v>420</v>
      </c>
    </row>
    <row r="54" spans="1:8" ht="12.75">
      <c r="A54" s="4" t="s">
        <v>50</v>
      </c>
      <c r="B54" s="4"/>
      <c r="C54" s="4" t="s">
        <v>173</v>
      </c>
      <c r="D54" s="4" t="s">
        <v>313</v>
      </c>
      <c r="E54" s="4" t="s">
        <v>400</v>
      </c>
      <c r="F54" s="4"/>
      <c r="G54" s="16">
        <v>1</v>
      </c>
      <c r="H54" s="28" t="s">
        <v>420</v>
      </c>
    </row>
    <row r="55" spans="1:8" ht="12.75">
      <c r="A55" s="4" t="s">
        <v>51</v>
      </c>
      <c r="B55" s="4"/>
      <c r="C55" s="4" t="s">
        <v>174</v>
      </c>
      <c r="D55" s="4" t="s">
        <v>314</v>
      </c>
      <c r="E55" s="4" t="s">
        <v>398</v>
      </c>
      <c r="F55" s="4"/>
      <c r="G55" s="16">
        <v>1</v>
      </c>
      <c r="H55" s="28" t="s">
        <v>420</v>
      </c>
    </row>
    <row r="56" spans="1:8" ht="12.75">
      <c r="A56" s="4" t="s">
        <v>52</v>
      </c>
      <c r="B56" s="4"/>
      <c r="C56" s="4" t="s">
        <v>175</v>
      </c>
      <c r="D56" s="4" t="s">
        <v>315</v>
      </c>
      <c r="E56" s="4" t="s">
        <v>400</v>
      </c>
      <c r="F56" s="4"/>
      <c r="G56" s="16">
        <v>1</v>
      </c>
      <c r="H56" s="28" t="s">
        <v>420</v>
      </c>
    </row>
    <row r="57" spans="1:8" ht="12.75">
      <c r="A57" s="4" t="s">
        <v>53</v>
      </c>
      <c r="B57" s="4"/>
      <c r="C57" s="4" t="s">
        <v>177</v>
      </c>
      <c r="D57" s="4" t="s">
        <v>317</v>
      </c>
      <c r="E57" s="4" t="s">
        <v>401</v>
      </c>
      <c r="F57" s="4"/>
      <c r="G57" s="16">
        <v>30</v>
      </c>
      <c r="H57" s="28" t="s">
        <v>420</v>
      </c>
    </row>
    <row r="58" spans="1:8" ht="12.75">
      <c r="A58" s="4" t="s">
        <v>54</v>
      </c>
      <c r="B58" s="4"/>
      <c r="C58" s="4" t="s">
        <v>178</v>
      </c>
      <c r="D58" s="4" t="s">
        <v>318</v>
      </c>
      <c r="E58" s="4" t="s">
        <v>403</v>
      </c>
      <c r="F58" s="4"/>
      <c r="G58" s="16">
        <v>18</v>
      </c>
      <c r="H58" s="28" t="s">
        <v>420</v>
      </c>
    </row>
    <row r="59" spans="1:8" ht="12.75">
      <c r="A59" s="4" t="s">
        <v>55</v>
      </c>
      <c r="B59" s="4"/>
      <c r="C59" s="4" t="s">
        <v>179</v>
      </c>
      <c r="D59" s="4" t="s">
        <v>319</v>
      </c>
      <c r="E59" s="4" t="s">
        <v>401</v>
      </c>
      <c r="F59" s="4"/>
      <c r="G59" s="16">
        <v>1</v>
      </c>
      <c r="H59" s="28" t="s">
        <v>420</v>
      </c>
    </row>
    <row r="60" spans="1:8" ht="12.75">
      <c r="A60" s="4" t="s">
        <v>56</v>
      </c>
      <c r="B60" s="4"/>
      <c r="C60" s="4" t="s">
        <v>181</v>
      </c>
      <c r="D60" s="4" t="s">
        <v>321</v>
      </c>
      <c r="E60" s="4" t="s">
        <v>400</v>
      </c>
      <c r="F60" s="4"/>
      <c r="G60" s="16">
        <v>1</v>
      </c>
      <c r="H60" s="28" t="s">
        <v>420</v>
      </c>
    </row>
    <row r="61" spans="1:8" ht="12.75">
      <c r="A61" s="4" t="s">
        <v>57</v>
      </c>
      <c r="B61" s="4"/>
      <c r="C61" s="4" t="s">
        <v>183</v>
      </c>
      <c r="D61" s="4" t="s">
        <v>323</v>
      </c>
      <c r="E61" s="4" t="s">
        <v>403</v>
      </c>
      <c r="F61" s="4"/>
      <c r="G61" s="16">
        <v>14</v>
      </c>
      <c r="H61" s="28" t="s">
        <v>420</v>
      </c>
    </row>
    <row r="62" spans="1:8" ht="12.75">
      <c r="A62" s="4" t="s">
        <v>58</v>
      </c>
      <c r="B62" s="4"/>
      <c r="C62" s="4" t="s">
        <v>184</v>
      </c>
      <c r="D62" s="4" t="s">
        <v>324</v>
      </c>
      <c r="E62" s="4" t="s">
        <v>403</v>
      </c>
      <c r="F62" s="4"/>
      <c r="G62" s="16">
        <v>14</v>
      </c>
      <c r="H62" s="28" t="s">
        <v>420</v>
      </c>
    </row>
    <row r="63" spans="1:8" ht="12.75">
      <c r="A63" s="4" t="s">
        <v>59</v>
      </c>
      <c r="B63" s="4"/>
      <c r="C63" s="4" t="s">
        <v>185</v>
      </c>
      <c r="D63" s="4" t="s">
        <v>325</v>
      </c>
      <c r="E63" s="4" t="s">
        <v>403</v>
      </c>
      <c r="F63" s="4"/>
      <c r="G63" s="16">
        <v>4</v>
      </c>
      <c r="H63" s="28" t="s">
        <v>420</v>
      </c>
    </row>
    <row r="64" spans="1:8" ht="12.75">
      <c r="A64" s="4" t="s">
        <v>60</v>
      </c>
      <c r="B64" s="4"/>
      <c r="C64" s="4" t="s">
        <v>186</v>
      </c>
      <c r="D64" s="4" t="s">
        <v>326</v>
      </c>
      <c r="E64" s="4" t="s">
        <v>403</v>
      </c>
      <c r="F64" s="4"/>
      <c r="G64" s="16">
        <v>18</v>
      </c>
      <c r="H64" s="28" t="s">
        <v>420</v>
      </c>
    </row>
    <row r="65" spans="1:8" ht="12.75">
      <c r="A65" s="4" t="s">
        <v>61</v>
      </c>
      <c r="B65" s="4"/>
      <c r="C65" s="4" t="s">
        <v>187</v>
      </c>
      <c r="D65" s="4" t="s">
        <v>327</v>
      </c>
      <c r="E65" s="4" t="s">
        <v>403</v>
      </c>
      <c r="F65" s="4"/>
      <c r="G65" s="16">
        <v>14</v>
      </c>
      <c r="H65" s="28" t="s">
        <v>420</v>
      </c>
    </row>
    <row r="66" spans="1:8" ht="12.75">
      <c r="A66" s="4" t="s">
        <v>62</v>
      </c>
      <c r="B66" s="4"/>
      <c r="C66" s="4" t="s">
        <v>188</v>
      </c>
      <c r="D66" s="4" t="s">
        <v>328</v>
      </c>
      <c r="E66" s="4" t="s">
        <v>403</v>
      </c>
      <c r="F66" s="4"/>
      <c r="G66" s="16">
        <v>1</v>
      </c>
      <c r="H66" s="28" t="s">
        <v>420</v>
      </c>
    </row>
    <row r="67" spans="1:8" ht="12.75">
      <c r="A67" s="4" t="s">
        <v>63</v>
      </c>
      <c r="B67" s="4"/>
      <c r="C67" s="4" t="s">
        <v>189</v>
      </c>
      <c r="D67" s="4" t="s">
        <v>329</v>
      </c>
      <c r="E67" s="4" t="s">
        <v>401</v>
      </c>
      <c r="F67" s="4"/>
      <c r="G67" s="16">
        <v>4.8</v>
      </c>
      <c r="H67" s="28" t="s">
        <v>420</v>
      </c>
    </row>
    <row r="68" spans="1:8" ht="12.75">
      <c r="A68" s="4" t="s">
        <v>64</v>
      </c>
      <c r="B68" s="4"/>
      <c r="C68" s="4" t="s">
        <v>191</v>
      </c>
      <c r="D68" s="4" t="s">
        <v>331</v>
      </c>
      <c r="E68" s="4" t="s">
        <v>400</v>
      </c>
      <c r="F68" s="4"/>
      <c r="G68" s="16">
        <v>66</v>
      </c>
      <c r="H68" s="28" t="s">
        <v>420</v>
      </c>
    </row>
    <row r="69" spans="1:8" ht="12.75">
      <c r="A69" s="4" t="s">
        <v>65</v>
      </c>
      <c r="B69" s="4"/>
      <c r="C69" s="4" t="s">
        <v>192</v>
      </c>
      <c r="D69" s="4" t="s">
        <v>332</v>
      </c>
      <c r="E69" s="4" t="s">
        <v>400</v>
      </c>
      <c r="F69" s="4"/>
      <c r="G69" s="16">
        <v>66</v>
      </c>
      <c r="H69" s="28" t="s">
        <v>420</v>
      </c>
    </row>
    <row r="70" spans="1:8" ht="12.75">
      <c r="A70" s="4" t="s">
        <v>66</v>
      </c>
      <c r="B70" s="4"/>
      <c r="C70" s="4" t="s">
        <v>193</v>
      </c>
      <c r="D70" s="4" t="s">
        <v>333</v>
      </c>
      <c r="E70" s="4" t="s">
        <v>400</v>
      </c>
      <c r="F70" s="4"/>
      <c r="G70" s="16">
        <v>66</v>
      </c>
      <c r="H70" s="28" t="s">
        <v>420</v>
      </c>
    </row>
    <row r="71" spans="1:8" ht="12.75">
      <c r="A71" s="4" t="s">
        <v>67</v>
      </c>
      <c r="B71" s="4"/>
      <c r="C71" s="4" t="s">
        <v>194</v>
      </c>
      <c r="D71" s="4" t="s">
        <v>334</v>
      </c>
      <c r="E71" s="4" t="s">
        <v>400</v>
      </c>
      <c r="F71" s="4"/>
      <c r="G71" s="16">
        <v>66</v>
      </c>
      <c r="H71" s="28" t="s">
        <v>420</v>
      </c>
    </row>
    <row r="72" spans="1:8" ht="12.75">
      <c r="A72" s="4" t="s">
        <v>68</v>
      </c>
      <c r="B72" s="4"/>
      <c r="C72" s="4" t="s">
        <v>196</v>
      </c>
      <c r="D72" s="4" t="s">
        <v>336</v>
      </c>
      <c r="E72" s="4" t="s">
        <v>400</v>
      </c>
      <c r="F72" s="4"/>
      <c r="G72" s="16">
        <v>177</v>
      </c>
      <c r="H72" s="28" t="s">
        <v>420</v>
      </c>
    </row>
    <row r="73" spans="1:8" ht="12.75">
      <c r="A73" s="4" t="s">
        <v>69</v>
      </c>
      <c r="B73" s="4"/>
      <c r="C73" s="4" t="s">
        <v>197</v>
      </c>
      <c r="D73" s="4" t="s">
        <v>333</v>
      </c>
      <c r="E73" s="4" t="s">
        <v>400</v>
      </c>
      <c r="F73" s="4"/>
      <c r="G73" s="16">
        <v>177</v>
      </c>
      <c r="H73" s="28" t="s">
        <v>420</v>
      </c>
    </row>
    <row r="74" spans="1:8" ht="12.75">
      <c r="A74" s="4" t="s">
        <v>70</v>
      </c>
      <c r="B74" s="4"/>
      <c r="C74" s="4" t="s">
        <v>198</v>
      </c>
      <c r="D74" s="4" t="s">
        <v>337</v>
      </c>
      <c r="E74" s="4" t="s">
        <v>401</v>
      </c>
      <c r="F74" s="4"/>
      <c r="G74" s="16">
        <v>148</v>
      </c>
      <c r="H74" s="28" t="s">
        <v>420</v>
      </c>
    </row>
    <row r="75" spans="1:8" ht="12.75">
      <c r="A75" s="4" t="s">
        <v>71</v>
      </c>
      <c r="B75" s="4"/>
      <c r="C75" s="4" t="s">
        <v>199</v>
      </c>
      <c r="D75" s="4" t="s">
        <v>338</v>
      </c>
      <c r="E75" s="4" t="s">
        <v>400</v>
      </c>
      <c r="F75" s="4"/>
      <c r="G75" s="16">
        <v>185</v>
      </c>
      <c r="H75" s="28" t="s">
        <v>420</v>
      </c>
    </row>
    <row r="76" spans="1:8" ht="12.75">
      <c r="A76" s="4" t="s">
        <v>72</v>
      </c>
      <c r="B76" s="4"/>
      <c r="C76" s="4" t="s">
        <v>200</v>
      </c>
      <c r="D76" s="4" t="s">
        <v>339</v>
      </c>
      <c r="E76" s="4" t="s">
        <v>400</v>
      </c>
      <c r="F76" s="4"/>
      <c r="G76" s="16">
        <v>185</v>
      </c>
      <c r="H76" s="28" t="s">
        <v>420</v>
      </c>
    </row>
    <row r="77" spans="1:8" ht="12.75">
      <c r="A77" s="4" t="s">
        <v>73</v>
      </c>
      <c r="B77" s="4"/>
      <c r="C77" s="4" t="s">
        <v>202</v>
      </c>
      <c r="D77" s="4" t="s">
        <v>341</v>
      </c>
      <c r="E77" s="4" t="s">
        <v>400</v>
      </c>
      <c r="F77" s="4"/>
      <c r="G77" s="16">
        <v>9</v>
      </c>
      <c r="H77" s="28" t="s">
        <v>420</v>
      </c>
    </row>
    <row r="78" spans="1:8" ht="12.75">
      <c r="A78" s="4" t="s">
        <v>74</v>
      </c>
      <c r="B78" s="4"/>
      <c r="C78" s="4" t="s">
        <v>203</v>
      </c>
      <c r="D78" s="4" t="s">
        <v>342</v>
      </c>
      <c r="E78" s="4" t="s">
        <v>400</v>
      </c>
      <c r="F78" s="4"/>
      <c r="G78" s="16">
        <v>9</v>
      </c>
      <c r="H78" s="28" t="s">
        <v>420</v>
      </c>
    </row>
    <row r="79" spans="1:8" ht="12.75">
      <c r="A79" s="4" t="s">
        <v>75</v>
      </c>
      <c r="B79" s="4"/>
      <c r="C79" s="4" t="s">
        <v>204</v>
      </c>
      <c r="D79" s="4" t="s">
        <v>343</v>
      </c>
      <c r="E79" s="4" t="s">
        <v>400</v>
      </c>
      <c r="F79" s="4"/>
      <c r="G79" s="16">
        <v>96</v>
      </c>
      <c r="H79" s="28" t="s">
        <v>420</v>
      </c>
    </row>
    <row r="80" spans="1:8" ht="12.75">
      <c r="A80" s="4" t="s">
        <v>76</v>
      </c>
      <c r="B80" s="4"/>
      <c r="C80" s="4" t="s">
        <v>206</v>
      </c>
      <c r="D80" s="4" t="s">
        <v>345</v>
      </c>
      <c r="E80" s="4" t="s">
        <v>400</v>
      </c>
      <c r="F80" s="4"/>
      <c r="G80" s="16">
        <v>75</v>
      </c>
      <c r="H80" s="28" t="s">
        <v>420</v>
      </c>
    </row>
    <row r="81" spans="1:8" ht="12.75">
      <c r="A81" s="4" t="s">
        <v>77</v>
      </c>
      <c r="B81" s="4"/>
      <c r="C81" s="4" t="s">
        <v>208</v>
      </c>
      <c r="D81" s="4" t="s">
        <v>347</v>
      </c>
      <c r="E81" s="4" t="s">
        <v>400</v>
      </c>
      <c r="F81" s="4"/>
      <c r="G81" s="16">
        <v>870</v>
      </c>
      <c r="H81" s="28" t="s">
        <v>420</v>
      </c>
    </row>
    <row r="82" spans="1:8" ht="12.75">
      <c r="A82" s="4" t="s">
        <v>78</v>
      </c>
      <c r="B82" s="4"/>
      <c r="C82" s="4" t="s">
        <v>209</v>
      </c>
      <c r="D82" s="4" t="s">
        <v>348</v>
      </c>
      <c r="E82" s="4" t="s">
        <v>400</v>
      </c>
      <c r="F82" s="4"/>
      <c r="G82" s="16">
        <v>870</v>
      </c>
      <c r="H82" s="28" t="s">
        <v>420</v>
      </c>
    </row>
    <row r="83" spans="1:8" ht="12.75">
      <c r="A83" s="4" t="s">
        <v>79</v>
      </c>
      <c r="B83" s="4"/>
      <c r="C83" s="4" t="s">
        <v>210</v>
      </c>
      <c r="D83" s="4" t="s">
        <v>350</v>
      </c>
      <c r="E83" s="4" t="s">
        <v>400</v>
      </c>
      <c r="F83" s="4"/>
      <c r="G83" s="16">
        <v>115</v>
      </c>
      <c r="H83" s="28" t="s">
        <v>420</v>
      </c>
    </row>
    <row r="84" spans="1:8" ht="12.75">
      <c r="A84" s="4" t="s">
        <v>80</v>
      </c>
      <c r="B84" s="4"/>
      <c r="C84" s="4" t="s">
        <v>211</v>
      </c>
      <c r="D84" s="4" t="s">
        <v>351</v>
      </c>
      <c r="E84" s="4" t="s">
        <v>400</v>
      </c>
      <c r="F84" s="4"/>
      <c r="G84" s="16">
        <v>330</v>
      </c>
      <c r="H84" s="28" t="s">
        <v>420</v>
      </c>
    </row>
    <row r="85" spans="1:8" ht="12.75">
      <c r="A85" s="4" t="s">
        <v>81</v>
      </c>
      <c r="B85" s="4"/>
      <c r="C85" s="4" t="s">
        <v>212</v>
      </c>
      <c r="D85" s="4" t="s">
        <v>353</v>
      </c>
      <c r="E85" s="4" t="s">
        <v>400</v>
      </c>
      <c r="F85" s="4"/>
      <c r="G85" s="16">
        <v>248</v>
      </c>
      <c r="H85" s="28" t="s">
        <v>420</v>
      </c>
    </row>
    <row r="86" spans="1:8" ht="12.75">
      <c r="A86" s="4" t="s">
        <v>82</v>
      </c>
      <c r="B86" s="4"/>
      <c r="C86" s="4" t="s">
        <v>213</v>
      </c>
      <c r="D86" s="4" t="s">
        <v>354</v>
      </c>
      <c r="E86" s="4" t="s">
        <v>403</v>
      </c>
      <c r="F86" s="4"/>
      <c r="G86" s="16">
        <v>14</v>
      </c>
      <c r="H86" s="28" t="s">
        <v>420</v>
      </c>
    </row>
    <row r="87" spans="1:8" ht="12.75">
      <c r="A87" s="4" t="s">
        <v>83</v>
      </c>
      <c r="B87" s="4"/>
      <c r="C87" s="4" t="s">
        <v>214</v>
      </c>
      <c r="D87" s="4" t="s">
        <v>356</v>
      </c>
      <c r="E87" s="4" t="s">
        <v>400</v>
      </c>
      <c r="F87" s="4"/>
      <c r="G87" s="16">
        <v>27</v>
      </c>
      <c r="H87" s="28" t="s">
        <v>420</v>
      </c>
    </row>
    <row r="88" spans="1:8" ht="12.75">
      <c r="A88" s="4" t="s">
        <v>84</v>
      </c>
      <c r="B88" s="4"/>
      <c r="C88" s="4" t="s">
        <v>215</v>
      </c>
      <c r="D88" s="4" t="s">
        <v>357</v>
      </c>
      <c r="E88" s="4" t="s">
        <v>402</v>
      </c>
      <c r="F88" s="4"/>
      <c r="G88" s="16">
        <v>1.9</v>
      </c>
      <c r="H88" s="28" t="s">
        <v>420</v>
      </c>
    </row>
    <row r="89" spans="1:8" ht="12.75">
      <c r="A89" s="4" t="s">
        <v>85</v>
      </c>
      <c r="B89" s="4"/>
      <c r="C89" s="4" t="s">
        <v>216</v>
      </c>
      <c r="D89" s="4" t="s">
        <v>358</v>
      </c>
      <c r="E89" s="4" t="s">
        <v>400</v>
      </c>
      <c r="F89" s="4"/>
      <c r="G89" s="16">
        <v>39</v>
      </c>
      <c r="H89" s="28" t="s">
        <v>420</v>
      </c>
    </row>
    <row r="90" spans="1:8" ht="12.75">
      <c r="A90" s="4" t="s">
        <v>86</v>
      </c>
      <c r="B90" s="4"/>
      <c r="C90" s="4" t="s">
        <v>217</v>
      </c>
      <c r="D90" s="4" t="s">
        <v>359</v>
      </c>
      <c r="E90" s="4" t="s">
        <v>400</v>
      </c>
      <c r="F90" s="4"/>
      <c r="G90" s="16">
        <v>4</v>
      </c>
      <c r="H90" s="28" t="s">
        <v>420</v>
      </c>
    </row>
    <row r="91" spans="1:8" ht="12.75">
      <c r="A91" s="4" t="s">
        <v>87</v>
      </c>
      <c r="B91" s="4"/>
      <c r="C91" s="4" t="s">
        <v>218</v>
      </c>
      <c r="D91" s="4" t="s">
        <v>360</v>
      </c>
      <c r="E91" s="4" t="s">
        <v>400</v>
      </c>
      <c r="F91" s="4"/>
      <c r="G91" s="16">
        <v>2</v>
      </c>
      <c r="H91" s="28" t="s">
        <v>420</v>
      </c>
    </row>
    <row r="92" spans="1:8" ht="12.75">
      <c r="A92" s="4" t="s">
        <v>88</v>
      </c>
      <c r="B92" s="4"/>
      <c r="C92" s="4" t="s">
        <v>219</v>
      </c>
      <c r="D92" s="4" t="s">
        <v>361</v>
      </c>
      <c r="E92" s="4" t="s">
        <v>403</v>
      </c>
      <c r="F92" s="4"/>
      <c r="G92" s="16">
        <v>19</v>
      </c>
      <c r="H92" s="28" t="s">
        <v>420</v>
      </c>
    </row>
    <row r="93" spans="1:8" ht="12.75">
      <c r="A93" s="4" t="s">
        <v>89</v>
      </c>
      <c r="B93" s="4"/>
      <c r="C93" s="4" t="s">
        <v>220</v>
      </c>
      <c r="D93" s="4" t="s">
        <v>362</v>
      </c>
      <c r="E93" s="4" t="s">
        <v>400</v>
      </c>
      <c r="F93" s="4"/>
      <c r="G93" s="16">
        <v>59</v>
      </c>
      <c r="H93" s="28" t="s">
        <v>420</v>
      </c>
    </row>
    <row r="94" spans="1:8" ht="12.75">
      <c r="A94" s="4" t="s">
        <v>90</v>
      </c>
      <c r="B94" s="4"/>
      <c r="C94" s="4" t="s">
        <v>221</v>
      </c>
      <c r="D94" s="4" t="s">
        <v>363</v>
      </c>
      <c r="E94" s="4" t="s">
        <v>402</v>
      </c>
      <c r="F94" s="4"/>
      <c r="G94" s="16">
        <v>1.95</v>
      </c>
      <c r="H94" s="28" t="s">
        <v>420</v>
      </c>
    </row>
    <row r="95" spans="1:8" ht="12.75">
      <c r="A95" s="4" t="s">
        <v>91</v>
      </c>
      <c r="B95" s="4"/>
      <c r="C95" s="4" t="s">
        <v>222</v>
      </c>
      <c r="D95" s="4" t="s">
        <v>365</v>
      </c>
      <c r="E95" s="4" t="s">
        <v>403</v>
      </c>
      <c r="F95" s="4"/>
      <c r="G95" s="16">
        <v>10</v>
      </c>
      <c r="H95" s="28" t="s">
        <v>420</v>
      </c>
    </row>
    <row r="96" spans="1:8" ht="12.75">
      <c r="A96" s="4" t="s">
        <v>92</v>
      </c>
      <c r="B96" s="4"/>
      <c r="C96" s="4" t="s">
        <v>223</v>
      </c>
      <c r="D96" s="4" t="s">
        <v>366</v>
      </c>
      <c r="E96" s="4" t="s">
        <v>401</v>
      </c>
      <c r="F96" s="4"/>
      <c r="G96" s="16">
        <v>39</v>
      </c>
      <c r="H96" s="28" t="s">
        <v>420</v>
      </c>
    </row>
    <row r="97" spans="1:8" ht="12.75">
      <c r="A97" s="4" t="s">
        <v>93</v>
      </c>
      <c r="B97" s="4"/>
      <c r="C97" s="4" t="s">
        <v>224</v>
      </c>
      <c r="D97" s="4" t="s">
        <v>367</v>
      </c>
      <c r="E97" s="4" t="s">
        <v>401</v>
      </c>
      <c r="F97" s="4"/>
      <c r="G97" s="16">
        <v>18</v>
      </c>
      <c r="H97" s="28" t="s">
        <v>420</v>
      </c>
    </row>
    <row r="98" spans="1:8" ht="12.75">
      <c r="A98" s="4" t="s">
        <v>94</v>
      </c>
      <c r="B98" s="4"/>
      <c r="C98" s="4" t="s">
        <v>225</v>
      </c>
      <c r="D98" s="4" t="s">
        <v>368</v>
      </c>
      <c r="E98" s="4" t="s">
        <v>401</v>
      </c>
      <c r="F98" s="4"/>
      <c r="G98" s="16">
        <v>19</v>
      </c>
      <c r="H98" s="28" t="s">
        <v>420</v>
      </c>
    </row>
    <row r="99" spans="1:8" ht="12.75">
      <c r="A99" s="4" t="s">
        <v>95</v>
      </c>
      <c r="B99" s="4"/>
      <c r="C99" s="4" t="s">
        <v>226</v>
      </c>
      <c r="D99" s="4" t="s">
        <v>369</v>
      </c>
      <c r="E99" s="4" t="s">
        <v>401</v>
      </c>
      <c r="F99" s="4"/>
      <c r="G99" s="16">
        <v>29</v>
      </c>
      <c r="H99" s="28" t="s">
        <v>420</v>
      </c>
    </row>
    <row r="100" spans="1:8" ht="12.75">
      <c r="A100" s="4" t="s">
        <v>96</v>
      </c>
      <c r="B100" s="4"/>
      <c r="C100" s="4" t="s">
        <v>227</v>
      </c>
      <c r="D100" s="4" t="s">
        <v>370</v>
      </c>
      <c r="E100" s="4" t="s">
        <v>403</v>
      </c>
      <c r="F100" s="4"/>
      <c r="G100" s="16">
        <v>64</v>
      </c>
      <c r="H100" s="28" t="s">
        <v>420</v>
      </c>
    </row>
    <row r="101" spans="1:8" ht="12.75">
      <c r="A101" s="4" t="s">
        <v>97</v>
      </c>
      <c r="B101" s="4"/>
      <c r="C101" s="4" t="s">
        <v>229</v>
      </c>
      <c r="D101" s="4" t="s">
        <v>372</v>
      </c>
      <c r="E101" s="4" t="s">
        <v>398</v>
      </c>
      <c r="F101" s="4"/>
      <c r="G101" s="16">
        <v>1</v>
      </c>
      <c r="H101" s="28" t="s">
        <v>420</v>
      </c>
    </row>
    <row r="102" spans="1:8" ht="12.75">
      <c r="A102" s="4" t="s">
        <v>98</v>
      </c>
      <c r="B102" s="4"/>
      <c r="C102" s="4" t="s">
        <v>231</v>
      </c>
      <c r="D102" s="4" t="s">
        <v>374</v>
      </c>
      <c r="E102" s="4" t="s">
        <v>403</v>
      </c>
      <c r="F102" s="4"/>
      <c r="G102" s="16">
        <v>1</v>
      </c>
      <c r="H102" s="28" t="s">
        <v>420</v>
      </c>
    </row>
    <row r="103" spans="1:8" ht="12.75">
      <c r="A103" s="4" t="s">
        <v>99</v>
      </c>
      <c r="B103" s="4"/>
      <c r="C103" s="4" t="s">
        <v>233</v>
      </c>
      <c r="D103" s="4" t="s">
        <v>376</v>
      </c>
      <c r="E103" s="4" t="s">
        <v>399</v>
      </c>
      <c r="F103" s="4"/>
      <c r="G103" s="16">
        <v>27.53</v>
      </c>
      <c r="H103" s="28" t="s">
        <v>420</v>
      </c>
    </row>
    <row r="104" spans="1:8" ht="12.75">
      <c r="A104" s="4" t="s">
        <v>100</v>
      </c>
      <c r="B104" s="4"/>
      <c r="C104" s="4" t="s">
        <v>234</v>
      </c>
      <c r="D104" s="4" t="s">
        <v>377</v>
      </c>
      <c r="E104" s="4" t="s">
        <v>399</v>
      </c>
      <c r="F104" s="4"/>
      <c r="G104" s="16">
        <v>27.53</v>
      </c>
      <c r="H104" s="28" t="s">
        <v>420</v>
      </c>
    </row>
    <row r="105" spans="1:8" ht="12.75">
      <c r="A105" s="4" t="s">
        <v>101</v>
      </c>
      <c r="B105" s="4"/>
      <c r="C105" s="4" t="s">
        <v>235</v>
      </c>
      <c r="D105" s="4" t="s">
        <v>378</v>
      </c>
      <c r="E105" s="4" t="s">
        <v>399</v>
      </c>
      <c r="F105" s="4"/>
      <c r="G105" s="16">
        <v>27.53</v>
      </c>
      <c r="H105" s="28" t="s">
        <v>420</v>
      </c>
    </row>
    <row r="106" spans="1:8" ht="12.75">
      <c r="A106" s="4" t="s">
        <v>102</v>
      </c>
      <c r="B106" s="4"/>
      <c r="C106" s="4" t="s">
        <v>236</v>
      </c>
      <c r="D106" s="4" t="s">
        <v>379</v>
      </c>
      <c r="E106" s="4" t="s">
        <v>399</v>
      </c>
      <c r="F106" s="4"/>
      <c r="G106" s="16">
        <v>27.53</v>
      </c>
      <c r="H106" s="28" t="s">
        <v>420</v>
      </c>
    </row>
    <row r="107" spans="1:8" ht="12.75">
      <c r="A107" s="6" t="s">
        <v>103</v>
      </c>
      <c r="B107" s="6"/>
      <c r="C107" s="6" t="s">
        <v>237</v>
      </c>
      <c r="D107" s="6" t="s">
        <v>381</v>
      </c>
      <c r="E107" s="6" t="s">
        <v>403</v>
      </c>
      <c r="F107" s="6"/>
      <c r="G107" s="17">
        <v>9</v>
      </c>
      <c r="H107" s="29" t="s">
        <v>420</v>
      </c>
    </row>
    <row r="108" spans="1:8" ht="12.75">
      <c r="A108" s="6" t="s">
        <v>104</v>
      </c>
      <c r="B108" s="6"/>
      <c r="C108" s="6" t="s">
        <v>238</v>
      </c>
      <c r="D108" s="6" t="s">
        <v>382</v>
      </c>
      <c r="E108" s="6" t="s">
        <v>403</v>
      </c>
      <c r="F108" s="6"/>
      <c r="G108" s="17">
        <v>3</v>
      </c>
      <c r="H108" s="29" t="s">
        <v>420</v>
      </c>
    </row>
    <row r="109" spans="1:8" ht="12.75">
      <c r="A109" s="6" t="s">
        <v>105</v>
      </c>
      <c r="B109" s="6"/>
      <c r="C109" s="6" t="s">
        <v>239</v>
      </c>
      <c r="D109" s="6" t="s">
        <v>383</v>
      </c>
      <c r="E109" s="6" t="s">
        <v>403</v>
      </c>
      <c r="F109" s="6"/>
      <c r="G109" s="17">
        <v>2</v>
      </c>
      <c r="H109" s="29" t="s">
        <v>420</v>
      </c>
    </row>
    <row r="110" spans="1:8" ht="12.75">
      <c r="A110" s="6" t="s">
        <v>106</v>
      </c>
      <c r="B110" s="6"/>
      <c r="C110" s="6" t="s">
        <v>240</v>
      </c>
      <c r="D110" s="6" t="s">
        <v>384</v>
      </c>
      <c r="E110" s="6" t="s">
        <v>403</v>
      </c>
      <c r="F110" s="6"/>
      <c r="G110" s="17">
        <v>3</v>
      </c>
      <c r="H110" s="29" t="s">
        <v>420</v>
      </c>
    </row>
    <row r="111" spans="1:8" ht="12.75">
      <c r="A111" s="6" t="s">
        <v>107</v>
      </c>
      <c r="B111" s="6"/>
      <c r="C111" s="6" t="s">
        <v>241</v>
      </c>
      <c r="D111" s="6" t="s">
        <v>385</v>
      </c>
      <c r="E111" s="6" t="s">
        <v>403</v>
      </c>
      <c r="F111" s="6"/>
      <c r="G111" s="17">
        <v>11</v>
      </c>
      <c r="H111" s="29" t="s">
        <v>420</v>
      </c>
    </row>
    <row r="112" spans="1:8" ht="12.75">
      <c r="A112" s="6" t="s">
        <v>108</v>
      </c>
      <c r="B112" s="6"/>
      <c r="C112" s="6" t="s">
        <v>242</v>
      </c>
      <c r="D112" s="6" t="s">
        <v>386</v>
      </c>
      <c r="E112" s="6" t="s">
        <v>403</v>
      </c>
      <c r="F112" s="6"/>
      <c r="G112" s="17">
        <v>4</v>
      </c>
      <c r="H112" s="29" t="s">
        <v>420</v>
      </c>
    </row>
    <row r="113" spans="1:8" ht="12.75">
      <c r="A113" s="6" t="s">
        <v>109</v>
      </c>
      <c r="B113" s="6"/>
      <c r="C113" s="6" t="s">
        <v>243</v>
      </c>
      <c r="D113" s="6" t="s">
        <v>387</v>
      </c>
      <c r="E113" s="6" t="s">
        <v>403</v>
      </c>
      <c r="F113" s="6"/>
      <c r="G113" s="17">
        <v>1</v>
      </c>
      <c r="H113" s="29" t="s">
        <v>420</v>
      </c>
    </row>
    <row r="114" spans="1:8" ht="12.75">
      <c r="A114" s="6" t="s">
        <v>110</v>
      </c>
      <c r="B114" s="6"/>
      <c r="C114" s="6" t="s">
        <v>244</v>
      </c>
      <c r="D114" s="6" t="s">
        <v>388</v>
      </c>
      <c r="E114" s="6" t="s">
        <v>403</v>
      </c>
      <c r="F114" s="6"/>
      <c r="G114" s="17">
        <v>1</v>
      </c>
      <c r="H114" s="29" t="s">
        <v>420</v>
      </c>
    </row>
    <row r="115" spans="1:8" ht="12.75">
      <c r="A115" s="6" t="s">
        <v>111</v>
      </c>
      <c r="B115" s="6"/>
      <c r="C115" s="6" t="s">
        <v>245</v>
      </c>
      <c r="D115" s="6" t="s">
        <v>389</v>
      </c>
      <c r="E115" s="6" t="s">
        <v>403</v>
      </c>
      <c r="F115" s="6"/>
      <c r="G115" s="17">
        <v>1</v>
      </c>
      <c r="H115" s="29" t="s">
        <v>420</v>
      </c>
    </row>
    <row r="116" spans="1:8" ht="12.75">
      <c r="A116" s="6" t="s">
        <v>112</v>
      </c>
      <c r="B116" s="6"/>
      <c r="C116" s="6" t="s">
        <v>246</v>
      </c>
      <c r="D116" s="6" t="s">
        <v>390</v>
      </c>
      <c r="E116" s="6" t="s">
        <v>400</v>
      </c>
      <c r="F116" s="6"/>
      <c r="G116" s="17">
        <v>42</v>
      </c>
      <c r="H116" s="29" t="s">
        <v>420</v>
      </c>
    </row>
    <row r="117" spans="1:8" ht="12.75">
      <c r="A117" s="6" t="s">
        <v>113</v>
      </c>
      <c r="B117" s="6"/>
      <c r="C117" s="6" t="s">
        <v>247</v>
      </c>
      <c r="D117" s="6" t="s">
        <v>391</v>
      </c>
      <c r="E117" s="6" t="s">
        <v>400</v>
      </c>
      <c r="F117" s="6"/>
      <c r="G117" s="17">
        <v>99</v>
      </c>
      <c r="H117" s="29" t="s">
        <v>420</v>
      </c>
    </row>
    <row r="118" spans="1:8" ht="12.75">
      <c r="A118" s="6" t="s">
        <v>114</v>
      </c>
      <c r="B118" s="6"/>
      <c r="C118" s="6" t="s">
        <v>248</v>
      </c>
      <c r="D118" s="6" t="s">
        <v>392</v>
      </c>
      <c r="E118" s="6" t="s">
        <v>400</v>
      </c>
      <c r="F118" s="6"/>
      <c r="G118" s="17">
        <v>32</v>
      </c>
      <c r="H118" s="29" t="s">
        <v>420</v>
      </c>
    </row>
    <row r="120" ht="11.25" customHeight="1">
      <c r="A120" s="9" t="s">
        <v>116</v>
      </c>
    </row>
    <row r="121" spans="1:7" ht="409.5" customHeight="1" hidden="1">
      <c r="A121" s="76"/>
      <c r="B121" s="77"/>
      <c r="C121" s="77"/>
      <c r="D121" s="77"/>
      <c r="E121" s="77"/>
      <c r="F121" s="77"/>
      <c r="G121" s="77"/>
    </row>
  </sheetData>
  <sheetProtection/>
  <mergeCells count="19">
    <mergeCell ref="D2:D3"/>
    <mergeCell ref="A1:H1"/>
    <mergeCell ref="A2:B3"/>
    <mergeCell ref="E2:E3"/>
    <mergeCell ref="F2:H3"/>
    <mergeCell ref="A4:B5"/>
    <mergeCell ref="C4:D5"/>
    <mergeCell ref="E4:E5"/>
    <mergeCell ref="F4:H5"/>
    <mergeCell ref="C2:C3"/>
    <mergeCell ref="A121:G121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2"/>
      <c r="B1" s="47"/>
      <c r="C1" s="128" t="s">
        <v>497</v>
      </c>
      <c r="D1" s="129"/>
      <c r="E1" s="129"/>
      <c r="F1" s="129"/>
      <c r="G1" s="129"/>
      <c r="H1" s="129"/>
      <c r="I1" s="129"/>
    </row>
    <row r="2" spans="1:10" ht="12.75">
      <c r="A2" s="95" t="s">
        <v>1</v>
      </c>
      <c r="B2" s="96"/>
      <c r="C2" s="97" t="s">
        <v>549</v>
      </c>
      <c r="D2" s="130"/>
      <c r="E2" s="100" t="s">
        <v>411</v>
      </c>
      <c r="F2" s="100" t="s">
        <v>541</v>
      </c>
      <c r="G2" s="96"/>
      <c r="H2" s="100" t="s">
        <v>522</v>
      </c>
      <c r="I2" s="132" t="s">
        <v>546</v>
      </c>
      <c r="J2" s="31"/>
    </row>
    <row r="3" spans="1:10" ht="12.75">
      <c r="A3" s="92"/>
      <c r="B3" s="77"/>
      <c r="C3" s="98"/>
      <c r="D3" s="131"/>
      <c r="E3" s="77"/>
      <c r="F3" s="77"/>
      <c r="G3" s="77"/>
      <c r="H3" s="77"/>
      <c r="I3" s="90"/>
      <c r="J3" s="31"/>
    </row>
    <row r="4" spans="1:10" ht="12.75">
      <c r="A4" s="85" t="s">
        <v>2</v>
      </c>
      <c r="B4" s="77"/>
      <c r="C4" s="76" t="s">
        <v>543</v>
      </c>
      <c r="D4" s="77"/>
      <c r="E4" s="76" t="s">
        <v>412</v>
      </c>
      <c r="F4" s="76" t="s">
        <v>540</v>
      </c>
      <c r="G4" s="77"/>
      <c r="H4" s="76" t="s">
        <v>522</v>
      </c>
      <c r="I4" s="127"/>
      <c r="J4" s="31"/>
    </row>
    <row r="5" spans="1:10" ht="12.75">
      <c r="A5" s="92"/>
      <c r="B5" s="77"/>
      <c r="C5" s="77"/>
      <c r="D5" s="77"/>
      <c r="E5" s="77"/>
      <c r="F5" s="77"/>
      <c r="G5" s="77"/>
      <c r="H5" s="77"/>
      <c r="I5" s="90"/>
      <c r="J5" s="31"/>
    </row>
    <row r="6" spans="1:10" ht="12.75">
      <c r="A6" s="85" t="s">
        <v>3</v>
      </c>
      <c r="B6" s="77"/>
      <c r="C6" s="76" t="s">
        <v>544</v>
      </c>
      <c r="D6" s="77"/>
      <c r="E6" s="76" t="s">
        <v>413</v>
      </c>
      <c r="F6" s="76"/>
      <c r="G6" s="77"/>
      <c r="H6" s="76" t="s">
        <v>522</v>
      </c>
      <c r="I6" s="127"/>
      <c r="J6" s="31"/>
    </row>
    <row r="7" spans="1:10" ht="12.75">
      <c r="A7" s="92"/>
      <c r="B7" s="77"/>
      <c r="C7" s="77"/>
      <c r="D7" s="77"/>
      <c r="E7" s="77"/>
      <c r="F7" s="77"/>
      <c r="G7" s="77"/>
      <c r="H7" s="77"/>
      <c r="I7" s="90"/>
      <c r="J7" s="31"/>
    </row>
    <row r="8" spans="1:10" ht="12.75">
      <c r="A8" s="85" t="s">
        <v>394</v>
      </c>
      <c r="B8" s="77"/>
      <c r="C8" s="89">
        <v>43161</v>
      </c>
      <c r="D8" s="77"/>
      <c r="E8" s="76" t="s">
        <v>395</v>
      </c>
      <c r="F8" s="89">
        <v>43250</v>
      </c>
      <c r="G8" s="77"/>
      <c r="H8" s="88" t="s">
        <v>523</v>
      </c>
      <c r="I8" s="127" t="s">
        <v>115</v>
      </c>
      <c r="J8" s="31"/>
    </row>
    <row r="9" spans="1:10" ht="12.75">
      <c r="A9" s="92"/>
      <c r="B9" s="77"/>
      <c r="C9" s="77"/>
      <c r="D9" s="77"/>
      <c r="E9" s="77"/>
      <c r="F9" s="77"/>
      <c r="G9" s="77"/>
      <c r="H9" s="77"/>
      <c r="I9" s="90"/>
      <c r="J9" s="31"/>
    </row>
    <row r="10" spans="1:10" ht="12.75" customHeight="1">
      <c r="A10" s="85" t="s">
        <v>4</v>
      </c>
      <c r="B10" s="77"/>
      <c r="C10" s="76"/>
      <c r="D10" s="77"/>
      <c r="E10" s="76" t="s">
        <v>414</v>
      </c>
      <c r="F10" s="76" t="s">
        <v>539</v>
      </c>
      <c r="G10" s="76"/>
      <c r="H10" s="88" t="s">
        <v>524</v>
      </c>
      <c r="I10" s="125">
        <v>43118</v>
      </c>
      <c r="J10" s="31"/>
    </row>
    <row r="11" spans="1:10" ht="12.75">
      <c r="A11" s="121"/>
      <c r="B11" s="122"/>
      <c r="C11" s="122"/>
      <c r="D11" s="122"/>
      <c r="E11" s="122"/>
      <c r="F11" s="123"/>
      <c r="G11" s="123"/>
      <c r="H11" s="124"/>
      <c r="I11" s="126"/>
      <c r="J11" s="31"/>
    </row>
    <row r="12" spans="1:9" ht="23.25" customHeight="1">
      <c r="A12" s="117" t="s">
        <v>483</v>
      </c>
      <c r="B12" s="118"/>
      <c r="C12" s="118"/>
      <c r="D12" s="118"/>
      <c r="E12" s="118"/>
      <c r="F12" s="118"/>
      <c r="G12" s="118"/>
      <c r="H12" s="118"/>
      <c r="I12" s="118"/>
    </row>
    <row r="13" spans="1:10" ht="26.25" customHeight="1">
      <c r="A13" s="48" t="s">
        <v>484</v>
      </c>
      <c r="B13" s="119" t="s">
        <v>495</v>
      </c>
      <c r="C13" s="120"/>
      <c r="D13" s="48" t="s">
        <v>498</v>
      </c>
      <c r="E13" s="119" t="s">
        <v>507</v>
      </c>
      <c r="F13" s="120"/>
      <c r="G13" s="48" t="s">
        <v>508</v>
      </c>
      <c r="H13" s="119" t="s">
        <v>525</v>
      </c>
      <c r="I13" s="120"/>
      <c r="J13" s="31"/>
    </row>
    <row r="14" spans="1:10" ht="15" customHeight="1">
      <c r="A14" s="49" t="s">
        <v>485</v>
      </c>
      <c r="B14" s="53" t="s">
        <v>496</v>
      </c>
      <c r="C14" s="57">
        <f>SUM('Stavební rozpočet'!R12:R154)</f>
        <v>0</v>
      </c>
      <c r="D14" s="115" t="s">
        <v>499</v>
      </c>
      <c r="E14" s="116"/>
      <c r="F14" s="57">
        <f>VORN!I15</f>
        <v>0</v>
      </c>
      <c r="G14" s="115" t="s">
        <v>509</v>
      </c>
      <c r="H14" s="116"/>
      <c r="I14" s="57">
        <f>VORN!I21</f>
        <v>0</v>
      </c>
      <c r="J14" s="31"/>
    </row>
    <row r="15" spans="1:10" ht="15" customHeight="1">
      <c r="A15" s="50"/>
      <c r="B15" s="53" t="s">
        <v>415</v>
      </c>
      <c r="C15" s="57">
        <f>SUM('Stavební rozpočet'!S12:S154)</f>
        <v>0</v>
      </c>
      <c r="D15" s="115" t="s">
        <v>500</v>
      </c>
      <c r="E15" s="116"/>
      <c r="F15" s="57">
        <f>VORN!I16</f>
        <v>0</v>
      </c>
      <c r="G15" s="115" t="s">
        <v>510</v>
      </c>
      <c r="H15" s="116"/>
      <c r="I15" s="57">
        <f>VORN!I22</f>
        <v>0</v>
      </c>
      <c r="J15" s="31"/>
    </row>
    <row r="16" spans="1:10" ht="15" customHeight="1">
      <c r="A16" s="49" t="s">
        <v>486</v>
      </c>
      <c r="B16" s="53" t="s">
        <v>496</v>
      </c>
      <c r="C16" s="57">
        <f>SUM('Stavební rozpočet'!T12:T154)</f>
        <v>0</v>
      </c>
      <c r="D16" s="115" t="s">
        <v>501</v>
      </c>
      <c r="E16" s="116"/>
      <c r="F16" s="57">
        <f>VORN!I17</f>
        <v>0</v>
      </c>
      <c r="G16" s="115" t="s">
        <v>511</v>
      </c>
      <c r="H16" s="116"/>
      <c r="I16" s="57">
        <f>VORN!I23</f>
        <v>0</v>
      </c>
      <c r="J16" s="31"/>
    </row>
    <row r="17" spans="1:10" ht="15" customHeight="1">
      <c r="A17" s="50"/>
      <c r="B17" s="53" t="s">
        <v>415</v>
      </c>
      <c r="C17" s="57">
        <f>SUM('Stavební rozpočet'!U12:U154)</f>
        <v>0</v>
      </c>
      <c r="D17" s="115"/>
      <c r="E17" s="116"/>
      <c r="F17" s="58"/>
      <c r="G17" s="115" t="s">
        <v>512</v>
      </c>
      <c r="H17" s="116"/>
      <c r="I17" s="57">
        <f>VORN!I24</f>
        <v>0</v>
      </c>
      <c r="J17" s="31"/>
    </row>
    <row r="18" spans="1:10" ht="15" customHeight="1">
      <c r="A18" s="49" t="s">
        <v>487</v>
      </c>
      <c r="B18" s="53" t="s">
        <v>496</v>
      </c>
      <c r="C18" s="57">
        <f>SUM('Stavební rozpočet'!V12:V154)</f>
        <v>0</v>
      </c>
      <c r="D18" s="115"/>
      <c r="E18" s="116"/>
      <c r="F18" s="58"/>
      <c r="G18" s="115" t="s">
        <v>513</v>
      </c>
      <c r="H18" s="116"/>
      <c r="I18" s="57">
        <f>VORN!I25</f>
        <v>0</v>
      </c>
      <c r="J18" s="31"/>
    </row>
    <row r="19" spans="1:10" ht="15" customHeight="1">
      <c r="A19" s="50"/>
      <c r="B19" s="53" t="s">
        <v>415</v>
      </c>
      <c r="C19" s="57">
        <f>SUM('Stavební rozpočet'!W12:W154)</f>
        <v>0</v>
      </c>
      <c r="D19" s="115"/>
      <c r="E19" s="116"/>
      <c r="F19" s="58"/>
      <c r="G19" s="115" t="s">
        <v>514</v>
      </c>
      <c r="H19" s="116"/>
      <c r="I19" s="57">
        <f>VORN!I26</f>
        <v>0</v>
      </c>
      <c r="J19" s="31"/>
    </row>
    <row r="20" spans="1:10" ht="15" customHeight="1">
      <c r="A20" s="113" t="s">
        <v>380</v>
      </c>
      <c r="B20" s="114"/>
      <c r="C20" s="57">
        <f>SUM('Stavební rozpočet'!X12:X154)</f>
        <v>0</v>
      </c>
      <c r="D20" s="115"/>
      <c r="E20" s="116"/>
      <c r="F20" s="58"/>
      <c r="G20" s="115"/>
      <c r="H20" s="116"/>
      <c r="I20" s="58"/>
      <c r="J20" s="31"/>
    </row>
    <row r="21" spans="1:10" ht="15" customHeight="1">
      <c r="A21" s="113" t="s">
        <v>488</v>
      </c>
      <c r="B21" s="114"/>
      <c r="C21" s="57">
        <f>SUM('Stavební rozpočet'!P12:P154)</f>
        <v>0</v>
      </c>
      <c r="D21" s="115"/>
      <c r="E21" s="116"/>
      <c r="F21" s="58"/>
      <c r="G21" s="115"/>
      <c r="H21" s="116"/>
      <c r="I21" s="58"/>
      <c r="J21" s="31"/>
    </row>
    <row r="22" spans="1:10" ht="16.5" customHeight="1">
      <c r="A22" s="113" t="s">
        <v>489</v>
      </c>
      <c r="B22" s="114"/>
      <c r="C22" s="57">
        <f>SUM(C14:C21)</f>
        <v>0</v>
      </c>
      <c r="D22" s="113" t="s">
        <v>502</v>
      </c>
      <c r="E22" s="114"/>
      <c r="F22" s="57">
        <f>SUM(F14:F21)</f>
        <v>0</v>
      </c>
      <c r="G22" s="113" t="s">
        <v>515</v>
      </c>
      <c r="H22" s="114"/>
      <c r="I22" s="57">
        <f>SUM(I14:I21)</f>
        <v>0</v>
      </c>
      <c r="J22" s="31"/>
    </row>
    <row r="23" spans="1:10" ht="15" customHeight="1">
      <c r="A23" s="8"/>
      <c r="B23" s="8"/>
      <c r="C23" s="55"/>
      <c r="D23" s="113" t="s">
        <v>503</v>
      </c>
      <c r="E23" s="114"/>
      <c r="F23" s="59">
        <v>0</v>
      </c>
      <c r="G23" s="113" t="s">
        <v>516</v>
      </c>
      <c r="H23" s="114"/>
      <c r="I23" s="57">
        <v>0</v>
      </c>
      <c r="J23" s="31"/>
    </row>
    <row r="24" spans="4:10" ht="15" customHeight="1">
      <c r="D24" s="8"/>
      <c r="E24" s="8"/>
      <c r="F24" s="60"/>
      <c r="G24" s="113" t="s">
        <v>517</v>
      </c>
      <c r="H24" s="114"/>
      <c r="I24" s="57">
        <f>vorn_sum</f>
        <v>0</v>
      </c>
      <c r="J24" s="31"/>
    </row>
    <row r="25" spans="6:10" ht="15" customHeight="1">
      <c r="F25" s="61"/>
      <c r="G25" s="113" t="s">
        <v>518</v>
      </c>
      <c r="H25" s="114"/>
      <c r="I25" s="57">
        <v>0</v>
      </c>
      <c r="J25" s="31"/>
    </row>
    <row r="26" spans="1:9" ht="12.75">
      <c r="A26" s="47"/>
      <c r="B26" s="47"/>
      <c r="C26" s="47"/>
      <c r="G26" s="8"/>
      <c r="H26" s="8"/>
      <c r="I26" s="8"/>
    </row>
    <row r="27" spans="1:9" ht="15" customHeight="1">
      <c r="A27" s="108" t="s">
        <v>490</v>
      </c>
      <c r="B27" s="109"/>
      <c r="C27" s="62">
        <f>SUM('Stavební rozpočet'!Z12:Z154)</f>
        <v>0</v>
      </c>
      <c r="D27" s="56"/>
      <c r="E27" s="47"/>
      <c r="F27" s="47"/>
      <c r="G27" s="47"/>
      <c r="H27" s="47"/>
      <c r="I27" s="47"/>
    </row>
    <row r="28" spans="1:10" ht="15" customHeight="1">
      <c r="A28" s="108" t="s">
        <v>492</v>
      </c>
      <c r="B28" s="109"/>
      <c r="C28" s="62">
        <f>SUM('Stavební rozpočet'!AA12:AA154)+(F22+I22+F23+I23+I24+I25)</f>
        <v>0</v>
      </c>
      <c r="D28" s="108" t="s">
        <v>504</v>
      </c>
      <c r="E28" s="109"/>
      <c r="F28" s="62">
        <f>ROUND(C28*(21/100),2)</f>
        <v>0</v>
      </c>
      <c r="G28" s="108" t="s">
        <v>519</v>
      </c>
      <c r="H28" s="109"/>
      <c r="I28" s="62">
        <f>SUM(C27:C29)</f>
        <v>0</v>
      </c>
      <c r="J28" s="31"/>
    </row>
    <row r="29" spans="1:10" ht="15" customHeight="1">
      <c r="A29" s="108" t="s">
        <v>491</v>
      </c>
      <c r="B29" s="109"/>
      <c r="C29" s="62">
        <f>SUM('Stavební rozpočet'!AB12:AB154)</f>
        <v>0</v>
      </c>
      <c r="D29" s="108" t="s">
        <v>505</v>
      </c>
      <c r="E29" s="109"/>
      <c r="F29" s="62">
        <f>ROUND(C29*(15/100),2)</f>
        <v>0</v>
      </c>
      <c r="G29" s="108" t="s">
        <v>520</v>
      </c>
      <c r="H29" s="109"/>
      <c r="I29" s="62">
        <f>SUM(F28:F29)+I28</f>
        <v>0</v>
      </c>
      <c r="J29" s="31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spans="1:10" ht="14.25" customHeight="1">
      <c r="A31" s="110" t="s">
        <v>493</v>
      </c>
      <c r="B31" s="111"/>
      <c r="C31" s="112"/>
      <c r="D31" s="110" t="s">
        <v>506</v>
      </c>
      <c r="E31" s="111"/>
      <c r="F31" s="112"/>
      <c r="G31" s="110" t="s">
        <v>521</v>
      </c>
      <c r="H31" s="111"/>
      <c r="I31" s="112"/>
      <c r="J31" s="32"/>
    </row>
    <row r="32" spans="1:10" ht="14.25" customHeight="1">
      <c r="A32" s="102"/>
      <c r="B32" s="103"/>
      <c r="C32" s="104"/>
      <c r="D32" s="102"/>
      <c r="E32" s="103"/>
      <c r="F32" s="104"/>
      <c r="G32" s="102"/>
      <c r="H32" s="103"/>
      <c r="I32" s="104"/>
      <c r="J32" s="32"/>
    </row>
    <row r="33" spans="1:10" ht="14.25" customHeight="1">
      <c r="A33" s="102"/>
      <c r="B33" s="103"/>
      <c r="C33" s="104"/>
      <c r="D33" s="102"/>
      <c r="E33" s="103"/>
      <c r="F33" s="104"/>
      <c r="G33" s="102"/>
      <c r="H33" s="103"/>
      <c r="I33" s="104"/>
      <c r="J33" s="32"/>
    </row>
    <row r="34" spans="1:10" ht="14.25" customHeight="1">
      <c r="A34" s="102"/>
      <c r="B34" s="103"/>
      <c r="C34" s="104"/>
      <c r="D34" s="102"/>
      <c r="E34" s="103"/>
      <c r="F34" s="104"/>
      <c r="G34" s="102"/>
      <c r="H34" s="103"/>
      <c r="I34" s="104"/>
      <c r="J34" s="32"/>
    </row>
    <row r="35" spans="1:10" ht="14.25" customHeight="1">
      <c r="A35" s="105" t="s">
        <v>494</v>
      </c>
      <c r="B35" s="106"/>
      <c r="C35" s="107"/>
      <c r="D35" s="105" t="s">
        <v>494</v>
      </c>
      <c r="E35" s="106"/>
      <c r="F35" s="107"/>
      <c r="G35" s="105" t="s">
        <v>494</v>
      </c>
      <c r="H35" s="106"/>
      <c r="I35" s="107"/>
      <c r="J35" s="32"/>
    </row>
    <row r="36" spans="1:9" ht="11.25" customHeight="1">
      <c r="A36" s="52" t="s">
        <v>116</v>
      </c>
      <c r="B36" s="54"/>
      <c r="C36" s="54"/>
      <c r="D36" s="54"/>
      <c r="E36" s="54"/>
      <c r="F36" s="54"/>
      <c r="G36" s="54"/>
      <c r="H36" s="54"/>
      <c r="I36" s="54"/>
    </row>
    <row r="37" spans="1:9" ht="409.5" customHeight="1" hidden="1">
      <c r="A37" s="76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2"/>
      <c r="B1" s="47"/>
      <c r="C1" s="128" t="s">
        <v>534</v>
      </c>
      <c r="D1" s="129"/>
      <c r="E1" s="129"/>
      <c r="F1" s="129"/>
      <c r="G1" s="129"/>
      <c r="H1" s="129"/>
      <c r="I1" s="129"/>
    </row>
    <row r="2" spans="1:10" ht="12.75">
      <c r="A2" s="95" t="s">
        <v>1</v>
      </c>
      <c r="B2" s="96"/>
      <c r="C2" s="97" t="s">
        <v>549</v>
      </c>
      <c r="D2" s="130"/>
      <c r="E2" s="100" t="s">
        <v>411</v>
      </c>
      <c r="F2" s="100" t="s">
        <v>541</v>
      </c>
      <c r="G2" s="96"/>
      <c r="H2" s="100" t="s">
        <v>522</v>
      </c>
      <c r="I2" s="132" t="s">
        <v>546</v>
      </c>
      <c r="J2" s="31"/>
    </row>
    <row r="3" spans="1:10" ht="12.75">
      <c r="A3" s="92"/>
      <c r="B3" s="77"/>
      <c r="C3" s="98"/>
      <c r="D3" s="131"/>
      <c r="E3" s="77"/>
      <c r="F3" s="77"/>
      <c r="G3" s="77"/>
      <c r="H3" s="77"/>
      <c r="I3" s="90"/>
      <c r="J3" s="31"/>
    </row>
    <row r="4" spans="1:10" ht="12.75">
      <c r="A4" s="85" t="s">
        <v>2</v>
      </c>
      <c r="B4" s="77"/>
      <c r="C4" s="76" t="s">
        <v>543</v>
      </c>
      <c r="D4" s="77"/>
      <c r="E4" s="76" t="s">
        <v>412</v>
      </c>
      <c r="F4" s="76" t="s">
        <v>540</v>
      </c>
      <c r="G4" s="77"/>
      <c r="H4" s="76" t="s">
        <v>522</v>
      </c>
      <c r="I4" s="127" t="s">
        <v>547</v>
      </c>
      <c r="J4" s="31"/>
    </row>
    <row r="5" spans="1:10" ht="12.75">
      <c r="A5" s="92"/>
      <c r="B5" s="77"/>
      <c r="C5" s="77"/>
      <c r="D5" s="77"/>
      <c r="E5" s="77"/>
      <c r="F5" s="77"/>
      <c r="G5" s="77"/>
      <c r="H5" s="77"/>
      <c r="I5" s="90"/>
      <c r="J5" s="31"/>
    </row>
    <row r="6" spans="1:12" ht="15.75">
      <c r="A6" s="85" t="s">
        <v>3</v>
      </c>
      <c r="B6" s="77"/>
      <c r="C6" s="76" t="s">
        <v>544</v>
      </c>
      <c r="D6" s="77"/>
      <c r="E6" s="76" t="s">
        <v>413</v>
      </c>
      <c r="F6" s="76"/>
      <c r="G6" s="77"/>
      <c r="H6" s="76" t="s">
        <v>522</v>
      </c>
      <c r="I6" s="127"/>
      <c r="J6" s="31"/>
      <c r="L6" s="73" t="s">
        <v>6</v>
      </c>
    </row>
    <row r="7" spans="1:10" ht="12.75">
      <c r="A7" s="92"/>
      <c r="B7" s="77"/>
      <c r="C7" s="77"/>
      <c r="D7" s="77"/>
      <c r="E7" s="77"/>
      <c r="F7" s="77"/>
      <c r="G7" s="77"/>
      <c r="H7" s="77"/>
      <c r="I7" s="90"/>
      <c r="J7" s="31"/>
    </row>
    <row r="8" spans="1:10" ht="12.75">
      <c r="A8" s="85" t="s">
        <v>394</v>
      </c>
      <c r="B8" s="77"/>
      <c r="C8" s="89">
        <v>43161</v>
      </c>
      <c r="D8" s="77"/>
      <c r="E8" s="76" t="s">
        <v>395</v>
      </c>
      <c r="F8" s="89">
        <v>43250</v>
      </c>
      <c r="G8" s="77"/>
      <c r="H8" s="88" t="s">
        <v>523</v>
      </c>
      <c r="I8" s="127" t="s">
        <v>115</v>
      </c>
      <c r="J8" s="31"/>
    </row>
    <row r="9" spans="1:10" ht="12.75">
      <c r="A9" s="92"/>
      <c r="B9" s="77"/>
      <c r="C9" s="77"/>
      <c r="D9" s="77"/>
      <c r="E9" s="77"/>
      <c r="F9" s="77"/>
      <c r="G9" s="77"/>
      <c r="H9" s="77"/>
      <c r="I9" s="90"/>
      <c r="J9" s="31"/>
    </row>
    <row r="10" spans="1:10" ht="12.75">
      <c r="A10" s="85" t="s">
        <v>4</v>
      </c>
      <c r="B10" s="77"/>
      <c r="C10" s="76"/>
      <c r="D10" s="77"/>
      <c r="E10" s="76" t="s">
        <v>414</v>
      </c>
      <c r="F10" s="76" t="s">
        <v>539</v>
      </c>
      <c r="G10" s="76"/>
      <c r="H10" s="88" t="s">
        <v>524</v>
      </c>
      <c r="I10" s="125">
        <v>43118</v>
      </c>
      <c r="J10" s="31"/>
    </row>
    <row r="11" spans="1:10" ht="12.75">
      <c r="A11" s="121"/>
      <c r="B11" s="122"/>
      <c r="C11" s="122"/>
      <c r="D11" s="122"/>
      <c r="E11" s="122"/>
      <c r="F11" s="123"/>
      <c r="G11" s="123"/>
      <c r="H11" s="122"/>
      <c r="I11" s="153"/>
      <c r="J11" s="31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45" t="s">
        <v>526</v>
      </c>
      <c r="B13" s="146"/>
      <c r="C13" s="146"/>
      <c r="D13" s="146"/>
      <c r="E13" s="146"/>
      <c r="F13" s="64"/>
      <c r="G13" s="64"/>
      <c r="H13" s="64"/>
      <c r="I13" s="64"/>
    </row>
    <row r="14" spans="1:10" ht="12.75">
      <c r="A14" s="147" t="s">
        <v>527</v>
      </c>
      <c r="B14" s="148"/>
      <c r="C14" s="148"/>
      <c r="D14" s="148"/>
      <c r="E14" s="149"/>
      <c r="F14" s="65" t="s">
        <v>535</v>
      </c>
      <c r="G14" s="65" t="s">
        <v>536</v>
      </c>
      <c r="H14" s="65" t="s">
        <v>537</v>
      </c>
      <c r="I14" s="65" t="s">
        <v>535</v>
      </c>
      <c r="J14" s="32"/>
    </row>
    <row r="15" spans="1:10" ht="12.75">
      <c r="A15" s="150" t="s">
        <v>499</v>
      </c>
      <c r="B15" s="151"/>
      <c r="C15" s="151"/>
      <c r="D15" s="151"/>
      <c r="E15" s="152"/>
      <c r="F15" s="66">
        <v>0</v>
      </c>
      <c r="G15" s="68"/>
      <c r="H15" s="68"/>
      <c r="I15" s="66">
        <f>F15</f>
        <v>0</v>
      </c>
      <c r="J15" s="31"/>
    </row>
    <row r="16" spans="1:10" ht="12.75">
      <c r="A16" s="150" t="s">
        <v>500</v>
      </c>
      <c r="B16" s="151"/>
      <c r="C16" s="151"/>
      <c r="D16" s="151"/>
      <c r="E16" s="152"/>
      <c r="F16" s="66">
        <v>0</v>
      </c>
      <c r="G16" s="68"/>
      <c r="H16" s="68"/>
      <c r="I16" s="66">
        <f>F16</f>
        <v>0</v>
      </c>
      <c r="J16" s="31"/>
    </row>
    <row r="17" spans="1:10" ht="12.75">
      <c r="A17" s="133" t="s">
        <v>501</v>
      </c>
      <c r="B17" s="134"/>
      <c r="C17" s="134"/>
      <c r="D17" s="134"/>
      <c r="E17" s="135"/>
      <c r="F17" s="67">
        <v>0</v>
      </c>
      <c r="G17" s="69"/>
      <c r="H17" s="69"/>
      <c r="I17" s="67">
        <f>F17</f>
        <v>0</v>
      </c>
      <c r="J17" s="31"/>
    </row>
    <row r="18" spans="1:10" ht="12.75">
      <c r="A18" s="136" t="s">
        <v>528</v>
      </c>
      <c r="B18" s="137"/>
      <c r="C18" s="137"/>
      <c r="D18" s="137"/>
      <c r="E18" s="138"/>
      <c r="F18" s="39"/>
      <c r="G18" s="70"/>
      <c r="H18" s="70"/>
      <c r="I18" s="71">
        <f>SUM(I15:I17)</f>
        <v>0</v>
      </c>
      <c r="J18" s="32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10" ht="12.75">
      <c r="A20" s="147" t="s">
        <v>525</v>
      </c>
      <c r="B20" s="148"/>
      <c r="C20" s="148"/>
      <c r="D20" s="148"/>
      <c r="E20" s="149"/>
      <c r="F20" s="65" t="s">
        <v>535</v>
      </c>
      <c r="G20" s="65" t="s">
        <v>536</v>
      </c>
      <c r="H20" s="65" t="s">
        <v>537</v>
      </c>
      <c r="I20" s="65" t="s">
        <v>535</v>
      </c>
      <c r="J20" s="32"/>
    </row>
    <row r="21" spans="1:10" ht="12.75">
      <c r="A21" s="150" t="s">
        <v>509</v>
      </c>
      <c r="B21" s="151"/>
      <c r="C21" s="151"/>
      <c r="D21" s="151"/>
      <c r="E21" s="152"/>
      <c r="F21" s="68"/>
      <c r="G21" s="66">
        <v>2.5</v>
      </c>
      <c r="H21" s="66">
        <f>'Krycí list rozpočtu'!C22</f>
        <v>0</v>
      </c>
      <c r="I21" s="66">
        <f>(G21/100)*H21</f>
        <v>0</v>
      </c>
      <c r="J21" s="31"/>
    </row>
    <row r="22" spans="1:10" ht="12.75">
      <c r="A22" s="150" t="s">
        <v>510</v>
      </c>
      <c r="B22" s="151"/>
      <c r="C22" s="151"/>
      <c r="D22" s="151"/>
      <c r="E22" s="152"/>
      <c r="F22" s="66">
        <v>0</v>
      </c>
      <c r="G22" s="68"/>
      <c r="H22" s="68"/>
      <c r="I22" s="66">
        <f>F22</f>
        <v>0</v>
      </c>
      <c r="J22" s="31"/>
    </row>
    <row r="23" spans="1:10" ht="12.75">
      <c r="A23" s="150" t="s">
        <v>511</v>
      </c>
      <c r="B23" s="151"/>
      <c r="C23" s="151"/>
      <c r="D23" s="151"/>
      <c r="E23" s="152"/>
      <c r="F23" s="66">
        <v>0</v>
      </c>
      <c r="G23" s="68"/>
      <c r="H23" s="68"/>
      <c r="I23" s="66">
        <f>F23</f>
        <v>0</v>
      </c>
      <c r="J23" s="31"/>
    </row>
    <row r="24" spans="1:10" ht="12.75">
      <c r="A24" s="150" t="s">
        <v>512</v>
      </c>
      <c r="B24" s="151"/>
      <c r="C24" s="151"/>
      <c r="D24" s="151"/>
      <c r="E24" s="152"/>
      <c r="F24" s="66">
        <v>0</v>
      </c>
      <c r="G24" s="68"/>
      <c r="H24" s="68"/>
      <c r="I24" s="66">
        <f>F24</f>
        <v>0</v>
      </c>
      <c r="J24" s="31"/>
    </row>
    <row r="25" spans="1:10" ht="12.75">
      <c r="A25" s="150" t="s">
        <v>513</v>
      </c>
      <c r="B25" s="151"/>
      <c r="C25" s="151"/>
      <c r="D25" s="151"/>
      <c r="E25" s="152"/>
      <c r="F25" s="66">
        <v>0</v>
      </c>
      <c r="G25" s="68"/>
      <c r="H25" s="68"/>
      <c r="I25" s="66">
        <f>F25</f>
        <v>0</v>
      </c>
      <c r="J25" s="31"/>
    </row>
    <row r="26" spans="1:10" ht="12.75">
      <c r="A26" s="133" t="s">
        <v>514</v>
      </c>
      <c r="B26" s="134"/>
      <c r="C26" s="134"/>
      <c r="D26" s="134"/>
      <c r="E26" s="135"/>
      <c r="F26" s="67">
        <v>0</v>
      </c>
      <c r="G26" s="69"/>
      <c r="H26" s="69"/>
      <c r="I26" s="67">
        <f>F26</f>
        <v>0</v>
      </c>
      <c r="J26" s="31"/>
    </row>
    <row r="27" spans="1:10" ht="12.75">
      <c r="A27" s="136" t="s">
        <v>529</v>
      </c>
      <c r="B27" s="137"/>
      <c r="C27" s="137"/>
      <c r="D27" s="137"/>
      <c r="E27" s="138"/>
      <c r="F27" s="39"/>
      <c r="G27" s="70"/>
      <c r="H27" s="70"/>
      <c r="I27" s="71">
        <f>SUM(I21:I26)</f>
        <v>0</v>
      </c>
      <c r="J27" s="32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10" ht="15" customHeight="1">
      <c r="A29" s="139" t="s">
        <v>530</v>
      </c>
      <c r="B29" s="140"/>
      <c r="C29" s="140"/>
      <c r="D29" s="140"/>
      <c r="E29" s="141"/>
      <c r="F29" s="142">
        <f>I18+I27</f>
        <v>0</v>
      </c>
      <c r="G29" s="143"/>
      <c r="H29" s="143"/>
      <c r="I29" s="144"/>
      <c r="J29" s="32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3" spans="1:9" ht="15" customHeight="1">
      <c r="A33" s="145" t="s">
        <v>531</v>
      </c>
      <c r="B33" s="146"/>
      <c r="C33" s="146"/>
      <c r="D33" s="146"/>
      <c r="E33" s="146"/>
      <c r="F33" s="64"/>
      <c r="G33" s="64"/>
      <c r="H33" s="64"/>
      <c r="I33" s="64"/>
    </row>
    <row r="34" spans="1:10" ht="12.75">
      <c r="A34" s="147" t="s">
        <v>532</v>
      </c>
      <c r="B34" s="148"/>
      <c r="C34" s="148"/>
      <c r="D34" s="148"/>
      <c r="E34" s="149"/>
      <c r="F34" s="65" t="s">
        <v>535</v>
      </c>
      <c r="G34" s="65" t="s">
        <v>536</v>
      </c>
      <c r="H34" s="65" t="s">
        <v>537</v>
      </c>
      <c r="I34" s="65" t="s">
        <v>535</v>
      </c>
      <c r="J34" s="32"/>
    </row>
    <row r="35" spans="1:10" ht="12.75">
      <c r="A35" s="133"/>
      <c r="B35" s="134"/>
      <c r="C35" s="134"/>
      <c r="D35" s="134"/>
      <c r="E35" s="135"/>
      <c r="F35" s="67">
        <v>0</v>
      </c>
      <c r="G35" s="69"/>
      <c r="H35" s="69"/>
      <c r="I35" s="67">
        <f>F35</f>
        <v>0</v>
      </c>
      <c r="J35" s="31"/>
    </row>
    <row r="36" spans="1:10" ht="12.75">
      <c r="A36" s="136" t="s">
        <v>533</v>
      </c>
      <c r="B36" s="137"/>
      <c r="C36" s="137"/>
      <c r="D36" s="137"/>
      <c r="E36" s="138"/>
      <c r="F36" s="39"/>
      <c r="G36" s="70"/>
      <c r="H36" s="70"/>
      <c r="I36" s="71">
        <f>SUM(I35:I35)</f>
        <v>0</v>
      </c>
      <c r="J36" s="32"/>
    </row>
    <row r="37" spans="1:9" ht="12.75">
      <c r="A37" s="54"/>
      <c r="B37" s="54"/>
      <c r="C37" s="54"/>
      <c r="D37" s="54"/>
      <c r="E37" s="54"/>
      <c r="F37" s="54"/>
      <c r="G37" s="54"/>
      <c r="H37" s="54"/>
      <c r="I37" s="54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Pešice</dc:creator>
  <cp:keywords/>
  <dc:description/>
  <cp:lastModifiedBy>Pavlína Tůmová</cp:lastModifiedBy>
  <cp:lastPrinted>2018-01-19T13:48:55Z</cp:lastPrinted>
  <dcterms:created xsi:type="dcterms:W3CDTF">2017-12-07T08:33:42Z</dcterms:created>
  <dcterms:modified xsi:type="dcterms:W3CDTF">2018-01-31T13:24:38Z</dcterms:modified>
  <cp:category/>
  <cp:version/>
  <cp:contentType/>
  <cp:contentStatus/>
</cp:coreProperties>
</file>